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checkCompatibility="1"/>
  <mc:AlternateContent xmlns:mc="http://schemas.openxmlformats.org/markup-compatibility/2006">
    <mc:Choice Requires="x15">
      <x15ac:absPath xmlns:x15ac="http://schemas.microsoft.com/office/spreadsheetml/2010/11/ac" url="D:\PRESUPUESTO 2025\"/>
    </mc:Choice>
  </mc:AlternateContent>
  <xr:revisionPtr revIDLastSave="0" documentId="13_ncr:1_{F6CBF1C2-B9D3-4241-99B1-655D47473C48}"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720" tabRatio="787" firstSheet="5" activeTab="5"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3" i="38"/>
  <c r="C121" i="38"/>
  <c r="C120" i="38"/>
  <c r="C119" i="38"/>
  <c r="C118" i="38"/>
  <c r="C117" i="38"/>
  <c r="C116" i="38"/>
  <c r="C114" i="38"/>
  <c r="C113" i="38"/>
  <c r="C112" i="38"/>
  <c r="C110" i="38"/>
  <c r="C109" i="38"/>
  <c r="C108" i="38"/>
  <c r="C107" i="38"/>
  <c r="C106" i="38"/>
  <c r="C105" i="38"/>
  <c r="C103" i="38"/>
  <c r="C102" i="38"/>
  <c r="C101" i="38"/>
  <c r="C100" i="38"/>
  <c r="C99" i="38"/>
  <c r="C96" i="38"/>
  <c r="C95" i="38"/>
  <c r="C92" i="38"/>
  <c r="C90" i="38"/>
  <c r="C89" i="38"/>
  <c r="C88" i="38"/>
  <c r="C87" i="38"/>
  <c r="C86" i="38"/>
  <c r="C85" i="38"/>
  <c r="C84" i="38"/>
  <c r="C83" i="38"/>
  <c r="C82" i="38"/>
  <c r="C79" i="38"/>
  <c r="C78" i="38"/>
  <c r="C77" i="38"/>
  <c r="C76" i="38"/>
  <c r="C75" i="38"/>
  <c r="C73" i="38"/>
  <c r="C72" i="38"/>
  <c r="C71" i="38"/>
  <c r="C70" i="38"/>
  <c r="C68" i="38"/>
  <c r="C67" i="38"/>
  <c r="C66" i="38"/>
  <c r="C65" i="38"/>
  <c r="C64" i="38"/>
  <c r="C62" i="38"/>
  <c r="C60" i="38"/>
  <c r="C59" i="38"/>
  <c r="C57"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4" i="43" l="1"/>
  <c r="D13" i="43"/>
  <c r="C8" i="53"/>
  <c r="E92" i="32" l="1"/>
  <c r="E76" i="32"/>
  <c r="E69" i="32"/>
  <c r="D38" i="32"/>
  <c r="D37" i="32" s="1"/>
  <c r="E37" i="32"/>
  <c r="E26" i="32"/>
  <c r="D92" i="30"/>
  <c r="P93" i="30"/>
  <c r="D93" i="32" s="1"/>
  <c r="F93" i="32" s="1"/>
  <c r="O92" i="30"/>
  <c r="N92" i="30"/>
  <c r="M92" i="30"/>
  <c r="L92" i="30"/>
  <c r="K92" i="30"/>
  <c r="J92" i="30"/>
  <c r="I92" i="30"/>
  <c r="H92" i="30"/>
  <c r="G92" i="30"/>
  <c r="F92" i="30"/>
  <c r="E92" i="30"/>
  <c r="D76" i="30"/>
  <c r="P76" i="30" s="1"/>
  <c r="P77" i="30"/>
  <c r="D77" i="32" s="1"/>
  <c r="F77" i="32" s="1"/>
  <c r="O76" i="30"/>
  <c r="N76" i="30"/>
  <c r="M76" i="30"/>
  <c r="L76" i="30"/>
  <c r="K76" i="30"/>
  <c r="J76" i="30"/>
  <c r="I76" i="30"/>
  <c r="H76" i="30"/>
  <c r="G76" i="30"/>
  <c r="F76" i="30"/>
  <c r="E76" i="30"/>
  <c r="D69" i="30"/>
  <c r="P70" i="30"/>
  <c r="D70" i="32" s="1"/>
  <c r="F70" i="32" s="1"/>
  <c r="O69" i="30"/>
  <c r="N69" i="30"/>
  <c r="M69" i="30"/>
  <c r="L69" i="30"/>
  <c r="K69" i="30"/>
  <c r="J69" i="30"/>
  <c r="I69" i="30"/>
  <c r="H69" i="30"/>
  <c r="G69" i="30"/>
  <c r="F69" i="30"/>
  <c r="E69" i="30"/>
  <c r="D37" i="30"/>
  <c r="P38" i="30"/>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C56" i="38" s="1"/>
  <c r="AC10" i="53"/>
  <c r="C58" i="38" s="1"/>
  <c r="AC11" i="53"/>
  <c r="C61" i="38" s="1"/>
  <c r="AC12" i="53"/>
  <c r="C80" i="38" s="1"/>
  <c r="AC13" i="53"/>
  <c r="AC14" i="53"/>
  <c r="AC15" i="53"/>
  <c r="AC16" i="53"/>
  <c r="AC17" i="53"/>
  <c r="C125" i="38" s="1"/>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0" i="38" s="1"/>
  <c r="C98" i="38" l="1"/>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2" l="1"/>
  <c r="A3" i="30"/>
  <c r="A3" i="38"/>
  <c r="A3" i="41"/>
  <c r="A3" i="40"/>
  <c r="A3" i="43"/>
  <c r="A3" i="37"/>
  <c r="A3" i="39"/>
  <c r="A3" i="31"/>
  <c r="A3" i="36"/>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2365" i="43" l="1"/>
  <c r="E2858" i="43"/>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P147" i="30" s="1"/>
  <c r="D134" i="47" s="1"/>
  <c r="D142" i="30"/>
  <c r="P142" i="30" l="1"/>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J403" i="36"/>
  <c r="I403" i="36"/>
  <c r="H403" i="36"/>
  <c r="G403" i="36"/>
  <c r="F403" i="36"/>
  <c r="E403" i="36"/>
  <c r="D403" i="36"/>
  <c r="C403" i="36"/>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F153" i="32"/>
  <c r="F152" i="32"/>
  <c r="D151" i="32"/>
  <c r="E38" i="31" s="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K7" i="30" s="1"/>
  <c r="J24" i="30"/>
  <c r="I24" i="30"/>
  <c r="I7" i="30" s="1"/>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J7" i="30" l="1"/>
  <c r="H7" i="30"/>
  <c r="M7" i="30"/>
  <c r="L7" i="30"/>
  <c r="C10" i="37"/>
  <c r="D39" i="30"/>
  <c r="E39" i="30"/>
  <c r="O7" i="30"/>
  <c r="G39" i="30"/>
  <c r="J39" i="30"/>
  <c r="F78" i="30"/>
  <c r="K10" i="37"/>
  <c r="F39" i="30"/>
  <c r="J10" i="37"/>
  <c r="N7" i="30"/>
  <c r="I39" i="30"/>
  <c r="E78" i="30"/>
  <c r="N39" i="30"/>
  <c r="J78" i="30"/>
  <c r="D78" i="30"/>
  <c r="G78" i="30"/>
  <c r="H78" i="30"/>
  <c r="O39" i="30"/>
  <c r="K78" i="30"/>
  <c r="H39" i="30"/>
  <c r="K39" i="30"/>
  <c r="L78" i="30"/>
  <c r="L39" i="30"/>
  <c r="I78" i="30"/>
  <c r="M78" i="30"/>
  <c r="M39" i="30"/>
  <c r="N78" i="30"/>
  <c r="F7" i="30"/>
  <c r="O78" i="30"/>
  <c r="G7" i="30"/>
  <c r="P34" i="30"/>
  <c r="E169" i="45" s="1"/>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J19" i="37" s="1"/>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B13" i="46" l="1"/>
  <c r="B32" i="45" s="1"/>
  <c r="AF2" i="47" s="1"/>
  <c r="D62" i="47"/>
  <c r="E167" i="45"/>
  <c r="D144" i="47"/>
  <c r="E162" i="45"/>
  <c r="B11" i="46"/>
  <c r="B30" i="45" s="1"/>
  <c r="AD2" i="47" s="1"/>
  <c r="O162" i="30"/>
  <c r="P10" i="30"/>
  <c r="D7" i="47" s="1"/>
  <c r="AB121" i="45"/>
  <c r="D7" i="30"/>
  <c r="P7" i="30" s="1"/>
  <c r="E171" i="45" s="1"/>
  <c r="D23" i="47"/>
  <c r="E170" i="45"/>
  <c r="K19" i="37"/>
  <c r="K24" i="37" s="1"/>
  <c r="B57" i="46" s="1"/>
  <c r="C70" i="45" s="1"/>
  <c r="B70" i="45" s="1"/>
  <c r="BQ2" i="47" s="1"/>
  <c r="K8" i="37"/>
  <c r="H8" i="37"/>
  <c r="I8" i="37"/>
  <c r="G8" i="37"/>
  <c r="J8" i="37"/>
  <c r="L8" i="37"/>
  <c r="F8" i="37"/>
  <c r="D8" i="37"/>
  <c r="E8" i="37"/>
  <c r="B56" i="46"/>
  <c r="C69" i="45" s="1"/>
  <c r="B69" i="45" s="1"/>
  <c r="BP2" i="47" s="1"/>
  <c r="J24" i="37"/>
  <c r="X98" i="45"/>
  <c r="CX2" i="47" s="1"/>
  <c r="X97" i="45"/>
  <c r="AB98" i="45" s="1"/>
  <c r="X96" i="45"/>
  <c r="ED2" i="47"/>
  <c r="X119" i="45"/>
  <c r="O9" i="43"/>
  <c r="N8" i="43"/>
  <c r="N7" i="43" s="1"/>
  <c r="N3034" i="43" s="1"/>
  <c r="F25" i="32"/>
  <c r="D35" i="32"/>
  <c r="F35" i="32" s="1"/>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D81" i="47"/>
  <c r="E165" i="45"/>
  <c r="D67" i="47"/>
  <c r="E166" i="45"/>
  <c r="D95" i="47"/>
  <c r="E164" i="45"/>
  <c r="D128" i="47"/>
  <c r="E163" i="45"/>
  <c r="D32" i="47"/>
  <c r="E168" i="45"/>
  <c r="D13" i="37"/>
  <c r="D34" i="32"/>
  <c r="F34" i="32" s="1"/>
  <c r="B55" i="46"/>
  <c r="C68" i="45" s="1"/>
  <c r="B68" i="45" s="1"/>
  <c r="BO2" i="47" s="1"/>
  <c r="I24" i="37"/>
  <c r="B54" i="46"/>
  <c r="C67" i="45" s="1"/>
  <c r="B67" i="45" s="1"/>
  <c r="BN2" i="47" s="1"/>
  <c r="H24" i="37"/>
  <c r="B52" i="46"/>
  <c r="C65" i="45" s="1"/>
  <c r="B65" i="45" s="1"/>
  <c r="BL2" i="47" s="1"/>
  <c r="F24" i="37"/>
  <c r="B51" i="46"/>
  <c r="C64" i="45" s="1"/>
  <c r="B64" i="45" s="1"/>
  <c r="BK2" i="47" s="1"/>
  <c r="E24" i="37"/>
  <c r="U98" i="45"/>
  <c r="CU2" i="47" s="1"/>
  <c r="DA2" i="4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AB182" i="45" l="1"/>
  <c r="GY2" i="47" s="1"/>
  <c r="W85" i="45"/>
  <c r="AB181" i="45"/>
  <c r="GR2" i="47" s="1"/>
  <c r="E14" i="31"/>
  <c r="B50" i="46"/>
  <c r="C63" i="45" s="1"/>
  <c r="B63" i="45" s="1"/>
  <c r="BJ2" i="47" s="1"/>
  <c r="D24" i="37"/>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<sst xmlns="http://schemas.openxmlformats.org/spreadsheetml/2006/main" count="7092" uniqueCount="2674">
  <si>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</si>
  <si>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</si>
  <si>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</si>
  <si>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</si>
  <si>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</si>
  <si>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</si>
  <si>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</si>
  <si>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</si>
  <si>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</si>
  <si>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</si>
  <si>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</si>
  <si>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</si>
  <si>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</si>
  <si>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</si>
  <si>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</si>
  <si>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</si>
  <si>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</si>
  <si>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</si>
  <si>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</si>
  <si>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</si>
  <si>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</si>
  <si>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</si>
  <si>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</si>
  <si>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</si>
  <si>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</si>
  <si>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</si>
  <si>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</si>
  <si>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</si>
  <si>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</si>
  <si>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</si>
  <si>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</si>
  <si>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</si>
  <si>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</si>
  <si>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</si>
  <si>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</si>
  <si>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</si>
  <si>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</si>
  <si>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</si>
  <si>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</si>
  <si>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</si>
  <si>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</si>
  <si>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</si>
  <si>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</si>
  <si>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</si>
  <si>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</si>
  <si>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</si>
  <si>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</si>
  <si>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</si>
  <si>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</si>
  <si>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</si>
  <si>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</si>
  <si>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</si>
  <si>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</si>
  <si>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</si>
  <si>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</si>
  <si>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</si>
  <si>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</si>
  <si>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</si>
  <si>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</si>
  <si>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</si>
  <si>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</si>
  <si>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</si>
  <si>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</si>
  <si>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</si>
  <si>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</si>
  <si>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</si>
  <si>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</si>
  <si>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</si>
  <si>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</si>
  <si>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</si>
  <si>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</si>
  <si>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</si>
  <si>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</si>
  <si>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</si>
  <si>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</si>
  <si>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</si>
  <si>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</si>
  <si>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</si>
  <si>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</si>
  <si>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</si>
  <si>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</si>
  <si>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</si>
  <si>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</si>
  <si>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</si>
  <si>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</si>
  <si>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</si>
  <si>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</si>
  <si>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</si>
  <si>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</si>
  <si>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</si>
  <si>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</si>
  <si>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</si>
  <si>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</si>
  <si>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</si>
  <si>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</si>
  <si>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</si>
  <si>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</si>
  <si>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</si>
  <si>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</si>
  <si>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</si>
  <si>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</si>
  <si>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</si>
  <si>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</si>
  <si>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</si>
  <si>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</si>
  <si>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</si>
  <si>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</si>
  <si>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</si>
  <si>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</si>
  <si>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</si>
  <si>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</si>
  <si>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</si>
  <si>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</si>
  <si>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</si>
  <si>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</si>
  <si>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</si>
  <si>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</si>
  <si>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</si>
  <si>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</si>
  <si>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</si>
  <si>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</si>
  <si>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</si>
  <si>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</si>
  <si>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</si>
  <si>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</si>
  <si>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</si>
  <si>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</si>
  <si>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</si>
  <si>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</si>
  <si>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</si>
  <si>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</si>
  <si>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</si>
  <si>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</si>
  <si>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</si>
  <si>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</si>
  <si>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</si>
  <si>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</si>
  <si>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</si>
  <si>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</si>
  <si>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</si>
  <si>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</si>
  <si>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</si>
  <si>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</si>
  <si>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</si>
  <si>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</si>
  <si>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</si>
  <si>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</si>
  <si>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</si>
  <si>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</si>
  <si>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</si>
  <si>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</si>
  <si>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</si>
  <si>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</si>
  <si>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</si>
  <si>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</si>
  <si>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</si>
  <si>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</si>
  <si>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</si>
  <si>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</si>
  <si>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</si>
  <si>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</si>
  <si>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</si>
  <si>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</si>
  <si>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</si>
  <si>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</si>
  <si>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</si>
  <si>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</si>
  <si>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</si>
  <si>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</si>
  <si>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</si>
  <si>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</si>
  <si>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</si>
  <si>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</si>
  <si>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</si>
  <si>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</si>
  <si>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</si>
  <si>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</si>
  <si>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</si>
  <si>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</si>
  <si>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</si>
  <si>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</si>
  <si>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</si>
  <si>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</si>
  <si>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</si>
  <si>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</si>
  <si>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</si>
  <si>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</si>
  <si>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</si>
  <si>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</si>
  <si>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</si>
  <si>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</si>
  <si>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</si>
  <si>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</si>
  <si>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</si>
  <si>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</si>
  <si>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</si>
  <si>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</si>
  <si>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</si>
  <si>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</si>
  <si>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</si>
  <si>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</si>
  <si>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</si>
  <si>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</si>
  <si>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</si>
  <si>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</si>
  <si>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</si>
  <si>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</si>
  <si>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</si>
  <si>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</si>
  <si>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</si>
  <si>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</si>
  <si>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</si>
  <si>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</si>
  <si>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</si>
  <si>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</si>
  <si>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</si>
  <si>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</si>
  <si>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</si>
  <si>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</si>
  <si>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</si>
  <si>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</si>
  <si>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</si>
  <si>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</si>
  <si>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</si>
  <si>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</si>
  <si>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</si>
  <si>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</si>
  <si>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</si>
  <si>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</si>
  <si>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</si>
  <si>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</si>
  <si>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</si>
  <si>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</si>
  <si>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</si>
  <si>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</si>
  <si>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</si>
  <si>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</si>
  <si>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</si>
  <si>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</si>
  <si>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</si>
  <si>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</si>
  <si>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</si>
  <si>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</si>
  <si>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</si>
  <si>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</si>
  <si>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</si>
  <si>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</si>
  <si>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</si>
  <si>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</si>
  <si>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</si>
  <si>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</si>
  <si>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</si>
  <si>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</si>
  <si>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</si>
  <si>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</si>
  <si>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</si>
  <si>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</si>
  <si>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</si>
  <si>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</si>
  <si>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</si>
  <si>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</si>
  <si>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</si>
  <si>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</si>
  <si>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</si>
  <si>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</si>
  <si>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</si>
  <si>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</si>
  <si>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</si>
  <si>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</si>
  <si>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</si>
  <si>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</si>
  <si>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</si>
  <si>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</si>
  <si>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</si>
  <si>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</si>
  <si>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</si>
  <si>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</si>
  <si>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</si>
  <si>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</si>
  <si>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</si>
  <si>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</si>
  <si>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</si>
  <si>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</si>
  <si>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</si>
  <si>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</si>
  <si>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</si>
  <si>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</si>
  <si>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</si>
  <si>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</si>
  <si>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</si>
  <si>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</si>
  <si>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</si>
  <si>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</si>
  <si>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</si>
  <si>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</si>
  <si>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</si>
  <si>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</si>
  <si>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</si>
  <si>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</si>
  <si>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</si>
  <si>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</si>
  <si>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</si>
  <si>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</si>
  <si>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</si>
  <si>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</si>
  <si>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</si>
  <si>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</si>
  <si>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</si>
  <si>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</si>
  <si>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</si>
  <si>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</si>
  <si>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</si>
  <si>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</si>
  <si>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</si>
  <si>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</si>
  <si>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</si>
  <si>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</si>
  <si>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</si>
  <si>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</si>
  <si>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</si>
  <si>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</si>
  <si>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</si>
  <si>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</si>
  <si>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</si>
  <si>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</si>
  <si>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</si>
  <si>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</si>
  <si>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</si>
  <si>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</si>
  <si>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</si>
  <si>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</si>
  <si>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</si>
  <si>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</si>
  <si>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</si>
  <si>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</si>
  <si>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</si>
  <si>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</si>
  <si>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</si>
  <si>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</si>
  <si>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</si>
  <si>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</si>
  <si>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</si>
  <si>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</si>
  <si>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</si>
  <si>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</si>
  <si>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</si>
  <si>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</si>
  <si>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</si>
  <si>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</si>
  <si>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</si>
  <si>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</si>
  <si>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</si>
  <si>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</si>
  <si>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</si>
  <si>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</si>
  <si>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</si>
  <si>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</si>
  <si>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</si>
  <si>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</si>
  <si>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</si>
  <si>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</si>
  <si>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</si>
  <si>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</si>
  <si>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</si>
  <si>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</si>
  <si>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</si>
  <si>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</si>
  <si>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</si>
  <si>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</si>
  <si>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</si>
  <si>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</si>
  <si>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</si>
  <si>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</si>
  <si>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</si>
  <si>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</si>
  <si>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</si>
  <si>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</si>
  <si>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</si>
  <si>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</si>
  <si>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</si>
  <si>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</si>
  <si>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</si>
  <si>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</si>
  <si>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</si>
  <si>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</si>
  <si>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</si>
  <si>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</si>
  <si>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</si>
  <si>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</si>
  <si>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</si>
  <si>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</si>
  <si>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</si>
  <si>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</si>
  <si>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</si>
  <si>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</si>
  <si>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</si>
  <si>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</si>
  <si>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</si>
  <si>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</si>
  <si>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</si>
  <si>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</si>
  <si>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</si>
  <si>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</si>
  <si>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</si>
  <si>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</si>
  <si>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</si>
  <si>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</si>
  <si>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</si>
  <si>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</si>
  <si>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</si>
  <si>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</si>
  <si>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</si>
  <si>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</si>
  <si>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</si>
  <si>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</si>
  <si>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</si>
  <si>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</si>
  <si>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</si>
  <si>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</si>
  <si>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</si>
  <si>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</si>
  <si>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</si>
  <si>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</si>
  <si>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</si>
  <si>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</si>
  <si>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</si>
  <si>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</si>
  <si>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</si>
  <si>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</si>
  <si>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</si>
  <si>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</si>
  <si>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</si>
  <si>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</si>
  <si>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</si>
  <si>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</si>
  <si>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</si>
  <si>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</si>
  <si>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</si>
  <si>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</si>
  <si>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</si>
  <si>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</si>
  <si>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</si>
  <si>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</si>
  <si>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</si>
  <si>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</si>
  <si>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</si>
  <si>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</si>
  <si>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</si>
  <si>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</si>
  <si>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</si>
  <si>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</si>
  <si>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</si>
  <si>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</si>
  <si>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</si>
  <si>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</si>
  <si>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</si>
  <si>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</si>
  <si>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</si>
  <si>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</si>
  <si>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</si>
  <si>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</si>
  <si>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</si>
  <si>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</si>
  <si>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</si>
  <si>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</si>
  <si>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</si>
  <si>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</si>
  <si>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</si>
  <si>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</si>
  <si>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</si>
  <si>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</si>
  <si>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</si>
  <si>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</si>
  <si>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</si>
  <si>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</si>
  <si>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</si>
  <si>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</si>
  <si>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</si>
  <si>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</si>
  <si>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</si>
  <si>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</si>
  <si>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</si>
  <si>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</si>
  <si>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</si>
  <si>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</si>
  <si>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</si>
  <si>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</si>
  <si>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</si>
  <si>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</si>
  <si>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</si>
  <si>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</si>
  <si>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</si>
  <si>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</si>
  <si>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</si>
  <si>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</si>
  <si>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</si>
  <si>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</si>
  <si>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</si>
  <si>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</si>
  <si>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</si>
  <si>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</si>
  <si>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</si>
  <si>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</si>
  <si>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</si>
  <si>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</si>
  <si>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</si>
  <si>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</si>
  <si>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</si>
  <si>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</si>
  <si>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</si>
  <si>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</si>
  <si>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</si>
  <si>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</si>
  <si>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</si>
  <si>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</si>
  <si>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</si>
  <si>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</si>
  <si>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</si>
  <si>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</si>
  <si>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</si>
  <si>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</si>
  <si>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</si>
  <si>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</si>
  <si>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</si>
  <si>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</si>
  <si>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</si>
  <si>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</si>
  <si>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</si>
  <si>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</si>
  <si>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</si>
  <si>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</si>
  <si>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</si>
  <si>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</si>
  <si>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</si>
  <si>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</si>
  <si>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</si>
  <si>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</si>
  <si>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</si>
  <si>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</si>
  <si>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</si>
  <si>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</si>
  <si>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</si>
  <si>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</si>
  <si>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</si>
  <si>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</si>
  <si>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</si>
  <si>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</si>
  <si>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</si>
  <si>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</si>
  <si>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</si>
  <si>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</si>
  <si>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</si>
  <si>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</si>
  <si>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</si>
  <si>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</si>
  <si>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</si>
  <si>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</si>
  <si>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</si>
  <si>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</si>
  <si>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</si>
  <si>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</si>
  <si>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</si>
  <si>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</si>
  <si>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</si>
  <si>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</si>
  <si>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</si>
  <si>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</si>
  <si>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</si>
  <si>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</si>
  <si>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</si>
  <si>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</si>
  <si>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</si>
  <si>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</si>
  <si>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</si>
  <si>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</si>
  <si>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</si>
  <si>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</si>
  <si>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</si>
  <si>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</si>
  <si>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</si>
  <si>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</si>
  <si>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</si>
  <si>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</si>
  <si>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</si>
  <si>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</si>
  <si>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</si>
  <si>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</si>
  <si>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</si>
  <si>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</si>
  <si>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</si>
  <si>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</si>
  <si>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</si>
  <si>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</si>
  <si>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</si>
  <si>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</si>
  <si>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</si>
  <si>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</si>
  <si>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</si>
  <si>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</si>
  <si>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</si>
  <si>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</si>
  <si>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</si>
  <si>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</si>
  <si>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</si>
  <si>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</si>
  <si>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</si>
  <si>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</si>
  <si>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</si>
  <si>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</si>
  <si>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</si>
  <si>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</si>
  <si>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</si>
  <si>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</si>
  <si>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</si>
  <si>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</si>
  <si>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</si>
  <si>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</si>
  <si>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</si>
  <si>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</si>
  <si>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</si>
  <si>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</si>
  <si>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</si>
  <si>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</si>
  <si>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</si>
  <si>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</si>
  <si>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</si>
  <si>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</si>
  <si>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</si>
  <si>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</si>
  <si>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</si>
  <si>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</si>
  <si>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</si>
  <si>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</si>
  <si>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</si>
  <si>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</si>
  <si>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</si>
  <si>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</si>
  <si>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</si>
  <si>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</si>
  <si>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</si>
  <si>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</si>
  <si>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</si>
  <si>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</si>
  <si>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</si>
  <si>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</si>
  <si>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</si>
  <si>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</si>
  <si>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</si>
  <si>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</si>
  <si>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</si>
  <si>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</si>
  <si>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</si>
  <si>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</si>
  <si>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</si>
  <si>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</si>
  <si>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</si>
  <si>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</si>
  <si>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</si>
  <si>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</si>
  <si>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</si>
  <si>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</si>
  <si>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</si>
  <si>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</si>
  <si>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</si>
  <si>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</si>
  <si>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</si>
  <si>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</si>
  <si>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</si>
  <si>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</si>
  <si>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</si>
  <si>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</si>
  <si>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</si>
  <si>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</si>
  <si>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</si>
  <si>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</si>
  <si>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</si>
  <si>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</si>
  <si>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</si>
  <si>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</si>
  <si>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</si>
  <si>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</si>
  <si>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</si>
  <si>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</si>
  <si>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</si>
  <si>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</si>
  <si>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</si>
  <si>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</si>
  <si>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</si>
  <si>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</si>
  <si>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</si>
  <si>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</si>
  <si>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</si>
  <si>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</si>
  <si>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</si>
  <si>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</si>
  <si>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</si>
  <si>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</si>
  <si>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</si>
  <si>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</si>
  <si>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</si>
  <si>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</si>
  <si>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</si>
  <si>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</si>
  <si>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</si>
  <si>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</si>
  <si>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</si>
  <si>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</si>
  <si>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</si>
  <si>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</si>
  <si>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</si>
  <si>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</si>
  <si>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</si>
  <si>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</si>
  <si>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</si>
  <si>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</si>
  <si>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</si>
  <si>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</si>
  <si>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</si>
  <si>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</si>
  <si>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</si>
  <si>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</si>
  <si>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</si>
  <si>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</si>
  <si>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</si>
  <si>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</si>
  <si>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</si>
  <si>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</si>
  <si>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</si>
  <si>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</si>
  <si>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</si>
  <si>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</si>
  <si>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</si>
  <si>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</si>
  <si>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</si>
  <si>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</si>
  <si>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</si>
  <si>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</si>
  <si>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</si>
  <si>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</si>
  <si>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</si>
  <si>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</si>
  <si>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</si>
  <si>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</si>
  <si>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</si>
  <si>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</si>
  <si>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</si>
  <si>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</si>
  <si>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</si>
  <si>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</si>
  <si>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</si>
  <si>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</si>
  <si>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</si>
  <si>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</si>
  <si>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</si>
  <si>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</si>
  <si>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</si>
  <si>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</si>
  <si>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</si>
  <si>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</si>
  <si>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</si>
  <si>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</si>
  <si>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</si>
  <si>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</si>
  <si>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</si>
  <si>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</si>
  <si>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</si>
  <si>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</si>
  <si>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</si>
  <si>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</si>
  <si>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</si>
  <si>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</si>
  <si>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</si>
  <si>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</si>
  <si>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</si>
  <si>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</si>
  <si>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</si>
  <si>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</si>
  <si>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</si>
  <si>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</si>
  <si>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</si>
  <si>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</si>
  <si>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</si>
  <si>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</si>
  <si>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</si>
  <si>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</si>
  <si>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</si>
  <si>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</si>
  <si>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</si>
  <si>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</si>
  <si>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</si>
  <si>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</si>
  <si>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</si>
  <si>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</si>
  <si>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</si>
  <si>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</si>
  <si>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</si>
  <si>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</si>
  <si>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</si>
  <si>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</si>
  <si>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</si>
  <si>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</si>
  <si>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</si>
  <si>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</si>
  <si>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</si>
  <si>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</si>
  <si>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</si>
  <si>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</si>
  <si>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</si>
  <si>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</si>
  <si>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</si>
  <si>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</si>
  <si>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</si>
  <si>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</si>
  <si>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</si>
  <si>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</si>
  <si>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</si>
  <si>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</si>
  <si>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</si>
  <si>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</si>
  <si>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</si>
  <si>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</si>
  <si>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</si>
  <si>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</si>
  <si>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</si>
  <si>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</si>
  <si>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</si>
  <si>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</si>
  <si>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</si>
  <si>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</si>
  <si>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</si>
  <si>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</si>
  <si>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</si>
  <si>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</si>
  <si>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</si>
  <si>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</si>
  <si>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</si>
  <si>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</si>
  <si>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</si>
  <si>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</si>
  <si>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</si>
  <si>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</si>
  <si>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</si>
  <si>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</si>
  <si>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</si>
  <si>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</si>
  <si>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</si>
  <si>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</si>
  <si>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</si>
  <si>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</si>
  <si>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</si>
  <si>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</si>
  <si>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</si>
  <si>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</si>
  <si>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</si>
  <si>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</si>
  <si>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</si>
  <si>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</si>
  <si>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</si>
  <si>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</si>
  <si>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</si>
  <si>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</si>
  <si>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</si>
  <si>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</si>
  <si>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</si>
  <si>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</si>
  <si>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</si>
  <si>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</si>
  <si>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</si>
  <si>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</si>
  <si>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</si>
  <si>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</si>
  <si>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</si>
  <si>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</si>
  <si>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</si>
  <si>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</si>
  <si>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</si>
  <si>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</si>
  <si>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</si>
  <si>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</si>
  <si>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</si>
  <si>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</si>
  <si>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</si>
  <si>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</si>
  <si>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</si>
  <si>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</si>
  <si>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</si>
  <si>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</si>
  <si>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</si>
  <si>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</si>
  <si>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</si>
  <si>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</si>
  <si>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</si>
  <si>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</si>
  <si>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</si>
  <si>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</si>
  <si>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</si>
  <si>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</si>
  <si>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</si>
  <si>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</si>
  <si>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</si>
  <si>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</si>
  <si>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</si>
  <si>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</si>
  <si>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</si>
  <si>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</si>
  <si>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</si>
  <si>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</si>
  <si>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</si>
  <si>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</si>
  <si>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</si>
  <si>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</si>
  <si>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</si>
  <si>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</si>
  <si>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</si>
  <si>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</si>
  <si>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</si>
  <si>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</si>
  <si>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</si>
  <si>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</si>
  <si>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</si>
  <si>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</si>
  <si>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</si>
  <si>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</si>
  <si>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</si>
  <si>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</si>
  <si>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</si>
  <si>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</si>
  <si>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</si>
  <si>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</si>
  <si>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</si>
  <si>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</si>
  <si>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</si>
  <si>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</si>
  <si>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</si>
  <si>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</si>
  <si>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</si>
  <si>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</si>
  <si>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</si>
  <si>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</si>
  <si>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</si>
  <si>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</si>
  <si>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</si>
  <si>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</si>
  <si>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</si>
  <si>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</si>
  <si>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</si>
  <si>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</si>
  <si>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</si>
  <si>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</si>
  <si>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</si>
  <si>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</si>
  <si>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</si>
  <si>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</si>
  <si>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</si>
  <si>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</si>
  <si>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</si>
  <si>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</si>
  <si>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</si>
  <si>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</si>
  <si>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</si>
  <si>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</si>
  <si>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</si>
  <si>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</si>
  <si>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</si>
  <si>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</si>
  <si>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</si>
  <si>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</si>
  <si>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</si>
  <si>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</si>
  <si>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</si>
  <si>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</si>
  <si>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</si>
  <si>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</si>
  <si>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</si>
  <si>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</si>
  <si>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</si>
  <si>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</si>
  <si>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</si>
  <si>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</si>
  <si>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</si>
  <si>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</si>
  <si>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</si>
  <si>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</si>
  <si>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</si>
  <si>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</si>
  <si>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</si>
  <si>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</si>
  <si>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</si>
  <si>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</si>
  <si>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</si>
  <si>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</si>
  <si>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</si>
  <si>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</si>
  <si>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</si>
  <si>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</si>
  <si>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</si>
  <si>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</si>
  <si>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</si>
  <si>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</si>
  <si>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</si>
  <si>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</si>
  <si>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</si>
  <si>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</si>
  <si>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</si>
  <si>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</si>
  <si>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</si>
  <si>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</si>
  <si>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</si>
  <si>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</si>
  <si>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</si>
  <si>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</si>
  <si>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</si>
  <si>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</si>
  <si>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</si>
  <si>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</si>
  <si>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</si>
  <si>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</si>
  <si>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</si>
  <si>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</si>
  <si>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</si>
  <si>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</si>
  <si>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</si>
  <si>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</si>
  <si>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</si>
  <si>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</si>
  <si>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</si>
  <si>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</si>
  <si>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</si>
  <si>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</si>
  <si>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</si>
  <si>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</si>
  <si>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</si>
  <si>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</si>
  <si>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</si>
  <si>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</si>
  <si>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</si>
  <si>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</si>
  <si>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</si>
  <si>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</si>
  <si>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</si>
  <si>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</si>
  <si>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</si>
  <si>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</si>
  <si>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</si>
  <si>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</si>
  <si>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</si>
  <si>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</si>
  <si>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</si>
  <si>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</si>
  <si>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</si>
  <si>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</si>
  <si>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</si>
  <si>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</si>
  <si>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</si>
  <si>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</si>
  <si>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</si>
  <si>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</si>
  <si>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</si>
  <si>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</si>
  <si>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</si>
  <si>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</si>
  <si>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</si>
  <si>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</si>
  <si>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</si>
  <si>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</si>
  <si>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</si>
  <si>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</si>
  <si>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</si>
  <si>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</si>
  <si>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</si>
  <si>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</si>
  <si>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</si>
  <si>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</si>
  <si>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</si>
  <si>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</si>
  <si>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</si>
  <si>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</si>
  <si>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</si>
  <si>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</si>
  <si>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</si>
  <si>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</si>
  <si>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</si>
  <si>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</si>
  <si>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</si>
  <si>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</si>
  <si>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</si>
  <si>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</si>
  <si>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</si>
  <si>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</si>
  <si>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</si>
  <si>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</si>
  <si>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</si>
  <si>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</si>
  <si>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</si>
  <si>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</si>
  <si>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</si>
  <si>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</si>
  <si>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</si>
  <si>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</si>
  <si>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</si>
  <si>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</si>
  <si>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</si>
  <si>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</si>
  <si>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</si>
  <si>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</si>
  <si>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</si>
  <si>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</si>
  <si>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</si>
  <si>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</si>
  <si>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</si>
  <si>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</si>
  <si>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</si>
  <si>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</si>
  <si>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</si>
  <si>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</si>
  <si>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</si>
  <si>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</si>
  <si>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</si>
  <si>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</si>
  <si>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</si>
  <si>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</si>
  <si>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</si>
  <si>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</si>
  <si>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</si>
  <si>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</si>
  <si>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</si>
  <si>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</si>
  <si>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</si>
  <si>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</si>
  <si>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</si>
  <si>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</si>
  <si>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</si>
  <si>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</si>
  <si>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</si>
  <si>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</si>
  <si>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</si>
  <si>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</si>
  <si>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</si>
  <si>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</si>
  <si>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</si>
  <si>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</si>
  <si>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</si>
  <si>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</si>
  <si>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</si>
  <si>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</si>
  <si>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</si>
  <si>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</si>
  <si>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</si>
  <si>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</si>
  <si>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</si>
  <si>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</si>
  <si>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</si>
  <si>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</si>
  <si>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</si>
  <si>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</si>
  <si>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</si>
  <si>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</si>
  <si>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</si>
  <si>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</si>
  <si>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</si>
  <si>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</si>
  <si>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</si>
  <si>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</si>
  <si>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</si>
  <si>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</si>
  <si>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</si>
  <si>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</si>
  <si>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</si>
  <si>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</si>
  <si>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</si>
  <si>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</si>
  <si>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</si>
  <si>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</si>
  <si>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</si>
  <si>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</si>
  <si>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</si>
  <si>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</si>
  <si>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</si>
  <si>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</si>
  <si>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</si>
  <si>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</si>
  <si>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</si>
  <si>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</si>
  <si>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</si>
  <si>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</si>
  <si>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</si>
  <si>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</si>
  <si>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</si>
  <si>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</si>
  <si>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</si>
  <si>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</si>
  <si>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</si>
  <si>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</si>
  <si>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</si>
  <si>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</si>
  <si>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</si>
  <si>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</si>
  <si>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</si>
  <si>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</si>
  <si>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</si>
  <si>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</si>
  <si>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</si>
  <si>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</si>
  <si>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</si>
  <si>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</si>
  <si>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</si>
  <si>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</si>
  <si>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</si>
  <si>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</si>
  <si>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</si>
  <si>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</si>
  <si>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</si>
  <si>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</si>
  <si>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</si>
  <si>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</si>
  <si>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</si>
  <si>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</si>
  <si>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</si>
  <si>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</si>
  <si>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</si>
  <si>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</si>
  <si>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</si>
  <si>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</si>
  <si>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</si>
  <si>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</si>
  <si>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</si>
  <si>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</si>
  <si>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</si>
  <si>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</si>
  <si>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</si>
  <si>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</si>
  <si>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</si>
  <si>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</si>
  <si>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</si>
  <si>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</si>
  <si>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</si>
  <si>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</si>
  <si>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</si>
  <si>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</si>
  <si>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</si>
  <si>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</si>
  <si>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</si>
  <si>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</si>
  <si>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</si>
  <si>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</si>
  <si>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</si>
  <si>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</si>
  <si>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</si>
  <si>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</si>
  <si>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</si>
  <si>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</si>
  <si>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</si>
  <si>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</si>
  <si>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</si>
  <si>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</si>
  <si>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</si>
  <si>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</si>
  <si>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</si>
  <si>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</si>
  <si>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</si>
  <si>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</si>
  <si>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</si>
  <si>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</si>
  <si>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</si>
  <si>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</si>
  <si>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</si>
  <si>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</si>
  <si>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</si>
  <si>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</si>
  <si>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</si>
  <si>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</si>
  <si>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</si>
  <si>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</si>
  <si>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</si>
  <si>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</si>
  <si>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</si>
  <si>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</si>
  <si>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</si>
  <si>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</si>
  <si>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</si>
  <si>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</si>
  <si>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</si>
  <si>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</si>
  <si>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</si>
  <si>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</si>
  <si>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</si>
  <si>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</si>
  <si>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</si>
  <si>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</si>
  <si>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</si>
  <si>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</si>
  <si>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</si>
  <si>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</si>
  <si>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</si>
  <si>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</si>
  <si>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</si>
  <si>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</si>
  <si>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</si>
  <si>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</si>
  <si>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</si>
  <si>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</si>
  <si>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</si>
  <si>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</si>
  <si>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</si>
  <si>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</si>
  <si>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</si>
  <si>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</si>
  <si>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</si>
  <si>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</si>
  <si>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</si>
  <si>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</si>
  <si>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</si>
  <si>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</si>
  <si>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</si>
  <si>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</si>
  <si>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</si>
  <si>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</si>
  <si>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</si>
  <si>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</si>
  <si>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</si>
  <si>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</si>
  <si>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</si>
  <si>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</si>
  <si>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</si>
  <si>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</si>
  <si>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</si>
  <si>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</si>
  <si>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</si>
  <si>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</si>
  <si>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</si>
  <si>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</si>
  <si>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</si>
  <si>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</si>
  <si>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</si>
  <si>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</si>
  <si>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</si>
  <si>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</si>
  <si>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</si>
  <si>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</si>
  <si>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</si>
  <si>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</si>
  <si>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</si>
  <si>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</si>
  <si>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</si>
  <si>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</si>
  <si>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</si>
  <si>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</si>
  <si>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</si>
  <si>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</si>
  <si>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</si>
  <si>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</si>
  <si>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</si>
  <si>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</si>
  <si>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</si>
  <si>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</si>
  <si>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</si>
  <si>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</si>
  <si>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</si>
  <si>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</si>
  <si>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</si>
  <si>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</si>
  <si>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</si>
  <si>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</si>
  <si>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</si>
  <si>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</si>
  <si>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</si>
  <si>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</si>
  <si>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</si>
  <si>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</si>
  <si>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</si>
  <si>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</si>
  <si>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</si>
  <si>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</si>
  <si>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</si>
  <si>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</si>
  <si>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</si>
  <si>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</si>
  <si>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</si>
  <si>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</si>
  <si>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</si>
  <si>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</si>
  <si>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</si>
  <si>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</si>
  <si>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</si>
  <si>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</si>
  <si>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</si>
  <si>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</si>
  <si>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</si>
  <si>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</si>
  <si>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</si>
  <si>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</si>
  <si>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</si>
  <si>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</si>
  <si>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</si>
  <si>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</si>
  <si>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</si>
  <si>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</si>
  <si>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</si>
  <si>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</si>
  <si>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</si>
  <si>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</si>
  <si>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</si>
  <si>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</si>
  <si>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</si>
  <si>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</si>
  <si>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</si>
  <si>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</si>
  <si>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</si>
  <si>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</si>
  <si>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</si>
  <si>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</si>
  <si>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</si>
  <si>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</si>
  <si>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</si>
  <si>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</si>
  <si>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</si>
  <si>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</si>
  <si>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</si>
  <si>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</si>
  <si>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</si>
  <si>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</si>
  <si>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</si>
  <si>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</si>
  <si>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</si>
  <si>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</si>
  <si>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</si>
  <si>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</si>
  <si>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</si>
  <si>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</si>
  <si>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</si>
  <si>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</si>
  <si>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</si>
  <si>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</si>
  <si>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</si>
  <si>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</si>
  <si>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</si>
  <si>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</si>
  <si>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</si>
  <si>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</si>
  <si>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</si>
  <si>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</si>
  <si>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</si>
  <si>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</si>
  <si>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</si>
  <si>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</si>
  <si>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</si>
  <si>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</si>
  <si>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</si>
  <si>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</si>
  <si>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</si>
  <si>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</si>
  <si>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</si>
  <si>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</si>
  <si>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</si>
  <si>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</si>
  <si>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</si>
  <si>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</si>
  <si>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</si>
  <si>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</si>
  <si>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</si>
  <si>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</si>
  <si>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</si>
  <si>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</si>
  <si>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</si>
  <si>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</si>
  <si>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</si>
  <si>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</si>
  <si>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</si>
  <si>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</si>
  <si>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</si>
  <si>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</si>
  <si>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</si>
  <si>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</si>
  <si>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</si>
  <si>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</si>
  <si>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</si>
  <si>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</si>
  <si>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</si>
  <si>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</si>
  <si>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</si>
  <si>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</si>
  <si>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</si>
  <si>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</si>
  <si>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</si>
  <si>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</si>
  <si>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</si>
  <si>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</si>
  <si>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</si>
  <si>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</si>
  <si>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</si>
  <si>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</si>
  <si>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</si>
  <si>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</si>
  <si>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</si>
  <si>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</si>
  <si>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</si>
  <si>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</si>
  <si>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</si>
  <si>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</si>
  <si>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</si>
  <si>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</si>
  <si>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</si>
  <si>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</si>
  <si>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</si>
  <si>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</si>
  <si>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</si>
  <si>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</si>
  <si>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</si>
  <si>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</si>
  <si>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</si>
  <si>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</si>
  <si>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</si>
  <si>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</si>
  <si>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</si>
  <si>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</si>
  <si>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</si>
  <si>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</si>
  <si>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</si>
  <si>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</si>
  <si>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</si>
  <si>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</si>
  <si>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</si>
  <si>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</si>
  <si>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</si>
  <si>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</si>
  <si>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</si>
  <si>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</si>
  <si>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</si>
  <si>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</si>
  <si>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</si>
  <si>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</si>
  <si>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</si>
  <si>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</si>
  <si>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</si>
  <si>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</si>
  <si>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</si>
  <si>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</si>
  <si>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</si>
  <si>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</si>
  <si>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</si>
  <si>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</si>
  <si>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</si>
  <si>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</si>
  <si>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</si>
  <si>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</si>
  <si>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</si>
  <si>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</si>
  <si>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</si>
  <si>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</si>
  <si>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</si>
  <si>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</si>
  <si>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</si>
  <si>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</si>
  <si>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</si>
  <si>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</si>
  <si>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</si>
  <si>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</si>
  <si>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</si>
  <si>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</si>
  <si>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</si>
  <si>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</si>
  <si>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</si>
  <si>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</si>
  <si>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</si>
  <si>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</si>
  <si>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</si>
  <si>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</si>
  <si>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</si>
  <si>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</si>
  <si>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</si>
  <si>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</si>
  <si>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</si>
  <si>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</si>
  <si>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</si>
  <si>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</si>
  <si>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</si>
  <si>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</si>
  <si>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</si>
  <si>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</si>
  <si>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</si>
  <si>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</si>
  <si>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</si>
  <si>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</si>
  <si>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</si>
  <si>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</si>
  <si>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</si>
  <si>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</si>
  <si>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</si>
  <si>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</si>
  <si>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</si>
  <si>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</si>
  <si>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</si>
  <si>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</si>
  <si>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</si>
  <si>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</si>
  <si>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</si>
  <si>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</si>
  <si>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</si>
  <si>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</si>
  <si>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</si>
  <si>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</si>
  <si>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</si>
  <si>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</si>
  <si>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</si>
  <si>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</si>
  <si>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</si>
  <si>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</si>
  <si>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</si>
  <si>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</si>
  <si>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</si>
  <si>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</si>
  <si>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</si>
  <si>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</si>
  <si>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</si>
  <si>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</si>
  <si>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</si>
  <si>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</si>
  <si>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</si>
  <si>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</si>
  <si>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</si>
  <si>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</si>
  <si>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</si>
  <si>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</si>
  <si>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</si>
  <si>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</si>
  <si>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</si>
  <si>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</si>
  <si>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</si>
  <si>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</si>
  <si>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</si>
  <si>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</si>
  <si>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</si>
  <si>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</si>
  <si>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</si>
  <si>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</si>
  <si>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</si>
  <si>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</si>
  <si>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</si>
  <si>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</si>
  <si>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</si>
  <si>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</si>
  <si>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</si>
  <si>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</si>
  <si>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</si>
  <si>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</si>
  <si>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</si>
  <si>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</si>
  <si>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</si>
  <si>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</si>
  <si>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</si>
  <si>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</si>
  <si>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</si>
  <si>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</si>
  <si>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</si>
  <si>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</si>
  <si>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</si>
  <si>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</si>
  <si>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</si>
  <si>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</si>
  <si>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</si>
  <si>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</si>
  <si>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</si>
  <si>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</si>
  <si>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</si>
  <si>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</si>
  <si>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</si>
  <si>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</si>
  <si>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</si>
  <si>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</si>
  <si>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</si>
  <si>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</si>
  <si>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</si>
  <si>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</si>
  <si>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</si>
  <si>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</si>
  <si>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</si>
  <si>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</si>
  <si>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</si>
  <si>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</si>
  <si>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</si>
  <si>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</si>
  <si>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</si>
  <si>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</si>
  <si>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</si>
  <si>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</si>
  <si>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</si>
  <si>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</si>
  <si>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</si>
  <si>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</si>
  <si>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</si>
  <si>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</si>
  <si>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</si>
  <si>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</si>
  <si>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</si>
  <si>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</si>
  <si>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</si>
  <si>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</si>
  <si>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</si>
  <si>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</si>
  <si>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</si>
  <si>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</si>
  <si>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</si>
  <si>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</si>
  <si>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</si>
  <si>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</si>
  <si>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</si>
  <si>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</si>
  <si>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</si>
  <si>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</si>
  <si>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</si>
  <si>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</si>
  <si>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</si>
  <si>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</si>
  <si>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</si>
  <si>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</si>
  <si>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</si>
  <si>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</si>
  <si>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</si>
  <si>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</si>
  <si>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</si>
  <si>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</si>
  <si>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</si>
  <si>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</si>
  <si>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</si>
  <si>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</si>
  <si>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</si>
  <si>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</si>
  <si>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</si>
  <si>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</si>
  <si>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</si>
  <si>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</si>
  <si>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</si>
  <si>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</si>
  <si>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</si>
  <si>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</si>
  <si>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</si>
  <si>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</si>
  <si>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</si>
  <si>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</si>
  <si>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</si>
  <si>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</si>
  <si>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</si>
  <si>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</si>
  <si>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</si>
  <si>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</si>
  <si>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</si>
  <si>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</si>
  <si>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</si>
  <si>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</si>
  <si>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</si>
  <si>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</si>
  <si>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</si>
  <si>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</si>
  <si>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</si>
  <si>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</si>
  <si>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</si>
  <si>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</si>
  <si>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</si>
  <si>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</si>
  <si>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</si>
  <si>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</si>
  <si>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</si>
  <si>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</si>
  <si>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</si>
  <si>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</si>
  <si>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</si>
  <si>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</si>
  <si>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</si>
  <si>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</si>
  <si>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</si>
  <si>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</si>
  <si>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</si>
  <si>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</si>
  <si>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</si>
  <si>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</si>
  <si>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</si>
  <si>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</si>
  <si>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</si>
  <si>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</si>
  <si>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</si>
  <si>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</si>
  <si>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</si>
  <si>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</si>
  <si>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</si>
  <si>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</si>
  <si>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</si>
  <si>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</si>
  <si>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</si>
  <si>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</si>
  <si>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</si>
  <si>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</si>
  <si>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</si>
  <si>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</si>
  <si>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</si>
  <si>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</si>
  <si>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</si>
  <si>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</si>
  <si>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</si>
  <si>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</si>
  <si>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</si>
  <si>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</si>
  <si>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</si>
  <si>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</si>
  <si>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</si>
  <si>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</si>
  <si>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</si>
  <si>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</si>
  <si>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</si>
  <si>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</si>
  <si>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</si>
  <si>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</si>
  <si>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</si>
  <si>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</si>
  <si>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</si>
  <si>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</si>
  <si>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</si>
  <si>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</si>
  <si>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</si>
  <si>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</si>
  <si>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</si>
  <si>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</si>
  <si>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</si>
  <si>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</si>
  <si>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</si>
  <si>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</si>
  <si>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</si>
  <si>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</si>
  <si>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</si>
  <si>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</si>
  <si>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</si>
  <si>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</si>
  <si>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</si>
  <si>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</si>
  <si>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</si>
  <si>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</si>
  <si>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</si>
  <si>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</si>
  <si>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</si>
  <si>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</si>
  <si>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</si>
  <si>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</si>
  <si>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</si>
  <si>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</si>
  <si>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</si>
  <si>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</si>
  <si>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</si>
  <si>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</si>
  <si>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</si>
  <si>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</si>
  <si>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</si>
  <si>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</si>
  <si>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</si>
  <si>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</si>
  <si>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</si>
  <si>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</si>
  <si>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</si>
  <si>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</si>
  <si>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</si>
  <si>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</si>
  <si>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</si>
  <si>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</si>
  <si>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</si>
  <si>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</si>
  <si>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</si>
  <si>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</si>
  <si>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</si>
  <si>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</si>
  <si>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</si>
  <si>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</si>
  <si>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</si>
  <si>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</si>
  <si>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</si>
  <si>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</si>
  <si>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</si>
  <si>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</si>
  <si>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</si>
  <si>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</si>
  <si>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</si>
  <si>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</si>
  <si>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</si>
  <si>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</si>
  <si>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</si>
  <si>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</si>
  <si>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</si>
  <si>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</si>
  <si>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</si>
  <si>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</si>
  <si>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</si>
  <si>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</si>
  <si>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</si>
  <si>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</si>
  <si>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</si>
  <si>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</si>
  <si>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</si>
  <si>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</si>
  <si>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</si>
  <si>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</si>
  <si>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</si>
  <si>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</si>
  <si>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</si>
  <si>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</si>
  <si>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</si>
  <si>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</si>
  <si>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</si>
  <si>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</si>
  <si>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</si>
  <si>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</si>
  <si>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</si>
  <si>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</si>
  <si>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</si>
  <si>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</si>
  <si>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</si>
  <si>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</si>
  <si>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</si>
  <si>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</si>
  <si>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</si>
  <si>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</si>
  <si>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</si>
  <si>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</si>
  <si>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</si>
  <si>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</si>
  <si>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</si>
  <si>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</si>
  <si>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</si>
  <si>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</si>
  <si>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</si>
  <si>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</si>
  <si>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</si>
  <si>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</si>
  <si>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</si>
  <si>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</si>
  <si>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</si>
  <si>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</si>
  <si>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</si>
  <si>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</si>
  <si>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</si>
  <si>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</si>
  <si>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</si>
  <si>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</si>
  <si>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</si>
  <si>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</si>
  <si>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</si>
  <si>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</si>
  <si>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</si>
  <si>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</si>
  <si>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</si>
  <si>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</si>
  <si>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</si>
  <si>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</si>
  <si>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</si>
  <si>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</si>
  <si>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</si>
  <si>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</si>
  <si>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</si>
  <si>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</si>
  <si>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</si>
  <si>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</si>
  <si>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</si>
  <si>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</si>
  <si>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</si>
  <si>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</si>
  <si>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</si>
  <si>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</si>
  <si>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</si>
  <si>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</si>
  <si>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</si>
  <si>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</si>
  <si>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</si>
  <si>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</si>
  <si>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</si>
  <si>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</si>
  <si>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</si>
  <si>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</si>
  <si>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</si>
  <si>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</si>
  <si>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</si>
  <si>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</si>
  <si>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</si>
  <si>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</si>
  <si>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</si>
  <si>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</si>
  <si>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</si>
  <si>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</si>
  <si>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</si>
  <si>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</si>
  <si>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</si>
  <si>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</si>
  <si>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</si>
  <si>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</si>
  <si>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</si>
  <si>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</si>
  <si>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</si>
  <si>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</si>
  <si>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</si>
  <si>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</si>
  <si>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</si>
  <si>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</si>
  <si>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</si>
  <si>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</si>
  <si>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</si>
  <si>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</si>
  <si>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</si>
  <si>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</si>
  <si>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</si>
  <si>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</si>
  <si>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</si>
  <si>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</si>
  <si>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</si>
  <si>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</si>
  <si>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</si>
  <si>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</si>
  <si>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</si>
  <si>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</si>
  <si>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</si>
  <si>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</si>
  <si>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</si>
  <si>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</si>
  <si>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</si>
  <si>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</si>
  <si>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</si>
  <si>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</si>
  <si>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</si>
  <si>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</si>
  <si>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</si>
  <si>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</si>
  <si>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</si>
  <si>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</si>
  <si>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</si>
  <si>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</si>
  <si>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</si>
  <si>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</si>
  <si>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</si>
  <si>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</si>
  <si>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</si>
  <si>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</si>
  <si>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</si>
  <si>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</si>
  <si>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</si>
  <si>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</si>
  <si>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</si>
  <si>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</si>
  <si>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</si>
  <si>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</si>
  <si>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</si>
  <si>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</si>
  <si>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</si>
  <si>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</si>
  <si>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</si>
  <si>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</si>
  <si>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</si>
  <si>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</si>
  <si>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</si>
  <si>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</si>
  <si>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</si>
  <si>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</si>
  <si>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</si>
  <si>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</si>
  <si>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</si>
  <si>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</si>
  <si>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</si>
  <si>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</si>
  <si>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</si>
  <si>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</si>
  <si>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</si>
  <si>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</si>
  <si>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</si>
  <si>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</si>
  <si>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</si>
  <si>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</si>
  <si>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</si>
  <si>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</si>
  <si>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</si>
  <si>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</si>
  <si>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</si>
  <si>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</si>
  <si>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</si>
  <si>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</si>
  <si>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</si>
  <si>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</si>
  <si>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</si>
  <si>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</si>
  <si>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</si>
  <si>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</si>
  <si>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</si>
  <si>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</si>
  <si>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</si>
  <si>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</si>
  <si>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</si>
  <si>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</si>
  <si>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</si>
  <si>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</si>
  <si>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</si>
  <si>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</si>
  <si>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</si>
  <si>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</si>
  <si>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</si>
  <si>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</si>
  <si>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</si>
  <si>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</si>
  <si>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</si>
  <si>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</si>
  <si>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</si>
  <si>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</si>
  <si>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</si>
  <si>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</si>
  <si>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</si>
  <si>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</si>
  <si>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</si>
  <si>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</si>
  <si>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</si>
  <si>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</si>
  <si>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</si>
  <si>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</si>
  <si>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</si>
  <si>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</si>
  <si>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</si>
  <si>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</si>
  <si>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</si>
  <si>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</si>
  <si>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</si>
  <si>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</si>
  <si>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</si>
  <si>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</si>
  <si>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</si>
  <si>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</si>
  <si>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</si>
  <si>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</si>
  <si>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</si>
  <si>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</si>
  <si>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</si>
  <si>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</si>
  <si>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</si>
  <si>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</si>
  <si>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</si>
  <si>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</si>
  <si>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</si>
  <si>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</si>
  <si>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</si>
  <si>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</si>
  <si>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</si>
  <si>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</si>
  <si>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</si>
  <si>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</si>
  <si>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</si>
  <si>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</si>
  <si>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</si>
  <si>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</si>
  <si>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</si>
  <si>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</si>
  <si>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</si>
  <si>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</si>
  <si>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</si>
  <si>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</si>
  <si>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</si>
  <si>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</si>
  <si>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</si>
  <si>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</si>
  <si>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</si>
  <si>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</si>
  <si>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</si>
  <si>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</si>
  <si>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</si>
  <si>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</si>
  <si>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</si>
  <si>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</si>
  <si>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</si>
  <si>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</si>
  <si>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</si>
  <si>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</si>
  <si>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</si>
  <si>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</si>
  <si>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</si>
  <si>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</si>
  <si>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</si>
  <si>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</si>
  <si>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</si>
  <si>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</si>
  <si>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</si>
  <si>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</si>
  <si>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</si>
  <si>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</si>
  <si>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</si>
  <si>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</si>
  <si>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</si>
  <si>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</si>
  <si>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</si>
  <si>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</si>
  <si>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</si>
  <si>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</si>
  <si>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</si>
  <si>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</si>
  <si>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</si>
  <si>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</si>
  <si>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</si>
  <si>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</si>
  <si>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</si>
  <si>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</si>
  <si>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</si>
  <si>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</si>
  <si>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</si>
  <si>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</si>
  <si>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</si>
  <si>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</si>
  <si>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</si>
  <si>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</si>
  <si>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</si>
  <si>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</si>
  <si>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</si>
  <si>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</si>
  <si>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</si>
  <si>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</si>
  <si>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</si>
  <si>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</si>
  <si>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</si>
  <si>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</si>
  <si>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</si>
  <si>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</si>
  <si>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</si>
  <si>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</si>
  <si>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</si>
  <si>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</si>
  <si>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</si>
  <si>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</si>
  <si>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</si>
  <si>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</si>
  <si>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</si>
  <si>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</si>
  <si>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</si>
  <si>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</si>
  <si>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</si>
  <si>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</si>
  <si>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</si>
  <si>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</si>
  <si>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</si>
  <si>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</si>
  <si>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</si>
  <si>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</si>
  <si>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</si>
  <si>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</si>
  <si>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</si>
  <si>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</si>
  <si>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</si>
  <si>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</si>
  <si>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</si>
  <si>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</si>
  <si>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</si>
  <si>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</si>
  <si>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</si>
  <si>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</si>
  <si>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</si>
  <si>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</si>
  <si>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</si>
  <si>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</si>
  <si>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</si>
  <si>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</si>
  <si>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</si>
  <si>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</si>
  <si>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</si>
  <si>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</si>
  <si>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</si>
  <si>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</si>
  <si>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</si>
  <si>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</si>
  <si>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</si>
  <si>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</si>
  <si>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</si>
  <si>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</si>
  <si>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</si>
  <si>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</si>
  <si>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</si>
  <si>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</si>
  <si>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</si>
  <si>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</si>
  <si>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</si>
  <si>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</si>
  <si>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</si>
  <si>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</si>
  <si>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</si>
  <si>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</si>
  <si>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</si>
  <si>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</si>
  <si>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</si>
  <si>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</si>
  <si>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</si>
  <si>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</si>
  <si>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</si>
  <si>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</si>
  <si>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</si>
  <si>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</si>
  <si>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</si>
  <si>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</si>
  <si>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</si>
  <si>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</si>
  <si>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</si>
  <si>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</si>
  <si>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</si>
  <si>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</si>
  <si>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</si>
  <si>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</si>
  <si>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</si>
  <si>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</si>
  <si>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</si>
  <si>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</si>
  <si>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</si>
  <si>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</si>
  <si>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</si>
  <si>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</si>
  <si>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</si>
  <si>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</si>
  <si>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</si>
  <si>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</si>
  <si>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</si>
  <si>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</si>
  <si>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</si>
  <si>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</si>
  <si>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</si>
  <si>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</si>
  <si>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</si>
  <si>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</si>
  <si>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</si>
  <si>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</si>
  <si>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</si>
  <si>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</si>
  <si>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</si>
  <si>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</si>
  <si>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</si>
  <si>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</si>
  <si>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</si>
  <si>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</si>
  <si>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</si>
  <si>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</si>
  <si>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</si>
  <si>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</si>
  <si>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</si>
  <si>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</si>
  <si>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</si>
  <si>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</si>
  <si>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</si>
  <si>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</si>
  <si>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</si>
  <si>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</si>
  <si>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</si>
  <si>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</si>
  <si>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</si>
  <si>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</si>
  <si>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</si>
  <si>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</si>
  <si>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</si>
  <si>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</si>
  <si>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</si>
  <si>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</si>
  <si>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</si>
  <si>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</si>
  <si>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</si>
  <si>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</si>
  <si>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</si>
  <si>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</si>
  <si>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</si>
  <si>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</si>
  <si>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</si>
  <si>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</si>
  <si>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</si>
  <si>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</si>
  <si>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</si>
  <si>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</si>
  <si>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</si>
  <si>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</si>
  <si>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</si>
  <si>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</si>
  <si>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</si>
  <si>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</si>
  <si>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</si>
  <si>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</si>
  <si>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</si>
  <si>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</si>
  <si>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</si>
  <si>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</si>
  <si>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</si>
  <si>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</si>
  <si>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</si>
  <si>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</si>
  <si>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</si>
  <si>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</si>
  <si>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</si>
  <si>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</si>
  <si>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</si>
  <si>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</si>
  <si>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</si>
  <si>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</si>
  <si>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</si>
  <si>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</si>
  <si>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</si>
  <si>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</si>
  <si>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</si>
  <si>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</si>
  <si>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</si>
  <si>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</si>
  <si>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</si>
  <si>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</si>
  <si>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</si>
  <si>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</si>
  <si>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</si>
  <si>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</si>
  <si>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</si>
  <si>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</si>
  <si>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</si>
  <si>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</si>
  <si>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</si>
  <si>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</si>
  <si>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</si>
  <si>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</si>
  <si>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</si>
  <si>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</si>
  <si>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</si>
  <si>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</si>
  <si>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</si>
  <si>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</si>
  <si>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</si>
  <si>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</si>
  <si>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</si>
  <si>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</si>
  <si>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</si>
  <si>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</si>
  <si>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</si>
  <si>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</si>
  <si>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</si>
  <si>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</si>
  <si>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</si>
  <si>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</si>
  <si>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</si>
  <si>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</si>
  <si>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</si>
  <si>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</si>
  <si>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</si>
  <si>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</si>
  <si>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</si>
  <si>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</si>
  <si>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</si>
  <si>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</si>
  <si>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</si>
  <si>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</si>
  <si>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</si>
  <si>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</si>
  <si>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</si>
  <si>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</si>
  <si>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</si>
  <si>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</si>
  <si>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</si>
  <si>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</si>
  <si>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</si>
  <si>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</si>
  <si>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</si>
  <si>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</si>
  <si>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</si>
  <si>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</si>
  <si>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</si>
  <si>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</si>
  <si>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</si>
  <si>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</si>
  <si>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</si>
  <si>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</si>
  <si>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</si>
  <si>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</si>
  <si>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</si>
  <si>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</si>
  <si>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</si>
  <si>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</si>
  <si>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</si>
  <si>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</si>
  <si>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</si>
  <si>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</si>
  <si>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</si>
  <si>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</si>
  <si>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</si>
  <si>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</si>
  <si>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</si>
  <si>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</si>
  <si>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</si>
  <si>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</si>
  <si>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</si>
  <si>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</si>
  <si>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</si>
  <si>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</si>
  <si>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</si>
  <si>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</si>
  <si>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</si>
  <si>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</si>
  <si>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</si>
  <si>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</si>
  <si>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</si>
  <si>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</si>
  <si>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</si>
  <si>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</si>
  <si>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</si>
  <si>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</si>
  <si>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</si>
  <si>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</si>
  <si>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</si>
  <si>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</si>
  <si>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</si>
  <si>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</si>
  <si>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</si>
  <si>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</si>
  <si>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</si>
  <si>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</si>
  <si>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</si>
  <si>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</si>
  <si>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</si>
  <si>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</si>
  <si>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</si>
  <si>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</si>
  <si>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</si>
  <si>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</si>
  <si>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</si>
  <si>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</si>
  <si>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</si>
  <si>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</si>
  <si>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</si>
  <si>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</si>
  <si>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</si>
  <si>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</si>
  <si>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</si>
  <si>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</si>
  <si>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</si>
  <si>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</si>
  <si>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</si>
  <si>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</si>
  <si>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</si>
  <si>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</si>
  <si>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</si>
  <si>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</si>
  <si>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</si>
  <si>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</si>
  <si>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</si>
  <si>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</si>
  <si>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</si>
  <si>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</si>
  <si>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</si>
  <si>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</si>
  <si>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</si>
  <si>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</si>
  <si>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</si>
  <si>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</si>
  <si>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</si>
  <si>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</si>
  <si>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Secretaria de Presidencia</t>
  </si>
  <si>
    <t xml:space="preserve">Director </t>
  </si>
  <si>
    <t>Transparencia</t>
  </si>
  <si>
    <t>Auxiliar de Registro Civil</t>
  </si>
  <si>
    <t>Registro Civil</t>
  </si>
  <si>
    <t>Catastro</t>
  </si>
  <si>
    <t>Auxiliar de computo</t>
  </si>
  <si>
    <t>Informatica</t>
  </si>
  <si>
    <t>Encargado de Hacienda Municipal</t>
  </si>
  <si>
    <t>Hacienda Municipal</t>
  </si>
  <si>
    <t>Secretaria de Hacienda Municipal</t>
  </si>
  <si>
    <t>Secretaria de Catastro</t>
  </si>
  <si>
    <t>Contralor Municipal</t>
  </si>
  <si>
    <t>Contraloria Municipal</t>
  </si>
  <si>
    <t>Juez Municipal</t>
  </si>
  <si>
    <t>Juridico</t>
  </si>
  <si>
    <t>Obras Públicas</t>
  </si>
  <si>
    <t>Secretaria de obras públicas</t>
  </si>
  <si>
    <t>Chofer camión volteo</t>
  </si>
  <si>
    <t>Mecánico Municipal</t>
  </si>
  <si>
    <t>Operador Motoconformadora</t>
  </si>
  <si>
    <t>Ayudante mecánico municipal</t>
  </si>
  <si>
    <t>Chofer de aseo público</t>
  </si>
  <si>
    <t>Servicios Públicos</t>
  </si>
  <si>
    <t>Auxiliar de aseo público</t>
  </si>
  <si>
    <t>Afanador panteón municipal</t>
  </si>
  <si>
    <t>Afanador parque isla</t>
  </si>
  <si>
    <t>Afanadora de presidencia</t>
  </si>
  <si>
    <t>Afanador unidad deportiva</t>
  </si>
  <si>
    <t>Afanadora plaza prinicipal</t>
  </si>
  <si>
    <t>Electricista</t>
  </si>
  <si>
    <t>Auxiliar de electricista</t>
  </si>
  <si>
    <t>Agua Potable</t>
  </si>
  <si>
    <t xml:space="preserve">Auxiliar de la distribución de agua </t>
  </si>
  <si>
    <t>Proyectos productivos</t>
  </si>
  <si>
    <t>Directora Poyectos Productivos</t>
  </si>
  <si>
    <t>Secretaria de proyectos productivos</t>
  </si>
  <si>
    <t>Directora de cultura</t>
  </si>
  <si>
    <t>Afanadora casa de la cultura</t>
  </si>
  <si>
    <t>Auxiliar de la biblioteca</t>
  </si>
  <si>
    <t>Directora de turismo</t>
  </si>
  <si>
    <t>Directora de medios audiovisuales</t>
  </si>
  <si>
    <t>Auxiliar de medios audiovisuales</t>
  </si>
  <si>
    <t>Director del deporte</t>
  </si>
  <si>
    <t>Directora del instituto de la mujer</t>
  </si>
  <si>
    <t>Instituto de la muejr</t>
  </si>
  <si>
    <t>Director del rastro</t>
  </si>
  <si>
    <t>Rastro municipal</t>
  </si>
  <si>
    <t>Inspector de ganaderia</t>
  </si>
  <si>
    <t>Chofer transporte escolar</t>
  </si>
  <si>
    <t>Educación Municipal</t>
  </si>
  <si>
    <t>Encargado del comedor escolar</t>
  </si>
  <si>
    <t>Médico municipal</t>
  </si>
  <si>
    <t>Servicios Médicos</t>
  </si>
  <si>
    <t>Paramédico municipal</t>
  </si>
  <si>
    <t>Chofer de ambulancia</t>
  </si>
  <si>
    <t>Chofer de autobus</t>
  </si>
  <si>
    <t>Director de seguridad pública</t>
  </si>
  <si>
    <t>Seguridad Pública</t>
  </si>
  <si>
    <t>Comandante de seguridad públcia</t>
  </si>
  <si>
    <t>Supervisor de turno</t>
  </si>
  <si>
    <t>Policia de línea</t>
  </si>
  <si>
    <t>Auxiliar administrativo</t>
  </si>
  <si>
    <t xml:space="preserve">Director de Catastro </t>
  </si>
  <si>
    <t>Secretaria de Hacienda Municipal y Asistente administrativo</t>
  </si>
  <si>
    <t>Director General de Infraestructura y Desarrollo Social</t>
  </si>
  <si>
    <t>Sub-Director General de Infraestructura y Desarrollo Social</t>
  </si>
  <si>
    <t>Director de maquinaria y almacenes municipales</t>
  </si>
  <si>
    <t>Director de obras públicas y Desarrollo Social</t>
  </si>
  <si>
    <t>Operador excavadora</t>
  </si>
  <si>
    <t>Auxiliar de operador</t>
  </si>
  <si>
    <t>Secretaia de Desarrollo Social</t>
  </si>
  <si>
    <t>Auxiliar</t>
  </si>
  <si>
    <t>Bodeguero</t>
  </si>
  <si>
    <t>Albañil y Fontanero</t>
  </si>
  <si>
    <t>Director de protección civil</t>
  </si>
  <si>
    <t xml:space="preserve">Auxiliar </t>
  </si>
  <si>
    <t>Moderniación integral de la administración Pública</t>
  </si>
  <si>
    <t>Proyectos de invresión en Infraestructura Urbana</t>
  </si>
  <si>
    <t>Incremento de servicios de agua potable, electricidad y alumbrado</t>
  </si>
  <si>
    <t>Mejora en la calidad de los servicios públicos municipales</t>
  </si>
  <si>
    <t>Desarrollo Social y Combate a la Pobreza</t>
  </si>
  <si>
    <t>Desarrollo Económico y Empleo</t>
  </si>
  <si>
    <t>Rediseñar la estructura orgánica de la administración</t>
  </si>
  <si>
    <t>Porcentaje de proyectos aprobados</t>
  </si>
  <si>
    <t>Proyectos aprobados/Total de proyectos presentados</t>
  </si>
  <si>
    <t>Mejorar la imagen Urbana del Municipio</t>
  </si>
  <si>
    <t>Porcentaje de  obras de ifraestructura entregadas</t>
  </si>
  <si>
    <t>Número de obras realizadas y entregadas/Total de obras programadas</t>
  </si>
  <si>
    <t>Dotación eficiente de agua potable en zonas marginadas</t>
  </si>
  <si>
    <t>Porcentaje de red de agua potable terminadas en zonas marginadas</t>
  </si>
  <si>
    <t>Número de red de agua potable entregada en zonas marginadas/Total de redes de agua potable programadas en zonas marginadas</t>
  </si>
  <si>
    <t>Proporcionar servicios públicos municipales de calidad y en forma eficiente</t>
  </si>
  <si>
    <t>Porcentaje Servicios públicos proporcionados y evaluados</t>
  </si>
  <si>
    <t>Servicios públicos evaluados/Total de servicios públicos que proporciona el municipio</t>
  </si>
  <si>
    <t>Incrementar el nivel básico educativo en la población</t>
  </si>
  <si>
    <t>Porcentaje de escuelas del nivel básico educativo que recibieron apoyos y becas</t>
  </si>
  <si>
    <t>Número de escuelas que recibieron apoyos y becas/Total de escuelas inscritas en el programa de apoyos y becas</t>
  </si>
  <si>
    <t>Incremento de la Producción Agropecuaria del Municipio</t>
  </si>
  <si>
    <t>Empresas con actividades agropecuarias</t>
  </si>
  <si>
    <t>Tecnificación y mejora de los canales de distrbución de los productos agrícolas</t>
  </si>
  <si>
    <t>Empresas inscritas en el programa</t>
  </si>
  <si>
    <t>Garantizar la línea de distribución del productor-comprador-consumidor</t>
  </si>
  <si>
    <t>Porcentaje de empresas con actividades agropecuarias y potencial productivo que recibieron capacitación</t>
  </si>
  <si>
    <t>Porcentaje de empresas agropecuarias con potencial productivo con capacitación/Total de empresas con actividades agropecuarias con potencial productivo inscritas en la capacitación</t>
  </si>
  <si>
    <t>Capacitación y asistencia técnica a agricultores de las empresas inscritas</t>
  </si>
  <si>
    <t>Promoción de los atractivos turísticos del municipio</t>
  </si>
  <si>
    <t>Porcentaje de eventos realizados a la promoción del turismo</t>
  </si>
  <si>
    <t>Número de eventos realizados para la promoción del turismo/Eventos programados para la promoción del turismo</t>
  </si>
  <si>
    <t>Difundir los actractivos turísiticos del municipio</t>
  </si>
  <si>
    <t>3.1.1.1.0</t>
  </si>
  <si>
    <t>Secretaria General</t>
  </si>
  <si>
    <t>Contraloría Municipal</t>
  </si>
  <si>
    <t>Catastro Municipal</t>
  </si>
  <si>
    <t>Protección Civil</t>
  </si>
  <si>
    <t>Unidad de Transparencia</t>
  </si>
  <si>
    <t>Educación Pública</t>
  </si>
  <si>
    <t>Cultura/Casa de la Cultura</t>
  </si>
  <si>
    <t>Medios Audiovisuales / Tursimo / Informática</t>
  </si>
  <si>
    <t>Desarrollo Social</t>
  </si>
  <si>
    <t>Proyectos Productivos</t>
  </si>
  <si>
    <t>Rastro Municipal</t>
  </si>
  <si>
    <t>DIF Municipal</t>
  </si>
  <si>
    <t>No se realizaron</t>
  </si>
  <si>
    <t>estudios</t>
  </si>
  <si>
    <t>actuariales en el</t>
  </si>
  <si>
    <t>ejercicios fiscal</t>
  </si>
  <si>
    <t>Juzgado Municipal</t>
  </si>
  <si>
    <t>Instituto Municipal de la Mujer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</si>
</sst>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74175869</c:v>
                </c:pt>
                <c:pt idx="3">
                  <c:v>0</c:v>
                </c:pt>
                <c:pt idx="4">
                  <c:v>3500</c:v>
                </c:pt>
                <c:pt idx="5">
                  <c:v>238590</c:v>
                </c:pt>
                <c:pt idx="6">
                  <c:v>2569480</c:v>
                </c:pt>
                <c:pt idx="7">
                  <c:v>0</c:v>
                </c:pt>
                <c:pt idx="8">
                  <c:v>0</c:v>
                </c:pt>
                <c:pt idx="9">
                  <c:v>2123964</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30899099</c:v>
                </c:pt>
                <c:pt idx="1">
                  <c:v>15956061</c:v>
                </c:pt>
                <c:pt idx="2">
                  <c:v>12671520</c:v>
                </c:pt>
                <c:pt idx="3">
                  <c:v>4796833</c:v>
                </c:pt>
                <c:pt idx="4">
                  <c:v>1634263</c:v>
                </c:pt>
                <c:pt idx="5">
                  <c:v>13153627</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x14ac:dyDescent="0.2">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10.25" x14ac:dyDescent="0.2">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1.5" x14ac:dyDescent="0.2">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x14ac:dyDescent="0.2">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x14ac:dyDescent="0.2">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x14ac:dyDescent="0.2">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x14ac:dyDescent="0.2">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x14ac:dyDescent="0.2">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31.5" x14ac:dyDescent="0.2">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x14ac:dyDescent="0.2">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x14ac:dyDescent="0.2">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x14ac:dyDescent="0.2">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x14ac:dyDescent="0.2">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1.5" x14ac:dyDescent="0.2">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x14ac:dyDescent="0.2">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x14ac:dyDescent="0.2">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7.25" x14ac:dyDescent="0.2">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x14ac:dyDescent="0.2">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x14ac:dyDescent="0.2">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x14ac:dyDescent="0.2">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x14ac:dyDescent="0.2">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x14ac:dyDescent="0.2">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x14ac:dyDescent="0.2">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x14ac:dyDescent="0.2">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x14ac:dyDescent="0.2">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x14ac:dyDescent="0.2">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x14ac:dyDescent="0.2">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x14ac:dyDescent="0.2">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x14ac:dyDescent="0.2">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x14ac:dyDescent="0.2">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x14ac:dyDescent="0.2">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x14ac:dyDescent="0.2">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x14ac:dyDescent="0.2">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x14ac:dyDescent="0.2">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x14ac:dyDescent="0.2">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x14ac:dyDescent="0.2">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x14ac:dyDescent="0.2">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x14ac:dyDescent="0.2">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x14ac:dyDescent="0.2">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31.5" x14ac:dyDescent="0.2">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x14ac:dyDescent="0.2">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x14ac:dyDescent="0.2">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x14ac:dyDescent="0.2">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x14ac:dyDescent="0.2">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x14ac:dyDescent="0.2">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20.5" x14ac:dyDescent="0.2">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26" x14ac:dyDescent="0.2">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x14ac:dyDescent="0.2">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x14ac:dyDescent="0.2">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26" x14ac:dyDescent="0.2">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x14ac:dyDescent="0.2">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x14ac:dyDescent="0.2">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x14ac:dyDescent="0.2">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1.5" x14ac:dyDescent="0.2">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x14ac:dyDescent="0.2">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x14ac:dyDescent="0.2">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x14ac:dyDescent="0.2">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x14ac:dyDescent="0.2">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x14ac:dyDescent="0.2">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1.5" x14ac:dyDescent="0.2">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x14ac:dyDescent="0.2">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x14ac:dyDescent="0.2">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x14ac:dyDescent="0.2">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1.5" x14ac:dyDescent="0.2">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x14ac:dyDescent="0.2">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x14ac:dyDescent="0.2">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1.5" x14ac:dyDescent="0.2">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x14ac:dyDescent="0.2">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x14ac:dyDescent="0.2">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x14ac:dyDescent="0.2">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x14ac:dyDescent="0.2">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x14ac:dyDescent="0.2">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x14ac:dyDescent="0.2">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x14ac:dyDescent="0.2">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x14ac:dyDescent="0.2">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1.5" x14ac:dyDescent="0.2">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1.5" x14ac:dyDescent="0.2">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1.5" x14ac:dyDescent="0.2">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x14ac:dyDescent="0.2">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1.5" x14ac:dyDescent="0.2">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x14ac:dyDescent="0.2">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1.5" x14ac:dyDescent="0.2">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3" x14ac:dyDescent="0.2">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x14ac:dyDescent="0.2">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x14ac:dyDescent="0.2">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7.25" x14ac:dyDescent="0.2">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x14ac:dyDescent="0.2">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x14ac:dyDescent="0.2">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x14ac:dyDescent="0.2">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x14ac:dyDescent="0.2">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x14ac:dyDescent="0.2">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x14ac:dyDescent="0.2">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x14ac:dyDescent="0.2">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x14ac:dyDescent="0.2">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x14ac:dyDescent="0.2">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x14ac:dyDescent="0.2">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x14ac:dyDescent="0.2">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x14ac:dyDescent="0.2">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x14ac:dyDescent="0.2">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31.5" x14ac:dyDescent="0.2">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x14ac:dyDescent="0.2">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3" x14ac:dyDescent="0.2">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x14ac:dyDescent="0.2">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x14ac:dyDescent="0.2">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x14ac:dyDescent="0.2">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x14ac:dyDescent="0.2">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x14ac:dyDescent="0.2">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x14ac:dyDescent="0.2">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x14ac:dyDescent="0.2">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x14ac:dyDescent="0.2">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31.5" x14ac:dyDescent="0.2">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1.5" x14ac:dyDescent="0.2">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1.5" x14ac:dyDescent="0.2">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x14ac:dyDescent="0.2">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x14ac:dyDescent="0.2">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x14ac:dyDescent="0.2">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x14ac:dyDescent="0.2">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x14ac:dyDescent="0.2">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x14ac:dyDescent="0.2">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x14ac:dyDescent="0.2">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1.5" x14ac:dyDescent="0.2">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1.5" x14ac:dyDescent="0.2">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1.5" x14ac:dyDescent="0.2">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1.5" x14ac:dyDescent="0.2">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3" x14ac:dyDescent="0.2">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x14ac:dyDescent="0.2">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x14ac:dyDescent="0.2">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x14ac:dyDescent="0.2">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x14ac:dyDescent="0.2">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x14ac:dyDescent="0.2">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x14ac:dyDescent="0.2">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x14ac:dyDescent="0.2">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x14ac:dyDescent="0.2">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x14ac:dyDescent="0.2">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x14ac:dyDescent="0.2">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x14ac:dyDescent="0.2">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x14ac:dyDescent="0.2">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x14ac:dyDescent="0.2">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x14ac:dyDescent="0.2">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x14ac:dyDescent="0.2">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x14ac:dyDescent="0.2">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x14ac:dyDescent="0.2">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x14ac:dyDescent="0.2">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x14ac:dyDescent="0.2">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x14ac:dyDescent="0.2">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x14ac:dyDescent="0.2">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x14ac:dyDescent="0.2">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x14ac:dyDescent="0.2">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x14ac:dyDescent="0.2">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x14ac:dyDescent="0.2">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x14ac:dyDescent="0.2">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x14ac:dyDescent="0.2">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7.25" x14ac:dyDescent="0.2">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x14ac:dyDescent="0.2">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x14ac:dyDescent="0.2">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x14ac:dyDescent="0.2">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x14ac:dyDescent="0.2">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x14ac:dyDescent="0.2">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x14ac:dyDescent="0.2">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x14ac:dyDescent="0.2">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x14ac:dyDescent="0.2">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x14ac:dyDescent="0.2">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x14ac:dyDescent="0.2">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x14ac:dyDescent="0.2">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3" x14ac:dyDescent="0.2">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x14ac:dyDescent="0.2">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x14ac:dyDescent="0.2">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x14ac:dyDescent="0.2">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x14ac:dyDescent="0.2">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x14ac:dyDescent="0.2">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x14ac:dyDescent="0.2">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x14ac:dyDescent="0.2">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x14ac:dyDescent="0.2">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x14ac:dyDescent="0.2">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x14ac:dyDescent="0.2">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x14ac:dyDescent="0.2">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x14ac:dyDescent="0.2">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x14ac:dyDescent="0.2">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x14ac:dyDescent="0.2">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x14ac:dyDescent="0.2">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x14ac:dyDescent="0.2">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x14ac:dyDescent="0.2">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x14ac:dyDescent="0.2">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x14ac:dyDescent="0.2">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x14ac:dyDescent="0.2">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x14ac:dyDescent="0.2">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x14ac:dyDescent="0.2">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x14ac:dyDescent="0.2">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x14ac:dyDescent="0.2">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x14ac:dyDescent="0.2">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x14ac:dyDescent="0.2">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x14ac:dyDescent="0.2">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x14ac:dyDescent="0.2">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63" x14ac:dyDescent="0.2">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1.5" x14ac:dyDescent="0.2">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x14ac:dyDescent="0.2">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7.25" x14ac:dyDescent="0.2">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x14ac:dyDescent="0.2">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x14ac:dyDescent="0.2">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63" x14ac:dyDescent="0.2">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x14ac:dyDescent="0.2">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x14ac:dyDescent="0.2">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10.25" x14ac:dyDescent="0.2">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x14ac:dyDescent="0.2">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x14ac:dyDescent="0.2">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x14ac:dyDescent="0.2">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x14ac:dyDescent="0.2">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x14ac:dyDescent="0.2">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x14ac:dyDescent="0.2">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x14ac:dyDescent="0.2">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x14ac:dyDescent="0.2">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x14ac:dyDescent="0.2">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x14ac:dyDescent="0.2">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x14ac:dyDescent="0.2">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x14ac:dyDescent="0.2">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x14ac:dyDescent="0.2">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x14ac:dyDescent="0.2">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x14ac:dyDescent="0.2">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x14ac:dyDescent="0.2">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x14ac:dyDescent="0.2">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x14ac:dyDescent="0.2">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x14ac:dyDescent="0.2">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x14ac:dyDescent="0.2">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x14ac:dyDescent="0.2">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x14ac:dyDescent="0.2">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x14ac:dyDescent="0.2">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x14ac:dyDescent="0.2">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x14ac:dyDescent="0.2">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x14ac:dyDescent="0.2">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x14ac:dyDescent="0.2">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x14ac:dyDescent="0.2">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x14ac:dyDescent="0.2">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x14ac:dyDescent="0.2">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x14ac:dyDescent="0.2">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x14ac:dyDescent="0.2">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x14ac:dyDescent="0.2">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x14ac:dyDescent="0.2">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x14ac:dyDescent="0.2">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x14ac:dyDescent="0.2">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x14ac:dyDescent="0.2">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x14ac:dyDescent="0.2">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x14ac:dyDescent="0.2">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pageSetUpPr fitToPage="1"/>
  </sheetPr>
  <dimension ref="A1:P435"/>
  <sheetViews>
    <sheetView showGridLines="0" zoomScaleNormal="100" workbookViewId="0">
      <pane xSplit="2" ySplit="7" topLeftCell="C8" activePane="bottomRight" state="frozen"/>
      <selection activeCell="H14" sqref="B14:AM16"/>
      <selection pane="topRight" activeCell="H14" sqref="B14:AM16"/>
      <selection pane="bottomLeft" activeCell="H14" sqref="B14:AM16"/>
      <selection pane="bottomRight" activeCell="C59" sqref="C59"/>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2539</v>
      </c>
    </row>
    <row r="3" spans="1:15" ht="21" x14ac:dyDescent="0.35">
      <c r="A3" s="300" t="str">
        <f>Inconsistencias!$B$6&amp;IF(LOOKUP(Inconsistencias!$B$6,EF!$C$2:$C$1001,EF!$I$2:I$1001)="Dependencia",", Jalisco","")</f>
        <v>San Cristóbal de la Barranca, Jalisco</v>
      </c>
    </row>
    <row r="4" spans="1:15" ht="18.75" x14ac:dyDescent="0.3">
      <c r="A4" s="301" t="str">
        <f>"Ejercicio Fiscal "&amp;Inconsistencias!U2</f>
        <v>Ejercicio Fiscal 2025</v>
      </c>
    </row>
    <row r="5" spans="1:15" x14ac:dyDescent="0.25"/>
    <row r="6" spans="1:15" ht="27.75" customHeight="1" x14ac:dyDescent="0.25">
      <c r="A6" s="543" t="s">
        <v>2247</v>
      </c>
      <c r="B6" s="543"/>
      <c r="C6" s="538" t="s">
        <v>2248</v>
      </c>
      <c r="D6" s="546" t="s">
        <v>2249</v>
      </c>
      <c r="E6" s="546" t="s">
        <v>975</v>
      </c>
      <c r="F6" s="546" t="s">
        <v>1</v>
      </c>
      <c r="G6" s="537" t="s">
        <v>2250</v>
      </c>
      <c r="H6" s="538"/>
      <c r="I6" s="247">
        <v>131</v>
      </c>
      <c r="J6" s="247">
        <v>132</v>
      </c>
      <c r="K6" s="247">
        <v>132</v>
      </c>
      <c r="L6" s="247">
        <v>133</v>
      </c>
      <c r="M6" s="247">
        <v>134</v>
      </c>
      <c r="N6" s="247">
        <v>1500</v>
      </c>
      <c r="O6" s="539" t="s">
        <v>2254</v>
      </c>
    </row>
    <row r="7" spans="1:15" ht="51" x14ac:dyDescent="0.25">
      <c r="A7" s="544"/>
      <c r="B7" s="544"/>
      <c r="C7" s="545"/>
      <c r="D7" s="548"/>
      <c r="E7" s="547"/>
      <c r="F7" s="547"/>
      <c r="G7" s="248" t="s">
        <v>1715</v>
      </c>
      <c r="H7" s="248" t="s">
        <v>1718</v>
      </c>
      <c r="I7" s="248" t="s">
        <v>30</v>
      </c>
      <c r="J7" s="248" t="s">
        <v>2251</v>
      </c>
      <c r="K7" s="248" t="s">
        <v>2252</v>
      </c>
      <c r="L7" s="248" t="s">
        <v>32</v>
      </c>
      <c r="M7" s="248" t="s">
        <v>33</v>
      </c>
      <c r="N7" s="248" t="s">
        <v>2253</v>
      </c>
      <c r="O7" s="540"/>
    </row>
    <row r="8" spans="1:15" ht="15" customHeight="1" x14ac:dyDescent="0.25">
      <c r="A8" s="541" t="s">
        <v>724</v>
      </c>
      <c r="B8" s="541"/>
      <c r="C8" s="13" t="s">
        <v>725</v>
      </c>
      <c r="D8" s="127">
        <v>111</v>
      </c>
      <c r="E8" s="124">
        <v>15</v>
      </c>
      <c r="F8" s="124">
        <v>9</v>
      </c>
      <c r="G8" s="136">
        <v>18778</v>
      </c>
      <c r="H8" s="140">
        <f>IF(G8="","",IF(E8="","Se requiere asignar la fuente de financiamiento (FF)",IF(F8="","Es necesario establcer el número de plazas (No.)",IF(G8="","Se necesita establcer un monto mensual",F8*G8*12))))</f>
        <v>2028024</v>
      </c>
      <c r="I8" s="136"/>
      <c r="J8" s="136">
        <v>28167</v>
      </c>
      <c r="K8" s="136">
        <v>281670</v>
      </c>
      <c r="L8" s="136"/>
      <c r="M8" s="136"/>
      <c r="N8" s="136"/>
      <c r="O8" s="141">
        <f>SUM(H8:N8)</f>
        <v>2337861</v>
      </c>
    </row>
    <row r="9" spans="1:15" ht="15" customHeight="1" x14ac:dyDescent="0.25">
      <c r="A9" s="541" t="s">
        <v>2166</v>
      </c>
      <c r="B9" s="541"/>
      <c r="C9" s="13" t="s">
        <v>726</v>
      </c>
      <c r="D9" s="128">
        <v>111</v>
      </c>
      <c r="E9" s="124">
        <v>15</v>
      </c>
      <c r="F9" s="125">
        <v>1</v>
      </c>
      <c r="G9" s="137">
        <v>39984</v>
      </c>
      <c r="H9" s="140">
        <f t="shared" ref="H9:H72" si="0">IF(G9="","",IF(E9="","Se requiere asignar la fuente de financiamiento (FF)",IF(F9="","Es necesario establcer el número de plazas (No.)",IF(G9="","Se necesita establcer un monto mensual",F9*G9*12))))</f>
        <v>479808</v>
      </c>
      <c r="I9" s="137"/>
      <c r="J9" s="137">
        <v>6664</v>
      </c>
      <c r="K9" s="137">
        <v>66640</v>
      </c>
      <c r="L9" s="137"/>
      <c r="M9" s="137"/>
      <c r="N9" s="137"/>
      <c r="O9" s="141">
        <f t="shared" ref="O9:O72" si="1">SUM(H9:N9)</f>
        <v>553112</v>
      </c>
    </row>
    <row r="10" spans="1:15" ht="15" customHeight="1" x14ac:dyDescent="0.25">
      <c r="A10" s="541" t="s">
        <v>727</v>
      </c>
      <c r="B10" s="541"/>
      <c r="C10" s="13" t="s">
        <v>728</v>
      </c>
      <c r="D10" s="128">
        <v>113</v>
      </c>
      <c r="E10" s="124">
        <v>15</v>
      </c>
      <c r="F10" s="125">
        <v>1</v>
      </c>
      <c r="G10" s="138">
        <v>29797</v>
      </c>
      <c r="H10" s="140">
        <f t="shared" si="0"/>
        <v>357564</v>
      </c>
      <c r="I10" s="138"/>
      <c r="J10" s="138">
        <v>4966</v>
      </c>
      <c r="K10" s="138">
        <v>49662</v>
      </c>
      <c r="L10" s="138"/>
      <c r="M10" s="138"/>
      <c r="N10" s="138"/>
      <c r="O10" s="141">
        <f t="shared" si="1"/>
        <v>412192</v>
      </c>
    </row>
    <row r="11" spans="1:15" ht="15" customHeight="1" x14ac:dyDescent="0.25">
      <c r="A11" s="541" t="s">
        <v>729</v>
      </c>
      <c r="B11" s="541"/>
      <c r="C11" s="13" t="s">
        <v>730</v>
      </c>
      <c r="D11" s="128">
        <v>113</v>
      </c>
      <c r="E11" s="124">
        <v>15</v>
      </c>
      <c r="F11" s="125">
        <v>1</v>
      </c>
      <c r="G11" s="138">
        <v>58784</v>
      </c>
      <c r="H11" s="140">
        <f t="shared" si="0"/>
        <v>705408</v>
      </c>
      <c r="I11" s="138"/>
      <c r="J11" s="138">
        <v>9797</v>
      </c>
      <c r="K11" s="138">
        <v>97973</v>
      </c>
      <c r="L11" s="138"/>
      <c r="M11" s="138"/>
      <c r="N11" s="138"/>
      <c r="O11" s="141">
        <f t="shared" si="1"/>
        <v>813178</v>
      </c>
    </row>
    <row r="12" spans="1:15" ht="15" customHeight="1" x14ac:dyDescent="0.25">
      <c r="A12" s="542" t="s">
        <v>2545</v>
      </c>
      <c r="B12" s="542"/>
      <c r="C12" s="106" t="s">
        <v>730</v>
      </c>
      <c r="D12" s="128">
        <v>113</v>
      </c>
      <c r="E12" s="124">
        <v>15</v>
      </c>
      <c r="F12" s="125">
        <v>1</v>
      </c>
      <c r="G12" s="138">
        <v>11956</v>
      </c>
      <c r="H12" s="140">
        <f t="shared" si="0"/>
        <v>143472</v>
      </c>
      <c r="I12" s="138"/>
      <c r="J12" s="138">
        <v>1993</v>
      </c>
      <c r="K12" s="138">
        <v>19927</v>
      </c>
      <c r="L12" s="138"/>
      <c r="M12" s="138"/>
      <c r="N12" s="138"/>
      <c r="O12" s="141">
        <f t="shared" si="1"/>
        <v>165392</v>
      </c>
    </row>
    <row r="13" spans="1:15" x14ac:dyDescent="0.25">
      <c r="A13" s="542" t="s">
        <v>2557</v>
      </c>
      <c r="B13" s="542"/>
      <c r="C13" s="106" t="s">
        <v>2558</v>
      </c>
      <c r="D13" s="128">
        <v>113</v>
      </c>
      <c r="E13" s="124">
        <v>15</v>
      </c>
      <c r="F13" s="125">
        <v>1</v>
      </c>
      <c r="G13" s="138">
        <v>29797</v>
      </c>
      <c r="H13" s="140">
        <f t="shared" si="0"/>
        <v>357564</v>
      </c>
      <c r="I13" s="138"/>
      <c r="J13" s="138">
        <v>4966</v>
      </c>
      <c r="K13" s="138">
        <v>49662</v>
      </c>
      <c r="L13" s="138"/>
      <c r="M13" s="138"/>
      <c r="N13" s="138"/>
      <c r="O13" s="141">
        <f t="shared" si="1"/>
        <v>412192</v>
      </c>
    </row>
    <row r="14" spans="1:15" x14ac:dyDescent="0.25">
      <c r="A14" s="542" t="s">
        <v>2546</v>
      </c>
      <c r="B14" s="542"/>
      <c r="C14" s="106" t="s">
        <v>2547</v>
      </c>
      <c r="D14" s="128">
        <v>113</v>
      </c>
      <c r="E14" s="124">
        <v>15</v>
      </c>
      <c r="F14" s="125">
        <v>1</v>
      </c>
      <c r="G14" s="137">
        <v>13386</v>
      </c>
      <c r="H14" s="140">
        <f t="shared" si="0"/>
        <v>160632</v>
      </c>
      <c r="I14" s="137"/>
      <c r="J14" s="137">
        <v>2231</v>
      </c>
      <c r="K14" s="137">
        <v>22310</v>
      </c>
      <c r="L14" s="137"/>
      <c r="M14" s="137"/>
      <c r="N14" s="137"/>
      <c r="O14" s="141">
        <f t="shared" si="1"/>
        <v>185173</v>
      </c>
    </row>
    <row r="15" spans="1:15" x14ac:dyDescent="0.25">
      <c r="A15" s="542" t="s">
        <v>2548</v>
      </c>
      <c r="B15" s="542"/>
      <c r="C15" s="106" t="s">
        <v>2549</v>
      </c>
      <c r="D15" s="128">
        <v>113</v>
      </c>
      <c r="E15" s="124">
        <v>15</v>
      </c>
      <c r="F15" s="125">
        <v>1</v>
      </c>
      <c r="G15" s="138">
        <v>11889</v>
      </c>
      <c r="H15" s="140">
        <f t="shared" si="0"/>
        <v>142668</v>
      </c>
      <c r="I15" s="138"/>
      <c r="J15" s="138">
        <v>1982</v>
      </c>
      <c r="K15" s="138">
        <v>19815</v>
      </c>
      <c r="L15" s="138"/>
      <c r="M15" s="138"/>
      <c r="N15" s="138"/>
      <c r="O15" s="141">
        <f t="shared" si="1"/>
        <v>164465</v>
      </c>
    </row>
    <row r="16" spans="1:15" x14ac:dyDescent="0.25">
      <c r="A16" s="542" t="s">
        <v>2608</v>
      </c>
      <c r="B16" s="542"/>
      <c r="C16" s="106" t="s">
        <v>2550</v>
      </c>
      <c r="D16" s="128">
        <v>113</v>
      </c>
      <c r="E16" s="124">
        <v>15</v>
      </c>
      <c r="F16" s="125">
        <v>1</v>
      </c>
      <c r="G16" s="138">
        <v>22603</v>
      </c>
      <c r="H16" s="140">
        <f t="shared" si="0"/>
        <v>271236</v>
      </c>
      <c r="I16" s="138"/>
      <c r="J16" s="138">
        <v>3768</v>
      </c>
      <c r="K16" s="138">
        <v>37672</v>
      </c>
      <c r="L16" s="138"/>
      <c r="M16" s="138"/>
      <c r="N16" s="138"/>
      <c r="O16" s="141">
        <f t="shared" si="1"/>
        <v>312676</v>
      </c>
    </row>
    <row r="17" spans="1:15" x14ac:dyDescent="0.25">
      <c r="A17" s="542" t="s">
        <v>2556</v>
      </c>
      <c r="B17" s="542"/>
      <c r="C17" s="106" t="s">
        <v>2550</v>
      </c>
      <c r="D17" s="128">
        <v>113</v>
      </c>
      <c r="E17" s="124">
        <v>15</v>
      </c>
      <c r="F17" s="125">
        <v>1</v>
      </c>
      <c r="G17" s="138">
        <v>10872</v>
      </c>
      <c r="H17" s="140">
        <f t="shared" si="0"/>
        <v>130464</v>
      </c>
      <c r="I17" s="138"/>
      <c r="J17" s="138">
        <v>1812</v>
      </c>
      <c r="K17" s="138">
        <v>18120</v>
      </c>
      <c r="L17" s="138"/>
      <c r="M17" s="138"/>
      <c r="N17" s="138"/>
      <c r="O17" s="141">
        <f t="shared" si="1"/>
        <v>150396</v>
      </c>
    </row>
    <row r="18" spans="1:15" x14ac:dyDescent="0.25">
      <c r="A18" s="542" t="s">
        <v>2551</v>
      </c>
      <c r="B18" s="542"/>
      <c r="C18" s="106" t="s">
        <v>2552</v>
      </c>
      <c r="D18" s="128">
        <v>113</v>
      </c>
      <c r="E18" s="124">
        <v>15</v>
      </c>
      <c r="F18" s="125">
        <v>1</v>
      </c>
      <c r="G18" s="138">
        <v>6266</v>
      </c>
      <c r="H18" s="140">
        <f t="shared" si="0"/>
        <v>75192</v>
      </c>
      <c r="I18" s="138"/>
      <c r="J18" s="138">
        <v>1044</v>
      </c>
      <c r="K18" s="138">
        <v>10443</v>
      </c>
      <c r="L18" s="138"/>
      <c r="M18" s="138"/>
      <c r="N18" s="138"/>
      <c r="O18" s="141">
        <f t="shared" si="1"/>
        <v>86679</v>
      </c>
    </row>
    <row r="19" spans="1:15" x14ac:dyDescent="0.25">
      <c r="A19" s="542" t="s">
        <v>2553</v>
      </c>
      <c r="B19" s="542"/>
      <c r="C19" s="106" t="s">
        <v>2554</v>
      </c>
      <c r="D19" s="128">
        <v>113</v>
      </c>
      <c r="E19" s="124">
        <v>15</v>
      </c>
      <c r="F19" s="125">
        <v>1</v>
      </c>
      <c r="G19" s="137">
        <v>39984</v>
      </c>
      <c r="H19" s="140">
        <f t="shared" si="0"/>
        <v>479808</v>
      </c>
      <c r="I19" s="137"/>
      <c r="J19" s="137">
        <v>6664</v>
      </c>
      <c r="K19" s="137">
        <v>66640</v>
      </c>
      <c r="L19" s="137"/>
      <c r="M19" s="137"/>
      <c r="N19" s="137"/>
      <c r="O19" s="141">
        <f t="shared" si="1"/>
        <v>553112</v>
      </c>
    </row>
    <row r="20" spans="1:15" x14ac:dyDescent="0.25">
      <c r="A20" s="542" t="s">
        <v>2609</v>
      </c>
      <c r="B20" s="542"/>
      <c r="C20" s="106" t="s">
        <v>2554</v>
      </c>
      <c r="D20" s="128">
        <v>113</v>
      </c>
      <c r="E20" s="124">
        <v>15</v>
      </c>
      <c r="F20" s="125">
        <v>1</v>
      </c>
      <c r="G20" s="138">
        <v>26660</v>
      </c>
      <c r="H20" s="140">
        <f t="shared" si="0"/>
        <v>319920</v>
      </c>
      <c r="I20" s="138"/>
      <c r="J20" s="138">
        <v>4443</v>
      </c>
      <c r="K20" s="138">
        <v>44433</v>
      </c>
      <c r="L20" s="138"/>
      <c r="M20" s="138"/>
      <c r="N20" s="138"/>
      <c r="O20" s="141">
        <f t="shared" si="1"/>
        <v>368796</v>
      </c>
    </row>
    <row r="21" spans="1:15" x14ac:dyDescent="0.25">
      <c r="A21" s="542" t="s">
        <v>2555</v>
      </c>
      <c r="B21" s="542"/>
      <c r="C21" s="106" t="s">
        <v>2554</v>
      </c>
      <c r="D21" s="128">
        <v>113</v>
      </c>
      <c r="E21" s="124">
        <v>15</v>
      </c>
      <c r="F21" s="125">
        <v>1</v>
      </c>
      <c r="G21" s="138">
        <v>14138</v>
      </c>
      <c r="H21" s="140">
        <f t="shared" si="0"/>
        <v>169656</v>
      </c>
      <c r="I21" s="138"/>
      <c r="J21" s="138">
        <v>2356</v>
      </c>
      <c r="K21" s="138">
        <v>23563</v>
      </c>
      <c r="L21" s="138"/>
      <c r="M21" s="138"/>
      <c r="N21" s="138"/>
      <c r="O21" s="141">
        <f t="shared" si="1"/>
        <v>195575</v>
      </c>
    </row>
    <row r="22" spans="1:15" x14ac:dyDescent="0.25">
      <c r="A22" s="542" t="s">
        <v>2607</v>
      </c>
      <c r="B22" s="542"/>
      <c r="C22" s="106" t="s">
        <v>726</v>
      </c>
      <c r="D22" s="128">
        <v>113</v>
      </c>
      <c r="E22" s="124">
        <v>15</v>
      </c>
      <c r="F22" s="125">
        <v>1</v>
      </c>
      <c r="G22" s="138">
        <v>16598</v>
      </c>
      <c r="H22" s="140">
        <f t="shared" si="0"/>
        <v>199176</v>
      </c>
      <c r="I22" s="138"/>
      <c r="J22" s="138">
        <v>2766</v>
      </c>
      <c r="K22" s="138">
        <v>27663</v>
      </c>
      <c r="L22" s="138"/>
      <c r="M22" s="138"/>
      <c r="N22" s="138"/>
      <c r="O22" s="141">
        <f t="shared" si="1"/>
        <v>229605</v>
      </c>
    </row>
    <row r="23" spans="1:15" x14ac:dyDescent="0.25">
      <c r="A23" s="542" t="s">
        <v>2559</v>
      </c>
      <c r="B23" s="542"/>
      <c r="C23" s="106" t="s">
        <v>2672</v>
      </c>
      <c r="D23" s="128">
        <v>113</v>
      </c>
      <c r="E23" s="124">
        <v>15</v>
      </c>
      <c r="F23" s="125">
        <v>1</v>
      </c>
      <c r="G23" s="138">
        <v>16598</v>
      </c>
      <c r="H23" s="140">
        <f t="shared" si="0"/>
        <v>199176</v>
      </c>
      <c r="I23" s="138"/>
      <c r="J23" s="138">
        <v>2766</v>
      </c>
      <c r="K23" s="138">
        <v>27663</v>
      </c>
      <c r="L23" s="138"/>
      <c r="M23" s="138"/>
      <c r="N23" s="138"/>
      <c r="O23" s="141">
        <f t="shared" si="1"/>
        <v>229605</v>
      </c>
    </row>
    <row r="24" spans="1:15" x14ac:dyDescent="0.25">
      <c r="A24" s="542" t="s">
        <v>2560</v>
      </c>
      <c r="B24" s="542"/>
      <c r="C24" s="106" t="s">
        <v>726</v>
      </c>
      <c r="D24" s="128">
        <v>113</v>
      </c>
      <c r="E24" s="124">
        <v>15</v>
      </c>
      <c r="F24" s="125">
        <v>1</v>
      </c>
      <c r="G24" s="138">
        <v>25658</v>
      </c>
      <c r="H24" s="140">
        <f t="shared" si="0"/>
        <v>307896</v>
      </c>
      <c r="I24" s="138"/>
      <c r="J24" s="138">
        <v>4276</v>
      </c>
      <c r="K24" s="138">
        <v>42763</v>
      </c>
      <c r="L24" s="138"/>
      <c r="M24" s="138"/>
      <c r="N24" s="138"/>
      <c r="O24" s="141">
        <f t="shared" si="1"/>
        <v>354935</v>
      </c>
    </row>
    <row r="25" spans="1:15" x14ac:dyDescent="0.25">
      <c r="A25" s="542" t="s">
        <v>2610</v>
      </c>
      <c r="B25" s="542"/>
      <c r="C25" s="106" t="s">
        <v>2561</v>
      </c>
      <c r="D25" s="128">
        <v>113</v>
      </c>
      <c r="E25" s="124">
        <v>15</v>
      </c>
      <c r="F25" s="125">
        <v>1</v>
      </c>
      <c r="G25" s="138">
        <v>24102</v>
      </c>
      <c r="H25" s="140">
        <f t="shared" si="0"/>
        <v>289224</v>
      </c>
      <c r="I25" s="138"/>
      <c r="J25" s="138">
        <v>4017</v>
      </c>
      <c r="K25" s="138">
        <v>40170</v>
      </c>
      <c r="L25" s="138"/>
      <c r="M25" s="138"/>
      <c r="N25" s="138"/>
      <c r="O25" s="141">
        <f t="shared" si="1"/>
        <v>333411</v>
      </c>
    </row>
    <row r="26" spans="1:15" x14ac:dyDescent="0.25">
      <c r="A26" s="542" t="s">
        <v>2611</v>
      </c>
      <c r="B26" s="542"/>
      <c r="C26" s="106" t="s">
        <v>2561</v>
      </c>
      <c r="D26" s="128">
        <v>113</v>
      </c>
      <c r="E26" s="124">
        <v>15</v>
      </c>
      <c r="F26" s="125">
        <v>1</v>
      </c>
      <c r="G26" s="138">
        <v>24102</v>
      </c>
      <c r="H26" s="140">
        <f t="shared" si="0"/>
        <v>289224</v>
      </c>
      <c r="I26" s="138"/>
      <c r="J26" s="138">
        <v>4017</v>
      </c>
      <c r="K26" s="138">
        <v>40170</v>
      </c>
      <c r="L26" s="138"/>
      <c r="M26" s="138"/>
      <c r="N26" s="138"/>
      <c r="O26" s="141">
        <f t="shared" si="1"/>
        <v>333411</v>
      </c>
    </row>
    <row r="27" spans="1:15" x14ac:dyDescent="0.25">
      <c r="A27" s="542" t="s">
        <v>2562</v>
      </c>
      <c r="B27" s="542"/>
      <c r="C27" s="106" t="s">
        <v>2561</v>
      </c>
      <c r="D27" s="128">
        <v>113</v>
      </c>
      <c r="E27" s="124">
        <v>15</v>
      </c>
      <c r="F27" s="125">
        <v>1</v>
      </c>
      <c r="G27" s="138">
        <v>9288</v>
      </c>
      <c r="H27" s="140">
        <f t="shared" si="0"/>
        <v>111456</v>
      </c>
      <c r="I27" s="138"/>
      <c r="J27" s="138">
        <v>1548</v>
      </c>
      <c r="K27" s="138">
        <v>15480</v>
      </c>
      <c r="L27" s="138"/>
      <c r="M27" s="138"/>
      <c r="N27" s="138"/>
      <c r="O27" s="141">
        <f t="shared" si="1"/>
        <v>128484</v>
      </c>
    </row>
    <row r="28" spans="1:15" x14ac:dyDescent="0.25">
      <c r="A28" s="542" t="s">
        <v>2612</v>
      </c>
      <c r="B28" s="542"/>
      <c r="C28" s="106" t="s">
        <v>2561</v>
      </c>
      <c r="D28" s="128">
        <v>113</v>
      </c>
      <c r="E28" s="124">
        <v>15</v>
      </c>
      <c r="F28" s="125">
        <v>1</v>
      </c>
      <c r="G28" s="137">
        <v>24102</v>
      </c>
      <c r="H28" s="140">
        <f t="shared" si="0"/>
        <v>289224</v>
      </c>
      <c r="I28" s="137"/>
      <c r="J28" s="137">
        <v>4017</v>
      </c>
      <c r="K28" s="137">
        <v>40170</v>
      </c>
      <c r="L28" s="137"/>
      <c r="M28" s="137"/>
      <c r="N28" s="137"/>
      <c r="O28" s="141">
        <f t="shared" si="1"/>
        <v>333411</v>
      </c>
    </row>
    <row r="29" spans="1:15" x14ac:dyDescent="0.25">
      <c r="A29" s="542" t="s">
        <v>2613</v>
      </c>
      <c r="B29" s="542"/>
      <c r="C29" s="106" t="s">
        <v>2561</v>
      </c>
      <c r="D29" s="128">
        <v>113</v>
      </c>
      <c r="E29" s="124">
        <v>15</v>
      </c>
      <c r="F29" s="125">
        <v>1</v>
      </c>
      <c r="G29" s="138">
        <v>15460</v>
      </c>
      <c r="H29" s="140">
        <f t="shared" si="0"/>
        <v>185520</v>
      </c>
      <c r="I29" s="138"/>
      <c r="J29" s="138">
        <v>2577</v>
      </c>
      <c r="K29" s="138">
        <v>25767</v>
      </c>
      <c r="L29" s="138"/>
      <c r="M29" s="138"/>
      <c r="N29" s="138"/>
      <c r="O29" s="141">
        <f t="shared" si="1"/>
        <v>213864</v>
      </c>
    </row>
    <row r="30" spans="1:15" x14ac:dyDescent="0.25">
      <c r="A30" s="542" t="s">
        <v>2563</v>
      </c>
      <c r="B30" s="542"/>
      <c r="C30" s="106" t="s">
        <v>2561</v>
      </c>
      <c r="D30" s="128">
        <v>113</v>
      </c>
      <c r="E30" s="124">
        <v>15</v>
      </c>
      <c r="F30" s="125">
        <v>4</v>
      </c>
      <c r="G30" s="138">
        <v>13268</v>
      </c>
      <c r="H30" s="140">
        <f t="shared" si="0"/>
        <v>636864</v>
      </c>
      <c r="I30" s="138"/>
      <c r="J30" s="138">
        <v>8844</v>
      </c>
      <c r="K30" s="138">
        <v>88452</v>
      </c>
      <c r="L30" s="138"/>
      <c r="M30" s="138"/>
      <c r="N30" s="138"/>
      <c r="O30" s="141">
        <f t="shared" si="1"/>
        <v>734160</v>
      </c>
    </row>
    <row r="31" spans="1:15" x14ac:dyDescent="0.25">
      <c r="A31" s="542" t="s">
        <v>2565</v>
      </c>
      <c r="B31" s="542"/>
      <c r="C31" s="106" t="s">
        <v>2561</v>
      </c>
      <c r="D31" s="128">
        <v>113</v>
      </c>
      <c r="E31" s="124">
        <v>15</v>
      </c>
      <c r="F31" s="125">
        <v>2</v>
      </c>
      <c r="G31" s="138">
        <v>18146</v>
      </c>
      <c r="H31" s="140">
        <f t="shared" si="0"/>
        <v>435504</v>
      </c>
      <c r="I31" s="138"/>
      <c r="J31" s="138">
        <v>6048</v>
      </c>
      <c r="K31" s="138">
        <v>60486</v>
      </c>
      <c r="L31" s="138"/>
      <c r="M31" s="138"/>
      <c r="N31" s="138"/>
      <c r="O31" s="141">
        <f t="shared" si="1"/>
        <v>502038</v>
      </c>
    </row>
    <row r="32" spans="1:15" x14ac:dyDescent="0.25">
      <c r="A32" s="542" t="s">
        <v>2614</v>
      </c>
      <c r="B32" s="542"/>
      <c r="C32" s="106" t="s">
        <v>2561</v>
      </c>
      <c r="D32" s="128">
        <v>113</v>
      </c>
      <c r="E32" s="124">
        <v>15</v>
      </c>
      <c r="F32" s="125">
        <v>6</v>
      </c>
      <c r="G32" s="138">
        <v>18146</v>
      </c>
      <c r="H32" s="140">
        <f t="shared" si="0"/>
        <v>1306512</v>
      </c>
      <c r="I32" s="138"/>
      <c r="J32" s="138">
        <v>18144</v>
      </c>
      <c r="K32" s="138">
        <v>181458</v>
      </c>
      <c r="L32" s="138"/>
      <c r="M32" s="138"/>
      <c r="N32" s="138"/>
      <c r="O32" s="141">
        <f t="shared" si="1"/>
        <v>1506114</v>
      </c>
    </row>
    <row r="33" spans="1:15" x14ac:dyDescent="0.25">
      <c r="A33" s="542" t="s">
        <v>2615</v>
      </c>
      <c r="B33" s="542"/>
      <c r="C33" s="106" t="s">
        <v>2561</v>
      </c>
      <c r="D33" s="128">
        <v>113</v>
      </c>
      <c r="E33" s="124">
        <v>15</v>
      </c>
      <c r="F33" s="125">
        <v>1</v>
      </c>
      <c r="G33" s="137">
        <v>13652</v>
      </c>
      <c r="H33" s="140">
        <f t="shared" si="0"/>
        <v>163824</v>
      </c>
      <c r="I33" s="137"/>
      <c r="J33" s="137">
        <v>2275</v>
      </c>
      <c r="K33" s="137">
        <v>22753</v>
      </c>
      <c r="L33" s="137"/>
      <c r="M33" s="137"/>
      <c r="N33" s="137"/>
      <c r="O33" s="141">
        <f t="shared" si="1"/>
        <v>188852</v>
      </c>
    </row>
    <row r="34" spans="1:15" x14ac:dyDescent="0.25">
      <c r="A34" s="542" t="s">
        <v>2616</v>
      </c>
      <c r="B34" s="542"/>
      <c r="C34" s="106" t="s">
        <v>2561</v>
      </c>
      <c r="D34" s="128">
        <v>113</v>
      </c>
      <c r="E34" s="124">
        <v>15</v>
      </c>
      <c r="F34" s="125">
        <v>1</v>
      </c>
      <c r="G34" s="138">
        <v>11413</v>
      </c>
      <c r="H34" s="140">
        <f t="shared" si="0"/>
        <v>136956</v>
      </c>
      <c r="I34" s="138"/>
      <c r="J34" s="138">
        <v>1902</v>
      </c>
      <c r="K34" s="138">
        <v>19022</v>
      </c>
      <c r="L34" s="138"/>
      <c r="M34" s="138"/>
      <c r="N34" s="138"/>
      <c r="O34" s="141">
        <f t="shared" si="1"/>
        <v>157880</v>
      </c>
    </row>
    <row r="35" spans="1:15" x14ac:dyDescent="0.25">
      <c r="A35" s="542" t="s">
        <v>2617</v>
      </c>
      <c r="B35" s="542"/>
      <c r="C35" s="106" t="s">
        <v>2561</v>
      </c>
      <c r="D35" s="128">
        <v>113</v>
      </c>
      <c r="E35" s="124">
        <v>15</v>
      </c>
      <c r="F35" s="125">
        <v>3</v>
      </c>
      <c r="G35" s="138">
        <v>11196</v>
      </c>
      <c r="H35" s="140">
        <f t="shared" si="0"/>
        <v>403056</v>
      </c>
      <c r="I35" s="138"/>
      <c r="J35" s="138">
        <v>5598</v>
      </c>
      <c r="K35" s="138">
        <v>55980</v>
      </c>
      <c r="L35" s="138"/>
      <c r="M35" s="138"/>
      <c r="N35" s="138"/>
      <c r="O35" s="141">
        <f t="shared" si="1"/>
        <v>464634</v>
      </c>
    </row>
    <row r="36" spans="1:15" x14ac:dyDescent="0.25">
      <c r="A36" s="542" t="s">
        <v>2564</v>
      </c>
      <c r="B36" s="542"/>
      <c r="C36" s="106" t="s">
        <v>2561</v>
      </c>
      <c r="D36" s="128">
        <v>113</v>
      </c>
      <c r="E36" s="124">
        <v>15</v>
      </c>
      <c r="F36" s="125">
        <v>1</v>
      </c>
      <c r="G36" s="138">
        <v>13267</v>
      </c>
      <c r="H36" s="140">
        <f t="shared" si="0"/>
        <v>159204</v>
      </c>
      <c r="I36" s="138"/>
      <c r="J36" s="138">
        <v>2211</v>
      </c>
      <c r="K36" s="138">
        <v>37320</v>
      </c>
      <c r="L36" s="138"/>
      <c r="M36" s="138"/>
      <c r="N36" s="138"/>
      <c r="O36" s="141">
        <f t="shared" si="1"/>
        <v>198735</v>
      </c>
    </row>
    <row r="37" spans="1:15" x14ac:dyDescent="0.25">
      <c r="A37" s="542" t="s">
        <v>2566</v>
      </c>
      <c r="B37" s="542"/>
      <c r="C37" s="106" t="s">
        <v>2561</v>
      </c>
      <c r="D37" s="128">
        <v>113</v>
      </c>
      <c r="E37" s="124">
        <v>15</v>
      </c>
      <c r="F37" s="125">
        <v>1</v>
      </c>
      <c r="G37" s="138">
        <v>11196</v>
      </c>
      <c r="H37" s="140">
        <f t="shared" si="0"/>
        <v>134352</v>
      </c>
      <c r="I37" s="138"/>
      <c r="J37" s="138">
        <v>1866</v>
      </c>
      <c r="K37" s="138">
        <v>18660</v>
      </c>
      <c r="L37" s="138"/>
      <c r="M37" s="138"/>
      <c r="N37" s="138"/>
      <c r="O37" s="141">
        <f t="shared" si="1"/>
        <v>154878</v>
      </c>
    </row>
    <row r="38" spans="1:15" x14ac:dyDescent="0.25">
      <c r="A38" s="542" t="s">
        <v>2567</v>
      </c>
      <c r="B38" s="542"/>
      <c r="C38" s="106" t="s">
        <v>2568</v>
      </c>
      <c r="D38" s="128">
        <v>113</v>
      </c>
      <c r="E38" s="124">
        <v>15</v>
      </c>
      <c r="F38" s="125">
        <v>2</v>
      </c>
      <c r="G38" s="138">
        <v>10870</v>
      </c>
      <c r="H38" s="140">
        <f t="shared" si="0"/>
        <v>260880</v>
      </c>
      <c r="I38" s="138"/>
      <c r="J38" s="138">
        <v>1812</v>
      </c>
      <c r="K38" s="138">
        <v>36234</v>
      </c>
      <c r="L38" s="138"/>
      <c r="M38" s="138"/>
      <c r="N38" s="138"/>
      <c r="O38" s="141">
        <f t="shared" si="1"/>
        <v>298926</v>
      </c>
    </row>
    <row r="39" spans="1:15" x14ac:dyDescent="0.25">
      <c r="A39" s="542" t="s">
        <v>2569</v>
      </c>
      <c r="B39" s="542"/>
      <c r="C39" s="106" t="s">
        <v>2568</v>
      </c>
      <c r="D39" s="128">
        <v>113</v>
      </c>
      <c r="E39" s="124">
        <v>15</v>
      </c>
      <c r="F39" s="125">
        <v>2</v>
      </c>
      <c r="G39" s="138">
        <v>10870</v>
      </c>
      <c r="H39" s="140">
        <f t="shared" si="0"/>
        <v>260880</v>
      </c>
      <c r="I39" s="138"/>
      <c r="J39" s="138">
        <v>3624</v>
      </c>
      <c r="K39" s="138">
        <v>36234</v>
      </c>
      <c r="L39" s="138"/>
      <c r="M39" s="138"/>
      <c r="N39" s="138"/>
      <c r="O39" s="141">
        <f t="shared" si="1"/>
        <v>300738</v>
      </c>
    </row>
    <row r="40" spans="1:15" x14ac:dyDescent="0.25">
      <c r="A40" s="542" t="s">
        <v>2570</v>
      </c>
      <c r="B40" s="542"/>
      <c r="C40" s="106" t="s">
        <v>2568</v>
      </c>
      <c r="D40" s="128">
        <v>113</v>
      </c>
      <c r="E40" s="124">
        <v>15</v>
      </c>
      <c r="F40" s="125">
        <v>1</v>
      </c>
      <c r="G40" s="137">
        <v>11196</v>
      </c>
      <c r="H40" s="140">
        <f t="shared" si="0"/>
        <v>134352</v>
      </c>
      <c r="I40" s="137"/>
      <c r="J40" s="137">
        <v>1866</v>
      </c>
      <c r="K40" s="137">
        <v>18660</v>
      </c>
      <c r="L40" s="137"/>
      <c r="M40" s="137"/>
      <c r="N40" s="137"/>
      <c r="O40" s="141">
        <f t="shared" si="1"/>
        <v>154878</v>
      </c>
    </row>
    <row r="41" spans="1:15" x14ac:dyDescent="0.25">
      <c r="A41" s="542" t="s">
        <v>2618</v>
      </c>
      <c r="B41" s="542"/>
      <c r="C41" s="106" t="s">
        <v>2561</v>
      </c>
      <c r="D41" s="128">
        <v>113</v>
      </c>
      <c r="E41" s="124">
        <v>15</v>
      </c>
      <c r="F41" s="125">
        <v>1</v>
      </c>
      <c r="G41" s="138">
        <v>9524</v>
      </c>
      <c r="H41" s="140">
        <f t="shared" si="0"/>
        <v>114288</v>
      </c>
      <c r="I41" s="138"/>
      <c r="J41" s="138">
        <v>1587</v>
      </c>
      <c r="K41" s="138">
        <v>15873</v>
      </c>
      <c r="L41" s="138"/>
      <c r="M41" s="138"/>
      <c r="N41" s="138"/>
      <c r="O41" s="141">
        <f t="shared" si="1"/>
        <v>131748</v>
      </c>
    </row>
    <row r="42" spans="1:15" x14ac:dyDescent="0.25">
      <c r="A42" s="542" t="s">
        <v>2571</v>
      </c>
      <c r="B42" s="542"/>
      <c r="C42" s="106" t="s">
        <v>2568</v>
      </c>
      <c r="D42" s="128">
        <v>113</v>
      </c>
      <c r="E42" s="124">
        <v>15</v>
      </c>
      <c r="F42" s="125">
        <v>1</v>
      </c>
      <c r="G42" s="137">
        <v>9524</v>
      </c>
      <c r="H42" s="140">
        <f t="shared" si="0"/>
        <v>114288</v>
      </c>
      <c r="I42" s="137"/>
      <c r="J42" s="137">
        <v>1587</v>
      </c>
      <c r="K42" s="137">
        <v>15873</v>
      </c>
      <c r="L42" s="137"/>
      <c r="M42" s="137"/>
      <c r="N42" s="137"/>
      <c r="O42" s="141">
        <f t="shared" si="1"/>
        <v>131748</v>
      </c>
    </row>
    <row r="43" spans="1:15" x14ac:dyDescent="0.25">
      <c r="A43" s="542" t="s">
        <v>2573</v>
      </c>
      <c r="B43" s="542"/>
      <c r="C43" s="106" t="s">
        <v>2568</v>
      </c>
      <c r="D43" s="128">
        <v>113</v>
      </c>
      <c r="E43" s="124">
        <v>15</v>
      </c>
      <c r="F43" s="125">
        <v>1</v>
      </c>
      <c r="G43" s="138">
        <v>9152</v>
      </c>
      <c r="H43" s="140">
        <f t="shared" si="0"/>
        <v>109824</v>
      </c>
      <c r="I43" s="138"/>
      <c r="J43" s="138">
        <v>1525</v>
      </c>
      <c r="K43" s="138">
        <v>15253</v>
      </c>
      <c r="L43" s="138"/>
      <c r="M43" s="138"/>
      <c r="N43" s="138"/>
      <c r="O43" s="141">
        <f t="shared" si="1"/>
        <v>126602</v>
      </c>
    </row>
    <row r="44" spans="1:15" x14ac:dyDescent="0.25">
      <c r="A44" s="542" t="s">
        <v>2574</v>
      </c>
      <c r="B44" s="542"/>
      <c r="C44" s="106" t="s">
        <v>2568</v>
      </c>
      <c r="D44" s="128">
        <v>113</v>
      </c>
      <c r="E44" s="124">
        <v>15</v>
      </c>
      <c r="F44" s="125">
        <v>1</v>
      </c>
      <c r="G44" s="138">
        <v>8188</v>
      </c>
      <c r="H44" s="140">
        <f t="shared" si="0"/>
        <v>98256</v>
      </c>
      <c r="I44" s="138"/>
      <c r="J44" s="138">
        <v>1365</v>
      </c>
      <c r="K44" s="138">
        <v>13647</v>
      </c>
      <c r="L44" s="138"/>
      <c r="M44" s="138"/>
      <c r="N44" s="138"/>
      <c r="O44" s="141">
        <f t="shared" si="1"/>
        <v>113268</v>
      </c>
    </row>
    <row r="45" spans="1:15" x14ac:dyDescent="0.25">
      <c r="A45" s="542" t="s">
        <v>2575</v>
      </c>
      <c r="B45" s="542"/>
      <c r="C45" s="107" t="s">
        <v>2568</v>
      </c>
      <c r="D45" s="128">
        <v>113</v>
      </c>
      <c r="E45" s="124">
        <v>15</v>
      </c>
      <c r="F45" s="126">
        <v>1</v>
      </c>
      <c r="G45" s="139">
        <v>15837</v>
      </c>
      <c r="H45" s="140">
        <f t="shared" si="0"/>
        <v>190044</v>
      </c>
      <c r="I45" s="139"/>
      <c r="J45" s="139">
        <v>2640</v>
      </c>
      <c r="K45" s="139">
        <v>26395</v>
      </c>
      <c r="L45" s="139"/>
      <c r="M45" s="139"/>
      <c r="N45" s="139"/>
      <c r="O45" s="141">
        <f t="shared" si="1"/>
        <v>219079</v>
      </c>
    </row>
    <row r="46" spans="1:15" x14ac:dyDescent="0.25">
      <c r="A46" s="542" t="s">
        <v>2576</v>
      </c>
      <c r="B46" s="542"/>
      <c r="C46" s="107" t="s">
        <v>2568</v>
      </c>
      <c r="D46" s="128">
        <v>113</v>
      </c>
      <c r="E46" s="124">
        <v>15</v>
      </c>
      <c r="F46" s="126">
        <v>1</v>
      </c>
      <c r="G46" s="139">
        <v>10870</v>
      </c>
      <c r="H46" s="140">
        <f t="shared" si="0"/>
        <v>130440</v>
      </c>
      <c r="I46" s="139"/>
      <c r="J46" s="139">
        <v>1812</v>
      </c>
      <c r="K46" s="139">
        <v>18117</v>
      </c>
      <c r="L46" s="139"/>
      <c r="M46" s="139"/>
      <c r="N46" s="139"/>
      <c r="O46" s="141">
        <f t="shared" si="1"/>
        <v>150369</v>
      </c>
    </row>
    <row r="47" spans="1:15" x14ac:dyDescent="0.25">
      <c r="A47" s="542" t="s">
        <v>2572</v>
      </c>
      <c r="B47" s="542"/>
      <c r="C47" s="106" t="s">
        <v>730</v>
      </c>
      <c r="D47" s="128">
        <v>113</v>
      </c>
      <c r="E47" s="124">
        <v>15</v>
      </c>
      <c r="F47" s="125">
        <v>1</v>
      </c>
      <c r="G47" s="138">
        <v>8640</v>
      </c>
      <c r="H47" s="140">
        <f t="shared" si="0"/>
        <v>103680</v>
      </c>
      <c r="I47" s="138"/>
      <c r="J47" s="138">
        <v>1440</v>
      </c>
      <c r="K47" s="138">
        <v>14400</v>
      </c>
      <c r="L47" s="138"/>
      <c r="M47" s="138"/>
      <c r="N47" s="138"/>
      <c r="O47" s="141">
        <f t="shared" si="1"/>
        <v>119520</v>
      </c>
    </row>
    <row r="48" spans="1:15" x14ac:dyDescent="0.25">
      <c r="A48" s="542" t="s">
        <v>2619</v>
      </c>
      <c r="B48" s="542"/>
      <c r="C48" s="106" t="s">
        <v>2577</v>
      </c>
      <c r="D48" s="128">
        <v>113</v>
      </c>
      <c r="E48" s="124">
        <v>15</v>
      </c>
      <c r="F48" s="125">
        <v>1</v>
      </c>
      <c r="G48" s="138">
        <v>14156</v>
      </c>
      <c r="H48" s="140">
        <f t="shared" si="0"/>
        <v>169872</v>
      </c>
      <c r="I48" s="138"/>
      <c r="J48" s="138">
        <v>2359</v>
      </c>
      <c r="K48" s="138">
        <v>23593</v>
      </c>
      <c r="L48" s="138"/>
      <c r="M48" s="138"/>
      <c r="N48" s="138"/>
      <c r="O48" s="141">
        <f t="shared" si="1"/>
        <v>195824</v>
      </c>
    </row>
    <row r="49" spans="1:15" x14ac:dyDescent="0.25">
      <c r="A49" s="542" t="s">
        <v>2578</v>
      </c>
      <c r="B49" s="542"/>
      <c r="C49" s="106" t="s">
        <v>2577</v>
      </c>
      <c r="D49" s="128">
        <v>113</v>
      </c>
      <c r="E49" s="124">
        <v>15</v>
      </c>
      <c r="F49" s="125">
        <v>1</v>
      </c>
      <c r="G49" s="138">
        <v>13653</v>
      </c>
      <c r="H49" s="140">
        <f t="shared" si="0"/>
        <v>163836</v>
      </c>
      <c r="I49" s="138"/>
      <c r="J49" s="138">
        <v>2276</v>
      </c>
      <c r="K49" s="138">
        <v>22755</v>
      </c>
      <c r="L49" s="138"/>
      <c r="M49" s="138"/>
      <c r="N49" s="138"/>
      <c r="O49" s="141">
        <f t="shared" si="1"/>
        <v>188867</v>
      </c>
    </row>
    <row r="50" spans="1:15" x14ac:dyDescent="0.25">
      <c r="A50" s="542" t="s">
        <v>2580</v>
      </c>
      <c r="B50" s="542"/>
      <c r="C50" s="106" t="s">
        <v>2579</v>
      </c>
      <c r="D50" s="128">
        <v>113</v>
      </c>
      <c r="E50" s="124">
        <v>15</v>
      </c>
      <c r="F50" s="125">
        <v>1</v>
      </c>
      <c r="G50" s="138">
        <v>15460</v>
      </c>
      <c r="H50" s="140">
        <f t="shared" si="0"/>
        <v>185520</v>
      </c>
      <c r="I50" s="138"/>
      <c r="J50" s="138">
        <v>2577</v>
      </c>
      <c r="K50" s="138">
        <v>25767</v>
      </c>
      <c r="L50" s="138"/>
      <c r="M50" s="138"/>
      <c r="N50" s="138"/>
      <c r="O50" s="141">
        <f t="shared" si="1"/>
        <v>213864</v>
      </c>
    </row>
    <row r="51" spans="1:15" x14ac:dyDescent="0.25">
      <c r="A51" s="542" t="s">
        <v>2581</v>
      </c>
      <c r="B51" s="542"/>
      <c r="C51" s="106" t="s">
        <v>2579</v>
      </c>
      <c r="D51" s="128">
        <v>113</v>
      </c>
      <c r="E51" s="124">
        <v>15</v>
      </c>
      <c r="F51" s="125">
        <v>1</v>
      </c>
      <c r="G51" s="138">
        <v>10870</v>
      </c>
      <c r="H51" s="140">
        <f t="shared" si="0"/>
        <v>130440</v>
      </c>
      <c r="I51" s="138"/>
      <c r="J51" s="138">
        <v>1812</v>
      </c>
      <c r="K51" s="138">
        <v>18117</v>
      </c>
      <c r="L51" s="138"/>
      <c r="M51" s="138"/>
      <c r="N51" s="138"/>
      <c r="O51" s="141">
        <f t="shared" si="1"/>
        <v>150369</v>
      </c>
    </row>
    <row r="52" spans="1:15" x14ac:dyDescent="0.25">
      <c r="A52" s="542" t="s">
        <v>2593</v>
      </c>
      <c r="B52" s="542"/>
      <c r="C52" s="106" t="s">
        <v>2579</v>
      </c>
      <c r="D52" s="128">
        <v>113</v>
      </c>
      <c r="E52" s="124">
        <v>15</v>
      </c>
      <c r="F52" s="125">
        <v>1</v>
      </c>
      <c r="G52" s="138">
        <v>15460</v>
      </c>
      <c r="H52" s="140">
        <f t="shared" si="0"/>
        <v>185520</v>
      </c>
      <c r="I52" s="138"/>
      <c r="J52" s="138">
        <v>2577</v>
      </c>
      <c r="K52" s="138">
        <v>25767</v>
      </c>
      <c r="L52" s="138"/>
      <c r="M52" s="138"/>
      <c r="N52" s="138"/>
      <c r="O52" s="141">
        <f t="shared" si="1"/>
        <v>213864</v>
      </c>
    </row>
    <row r="53" spans="1:15" x14ac:dyDescent="0.25">
      <c r="A53" s="542" t="s">
        <v>2591</v>
      </c>
      <c r="B53" s="542"/>
      <c r="C53" s="106" t="s">
        <v>2592</v>
      </c>
      <c r="D53" s="128">
        <v>113</v>
      </c>
      <c r="E53" s="124">
        <v>15</v>
      </c>
      <c r="F53" s="125">
        <v>1</v>
      </c>
      <c r="G53" s="138">
        <v>15460</v>
      </c>
      <c r="H53" s="140">
        <f t="shared" si="0"/>
        <v>185520</v>
      </c>
      <c r="I53" s="138"/>
      <c r="J53" s="138">
        <v>2577</v>
      </c>
      <c r="K53" s="138">
        <v>25767</v>
      </c>
      <c r="L53" s="138"/>
      <c r="M53" s="138"/>
      <c r="N53" s="138"/>
      <c r="O53" s="141">
        <f t="shared" si="1"/>
        <v>213864</v>
      </c>
    </row>
    <row r="54" spans="1:15" x14ac:dyDescent="0.25">
      <c r="A54" s="542" t="s">
        <v>2620</v>
      </c>
      <c r="B54" s="542"/>
      <c r="C54" s="106" t="s">
        <v>642</v>
      </c>
      <c r="D54" s="128">
        <v>113</v>
      </c>
      <c r="E54" s="124">
        <v>15</v>
      </c>
      <c r="F54" s="125">
        <v>1</v>
      </c>
      <c r="G54" s="138">
        <v>15460</v>
      </c>
      <c r="H54" s="140">
        <f t="shared" si="0"/>
        <v>185520</v>
      </c>
      <c r="I54" s="138"/>
      <c r="J54" s="138">
        <v>2577</v>
      </c>
      <c r="K54" s="138">
        <v>25767</v>
      </c>
      <c r="L54" s="138"/>
      <c r="M54" s="138"/>
      <c r="N54" s="138"/>
      <c r="O54" s="141">
        <f t="shared" si="1"/>
        <v>213864</v>
      </c>
    </row>
    <row r="55" spans="1:15" x14ac:dyDescent="0.25">
      <c r="A55" s="542" t="s">
        <v>2621</v>
      </c>
      <c r="B55" s="542"/>
      <c r="C55" s="106" t="s">
        <v>642</v>
      </c>
      <c r="D55" s="128">
        <v>113</v>
      </c>
      <c r="E55" s="124">
        <v>15</v>
      </c>
      <c r="F55" s="125">
        <v>1</v>
      </c>
      <c r="G55" s="137">
        <v>8240</v>
      </c>
      <c r="H55" s="140">
        <f t="shared" si="0"/>
        <v>98880</v>
      </c>
      <c r="I55" s="137"/>
      <c r="J55" s="137">
        <v>1373</v>
      </c>
      <c r="K55" s="137">
        <v>13733</v>
      </c>
      <c r="L55" s="137"/>
      <c r="M55" s="137"/>
      <c r="N55" s="137"/>
      <c r="O55" s="141">
        <f t="shared" si="1"/>
        <v>113986</v>
      </c>
    </row>
    <row r="56" spans="1:15" x14ac:dyDescent="0.25">
      <c r="A56" s="542" t="s">
        <v>2582</v>
      </c>
      <c r="B56" s="542"/>
      <c r="C56" s="106" t="s">
        <v>467</v>
      </c>
      <c r="D56" s="128">
        <v>113</v>
      </c>
      <c r="E56" s="124">
        <v>15</v>
      </c>
      <c r="F56" s="125">
        <v>1</v>
      </c>
      <c r="G56" s="138">
        <v>15460</v>
      </c>
      <c r="H56" s="140">
        <f t="shared" si="0"/>
        <v>185520</v>
      </c>
      <c r="I56" s="138"/>
      <c r="J56" s="138">
        <v>2577</v>
      </c>
      <c r="K56" s="138">
        <v>25767</v>
      </c>
      <c r="L56" s="138"/>
      <c r="M56" s="138"/>
      <c r="N56" s="138"/>
      <c r="O56" s="141">
        <f t="shared" si="1"/>
        <v>213864</v>
      </c>
    </row>
    <row r="57" spans="1:15" x14ac:dyDescent="0.25">
      <c r="A57" s="542" t="s">
        <v>2583</v>
      </c>
      <c r="B57" s="542"/>
      <c r="C57" s="106" t="s">
        <v>467</v>
      </c>
      <c r="D57" s="128">
        <v>113</v>
      </c>
      <c r="E57" s="124">
        <v>15</v>
      </c>
      <c r="F57" s="125">
        <v>1</v>
      </c>
      <c r="G57" s="138">
        <v>7648</v>
      </c>
      <c r="H57" s="140">
        <f t="shared" si="0"/>
        <v>91776</v>
      </c>
      <c r="I57" s="138"/>
      <c r="J57" s="138">
        <v>1275</v>
      </c>
      <c r="K57" s="138">
        <v>12745</v>
      </c>
      <c r="L57" s="138"/>
      <c r="M57" s="138"/>
      <c r="N57" s="138"/>
      <c r="O57" s="141">
        <f t="shared" si="1"/>
        <v>105796</v>
      </c>
    </row>
    <row r="58" spans="1:15" x14ac:dyDescent="0.25">
      <c r="A58" s="542" t="s">
        <v>2584</v>
      </c>
      <c r="B58" s="542"/>
      <c r="C58" s="106" t="s">
        <v>467</v>
      </c>
      <c r="D58" s="128">
        <v>113</v>
      </c>
      <c r="E58" s="124">
        <v>15</v>
      </c>
      <c r="F58" s="125">
        <v>1</v>
      </c>
      <c r="G58" s="138">
        <v>8637</v>
      </c>
      <c r="H58" s="140">
        <f t="shared" si="0"/>
        <v>103644</v>
      </c>
      <c r="I58" s="138"/>
      <c r="J58" s="138">
        <v>1440</v>
      </c>
      <c r="K58" s="138">
        <v>14395</v>
      </c>
      <c r="L58" s="138"/>
      <c r="M58" s="138"/>
      <c r="N58" s="138"/>
      <c r="O58" s="141">
        <f t="shared" si="1"/>
        <v>119479</v>
      </c>
    </row>
    <row r="59" spans="1:15" x14ac:dyDescent="0.25">
      <c r="A59" s="542" t="s">
        <v>2585</v>
      </c>
      <c r="B59" s="542"/>
      <c r="C59" s="106" t="s">
        <v>488</v>
      </c>
      <c r="D59" s="128">
        <v>113</v>
      </c>
      <c r="E59" s="124">
        <v>15</v>
      </c>
      <c r="F59" s="125">
        <v>1</v>
      </c>
      <c r="G59" s="137">
        <v>15460</v>
      </c>
      <c r="H59" s="140">
        <f t="shared" si="0"/>
        <v>185520</v>
      </c>
      <c r="I59" s="137"/>
      <c r="J59" s="137">
        <v>2577</v>
      </c>
      <c r="K59" s="137">
        <v>25767</v>
      </c>
      <c r="L59" s="137"/>
      <c r="M59" s="137"/>
      <c r="N59" s="137"/>
      <c r="O59" s="141">
        <f t="shared" si="1"/>
        <v>213864</v>
      </c>
    </row>
    <row r="60" spans="1:15" x14ac:dyDescent="0.25">
      <c r="A60" s="542" t="s">
        <v>2586</v>
      </c>
      <c r="B60" s="542"/>
      <c r="C60" s="106" t="s">
        <v>488</v>
      </c>
      <c r="D60" s="128">
        <v>113</v>
      </c>
      <c r="E60" s="124">
        <v>15</v>
      </c>
      <c r="F60" s="125">
        <v>1</v>
      </c>
      <c r="G60" s="138">
        <v>18015</v>
      </c>
      <c r="H60" s="140">
        <f t="shared" si="0"/>
        <v>216180</v>
      </c>
      <c r="I60" s="138"/>
      <c r="J60" s="138">
        <v>3003</v>
      </c>
      <c r="K60" s="138">
        <v>30025</v>
      </c>
      <c r="L60" s="138"/>
      <c r="M60" s="138"/>
      <c r="N60" s="138"/>
      <c r="O60" s="141">
        <f t="shared" si="1"/>
        <v>249208</v>
      </c>
    </row>
    <row r="61" spans="1:15" x14ac:dyDescent="0.25">
      <c r="A61" s="542" t="s">
        <v>2587</v>
      </c>
      <c r="B61" s="542"/>
      <c r="C61" s="106" t="s">
        <v>488</v>
      </c>
      <c r="D61" s="128">
        <v>113</v>
      </c>
      <c r="E61" s="124">
        <v>15</v>
      </c>
      <c r="F61" s="125">
        <v>1</v>
      </c>
      <c r="G61" s="138">
        <v>8252</v>
      </c>
      <c r="H61" s="140">
        <f t="shared" si="0"/>
        <v>99024</v>
      </c>
      <c r="I61" s="138"/>
      <c r="J61" s="138">
        <v>1375</v>
      </c>
      <c r="K61" s="138">
        <v>13753</v>
      </c>
      <c r="L61" s="138"/>
      <c r="M61" s="138"/>
      <c r="N61" s="138"/>
      <c r="O61" s="141">
        <f t="shared" si="1"/>
        <v>114152</v>
      </c>
    </row>
    <row r="62" spans="1:15" x14ac:dyDescent="0.25">
      <c r="A62" s="542" t="s">
        <v>2588</v>
      </c>
      <c r="B62" s="542"/>
      <c r="C62" s="106" t="s">
        <v>2568</v>
      </c>
      <c r="D62" s="128">
        <v>113</v>
      </c>
      <c r="E62" s="124">
        <v>15</v>
      </c>
      <c r="F62" s="125">
        <v>1</v>
      </c>
      <c r="G62" s="138">
        <v>12415</v>
      </c>
      <c r="H62" s="140">
        <f t="shared" si="0"/>
        <v>148980</v>
      </c>
      <c r="I62" s="138"/>
      <c r="J62" s="138">
        <v>2069</v>
      </c>
      <c r="K62" s="138">
        <v>20692</v>
      </c>
      <c r="L62" s="138"/>
      <c r="M62" s="138"/>
      <c r="N62" s="138"/>
      <c r="O62" s="141">
        <f t="shared" si="1"/>
        <v>171741</v>
      </c>
    </row>
    <row r="63" spans="1:15" x14ac:dyDescent="0.25">
      <c r="A63" s="542" t="s">
        <v>2589</v>
      </c>
      <c r="B63" s="542"/>
      <c r="C63" s="106" t="s">
        <v>2590</v>
      </c>
      <c r="D63" s="128">
        <v>113</v>
      </c>
      <c r="E63" s="124">
        <v>15</v>
      </c>
      <c r="F63" s="125">
        <v>1</v>
      </c>
      <c r="G63" s="138">
        <v>15460</v>
      </c>
      <c r="H63" s="140">
        <f t="shared" si="0"/>
        <v>185520</v>
      </c>
      <c r="I63" s="138"/>
      <c r="J63" s="138">
        <v>2577</v>
      </c>
      <c r="K63" s="138">
        <v>25767</v>
      </c>
      <c r="L63" s="138"/>
      <c r="M63" s="138"/>
      <c r="N63" s="138"/>
      <c r="O63" s="141">
        <f t="shared" si="1"/>
        <v>213864</v>
      </c>
    </row>
    <row r="64" spans="1:15" x14ac:dyDescent="0.25">
      <c r="A64" s="542" t="s">
        <v>2594</v>
      </c>
      <c r="B64" s="542"/>
      <c r="C64" s="106" t="s">
        <v>2595</v>
      </c>
      <c r="D64" s="128">
        <v>113</v>
      </c>
      <c r="E64" s="124">
        <v>15</v>
      </c>
      <c r="F64" s="125">
        <v>6</v>
      </c>
      <c r="G64" s="138">
        <v>9288</v>
      </c>
      <c r="H64" s="140">
        <f t="shared" si="0"/>
        <v>668736</v>
      </c>
      <c r="I64" s="138"/>
      <c r="J64" s="138">
        <v>9288</v>
      </c>
      <c r="K64" s="138">
        <v>92880</v>
      </c>
      <c r="L64" s="138"/>
      <c r="M64" s="138"/>
      <c r="N64" s="138"/>
      <c r="O64" s="141">
        <f t="shared" si="1"/>
        <v>770904</v>
      </c>
    </row>
    <row r="65" spans="1:15" x14ac:dyDescent="0.25">
      <c r="A65" s="542" t="s">
        <v>2601</v>
      </c>
      <c r="B65" s="542"/>
      <c r="C65" s="106" t="s">
        <v>2595</v>
      </c>
      <c r="D65" s="128">
        <v>113</v>
      </c>
      <c r="E65" s="124">
        <v>15</v>
      </c>
      <c r="F65" s="125">
        <v>1</v>
      </c>
      <c r="G65" s="138">
        <v>13267</v>
      </c>
      <c r="H65" s="140">
        <f t="shared" si="0"/>
        <v>159204</v>
      </c>
      <c r="I65" s="138"/>
      <c r="J65" s="138">
        <v>2211</v>
      </c>
      <c r="K65" s="138">
        <v>22112</v>
      </c>
      <c r="L65" s="138"/>
      <c r="M65" s="138"/>
      <c r="N65" s="138"/>
      <c r="O65" s="141">
        <f t="shared" si="1"/>
        <v>183527</v>
      </c>
    </row>
    <row r="66" spans="1:15" x14ac:dyDescent="0.25">
      <c r="A66" s="542" t="s">
        <v>2596</v>
      </c>
      <c r="B66" s="542"/>
      <c r="C66" s="106" t="s">
        <v>2595</v>
      </c>
      <c r="D66" s="128">
        <v>113</v>
      </c>
      <c r="E66" s="124">
        <v>15</v>
      </c>
      <c r="F66" s="125">
        <v>1</v>
      </c>
      <c r="G66" s="138">
        <v>7600</v>
      </c>
      <c r="H66" s="140">
        <f t="shared" si="0"/>
        <v>91200</v>
      </c>
      <c r="I66" s="138"/>
      <c r="J66" s="138">
        <v>1267</v>
      </c>
      <c r="K66" s="138">
        <v>6333</v>
      </c>
      <c r="L66" s="138"/>
      <c r="M66" s="138"/>
      <c r="N66" s="138"/>
      <c r="O66" s="141">
        <f t="shared" si="1"/>
        <v>98800</v>
      </c>
    </row>
    <row r="67" spans="1:15" x14ac:dyDescent="0.25">
      <c r="A67" s="542" t="s">
        <v>2597</v>
      </c>
      <c r="B67" s="542"/>
      <c r="C67" s="106" t="s">
        <v>2598</v>
      </c>
      <c r="D67" s="128">
        <v>113</v>
      </c>
      <c r="E67" s="124">
        <v>15</v>
      </c>
      <c r="F67" s="125">
        <v>5</v>
      </c>
      <c r="G67" s="138">
        <v>20257</v>
      </c>
      <c r="H67" s="140">
        <f t="shared" si="0"/>
        <v>1215420</v>
      </c>
      <c r="I67" s="138"/>
      <c r="J67" s="138">
        <v>16880</v>
      </c>
      <c r="K67" s="138">
        <v>168810</v>
      </c>
      <c r="L67" s="138"/>
      <c r="M67" s="138"/>
      <c r="N67" s="138"/>
      <c r="O67" s="141">
        <f t="shared" si="1"/>
        <v>1401110</v>
      </c>
    </row>
    <row r="68" spans="1:15" x14ac:dyDescent="0.25">
      <c r="A68" s="542" t="s">
        <v>2599</v>
      </c>
      <c r="B68" s="542"/>
      <c r="C68" s="106" t="s">
        <v>2598</v>
      </c>
      <c r="D68" s="128">
        <v>113</v>
      </c>
      <c r="E68" s="124">
        <v>15</v>
      </c>
      <c r="F68" s="125">
        <v>4</v>
      </c>
      <c r="G68" s="138">
        <v>12237</v>
      </c>
      <c r="H68" s="140">
        <f t="shared" si="0"/>
        <v>587376</v>
      </c>
      <c r="I68" s="138"/>
      <c r="J68" s="138">
        <v>8224</v>
      </c>
      <c r="K68" s="138">
        <v>81580</v>
      </c>
      <c r="L68" s="138"/>
      <c r="M68" s="138"/>
      <c r="N68" s="138"/>
      <c r="O68" s="141">
        <f t="shared" si="1"/>
        <v>677180</v>
      </c>
    </row>
    <row r="69" spans="1:15" x14ac:dyDescent="0.25">
      <c r="A69" s="542" t="s">
        <v>2600</v>
      </c>
      <c r="B69" s="542"/>
      <c r="C69" s="106" t="s">
        <v>2598</v>
      </c>
      <c r="D69" s="128">
        <v>113</v>
      </c>
      <c r="E69" s="124">
        <v>15</v>
      </c>
      <c r="F69" s="125">
        <v>3</v>
      </c>
      <c r="G69" s="137">
        <v>11002</v>
      </c>
      <c r="H69" s="140">
        <f t="shared" si="0"/>
        <v>396072</v>
      </c>
      <c r="I69" s="137"/>
      <c r="J69" s="137">
        <v>5502</v>
      </c>
      <c r="K69" s="137">
        <v>55011</v>
      </c>
      <c r="L69" s="137"/>
      <c r="M69" s="137"/>
      <c r="N69" s="137"/>
      <c r="O69" s="141">
        <f t="shared" si="1"/>
        <v>456585</v>
      </c>
    </row>
    <row r="70" spans="1:15" x14ac:dyDescent="0.25">
      <c r="A70" s="542" t="s">
        <v>2602</v>
      </c>
      <c r="B70" s="542"/>
      <c r="C70" s="106" t="s">
        <v>2603</v>
      </c>
      <c r="D70" s="128">
        <v>113</v>
      </c>
      <c r="E70" s="124">
        <v>15</v>
      </c>
      <c r="F70" s="125">
        <v>1</v>
      </c>
      <c r="G70" s="138">
        <v>21840</v>
      </c>
      <c r="H70" s="140">
        <f t="shared" si="0"/>
        <v>262080</v>
      </c>
      <c r="I70" s="138"/>
      <c r="J70" s="138">
        <v>3640</v>
      </c>
      <c r="K70" s="138">
        <v>36400</v>
      </c>
      <c r="L70" s="138"/>
      <c r="M70" s="138"/>
      <c r="N70" s="138"/>
      <c r="O70" s="141">
        <f t="shared" si="1"/>
        <v>302120</v>
      </c>
    </row>
    <row r="71" spans="1:15" x14ac:dyDescent="0.25">
      <c r="A71" s="542" t="s">
        <v>2604</v>
      </c>
      <c r="B71" s="542"/>
      <c r="C71" s="106" t="s">
        <v>2603</v>
      </c>
      <c r="D71" s="128">
        <v>113</v>
      </c>
      <c r="E71" s="124">
        <v>15</v>
      </c>
      <c r="F71" s="125">
        <v>2</v>
      </c>
      <c r="G71" s="138">
        <v>17843</v>
      </c>
      <c r="H71" s="140">
        <f t="shared" si="0"/>
        <v>428232</v>
      </c>
      <c r="I71" s="138"/>
      <c r="J71" s="138">
        <v>5948</v>
      </c>
      <c r="K71" s="138">
        <v>59476</v>
      </c>
      <c r="L71" s="138"/>
      <c r="M71" s="138"/>
      <c r="N71" s="138"/>
      <c r="O71" s="141">
        <f t="shared" si="1"/>
        <v>493656</v>
      </c>
    </row>
    <row r="72" spans="1:15" x14ac:dyDescent="0.25">
      <c r="A72" s="542" t="s">
        <v>2605</v>
      </c>
      <c r="B72" s="542"/>
      <c r="C72" s="106" t="s">
        <v>2603</v>
      </c>
      <c r="D72" s="128">
        <v>113</v>
      </c>
      <c r="E72" s="124">
        <v>15</v>
      </c>
      <c r="F72" s="125">
        <v>3</v>
      </c>
      <c r="G72" s="138">
        <v>17008</v>
      </c>
      <c r="H72" s="140">
        <f t="shared" si="0"/>
        <v>612288</v>
      </c>
      <c r="I72" s="138"/>
      <c r="J72" s="138">
        <v>8505</v>
      </c>
      <c r="K72" s="138">
        <v>85041</v>
      </c>
      <c r="L72" s="138"/>
      <c r="M72" s="138"/>
      <c r="N72" s="138"/>
      <c r="O72" s="141">
        <f t="shared" si="1"/>
        <v>705834</v>
      </c>
    </row>
    <row r="73" spans="1:15" x14ac:dyDescent="0.25">
      <c r="A73" s="542" t="s">
        <v>2606</v>
      </c>
      <c r="B73" s="542"/>
      <c r="C73" s="106" t="s">
        <v>2603</v>
      </c>
      <c r="D73" s="128">
        <v>113</v>
      </c>
      <c r="E73" s="124">
        <v>15</v>
      </c>
      <c r="F73" s="125">
        <v>18</v>
      </c>
      <c r="G73" s="138">
        <v>16174</v>
      </c>
      <c r="H73" s="140">
        <f t="shared" ref="H73:H136" si="2">IF(G73="","",IF(E73="","Se requiere asignar la fuente de financiamiento (FF)",IF(F73="","Es necesario establcer el número de plazas (No.)",IF(G73="","Se necesita establcer un monto mensual",F73*G73*12))))</f>
        <v>3493584</v>
      </c>
      <c r="I73" s="138"/>
      <c r="J73" s="138">
        <v>48528</v>
      </c>
      <c r="K73" s="138">
        <v>485226</v>
      </c>
      <c r="L73" s="138"/>
      <c r="M73" s="138"/>
      <c r="N73" s="138"/>
      <c r="O73" s="141">
        <f t="shared" ref="O73:O136" si="3">SUM(H73:N73)</f>
        <v>4027338</v>
      </c>
    </row>
    <row r="74" spans="1:15" x14ac:dyDescent="0.25">
      <c r="A74" s="542"/>
      <c r="B74" s="542"/>
      <c r="C74" s="106"/>
      <c r="D74" s="128">
        <v>113</v>
      </c>
      <c r="E74" s="124"/>
      <c r="F74" s="125"/>
      <c r="G74" s="138"/>
      <c r="H74" s="140" t="str">
        <f t="shared" si="2"/>
        <v/>
      </c>
      <c r="I74" s="138"/>
      <c r="J74" s="138"/>
      <c r="K74" s="138"/>
      <c r="L74" s="138"/>
      <c r="M74" s="138"/>
      <c r="N74" s="138"/>
      <c r="O74" s="141">
        <f t="shared" si="3"/>
        <v>0</v>
      </c>
    </row>
    <row r="75" spans="1:15" x14ac:dyDescent="0.25">
      <c r="A75" s="542"/>
      <c r="B75" s="542"/>
      <c r="C75" s="106"/>
      <c r="D75" s="128">
        <v>113</v>
      </c>
      <c r="E75" s="124"/>
      <c r="F75" s="125"/>
      <c r="G75" s="138"/>
      <c r="H75" s="140" t="str">
        <f t="shared" si="2"/>
        <v/>
      </c>
      <c r="I75" s="138"/>
      <c r="J75" s="138"/>
      <c r="K75" s="138"/>
      <c r="L75" s="138"/>
      <c r="M75" s="138"/>
      <c r="N75" s="138"/>
      <c r="O75" s="141">
        <f t="shared" si="3"/>
        <v>0</v>
      </c>
    </row>
    <row r="76" spans="1:15" x14ac:dyDescent="0.25">
      <c r="A76" s="542"/>
      <c r="B76" s="542"/>
      <c r="C76" s="106"/>
      <c r="D76" s="128">
        <v>113</v>
      </c>
      <c r="E76" s="124"/>
      <c r="F76" s="125"/>
      <c r="G76" s="138"/>
      <c r="H76" s="140" t="str">
        <f t="shared" si="2"/>
        <v/>
      </c>
      <c r="I76" s="138"/>
      <c r="J76" s="138"/>
      <c r="K76" s="138"/>
      <c r="L76" s="138"/>
      <c r="M76" s="138"/>
      <c r="N76" s="138"/>
      <c r="O76" s="141">
        <f t="shared" si="3"/>
        <v>0</v>
      </c>
    </row>
    <row r="77" spans="1:15" x14ac:dyDescent="0.25">
      <c r="A77" s="542"/>
      <c r="B77" s="542"/>
      <c r="C77" s="106"/>
      <c r="D77" s="128">
        <v>113</v>
      </c>
      <c r="E77" s="124"/>
      <c r="F77" s="125"/>
      <c r="G77" s="138"/>
      <c r="H77" s="140" t="str">
        <f t="shared" si="2"/>
        <v/>
      </c>
      <c r="I77" s="138"/>
      <c r="J77" s="138"/>
      <c r="K77" s="138"/>
      <c r="L77" s="138"/>
      <c r="M77" s="138"/>
      <c r="N77" s="138"/>
      <c r="O77" s="141">
        <f t="shared" si="3"/>
        <v>0</v>
      </c>
    </row>
    <row r="78" spans="1:15" x14ac:dyDescent="0.25">
      <c r="A78" s="542"/>
      <c r="B78" s="542"/>
      <c r="C78" s="106"/>
      <c r="D78" s="128">
        <v>113</v>
      </c>
      <c r="E78" s="124"/>
      <c r="F78" s="125"/>
      <c r="G78" s="138"/>
      <c r="H78" s="140" t="str">
        <f t="shared" si="2"/>
        <v/>
      </c>
      <c r="I78" s="138"/>
      <c r="J78" s="138"/>
      <c r="K78" s="138"/>
      <c r="L78" s="138"/>
      <c r="M78" s="138"/>
      <c r="N78" s="138"/>
      <c r="O78" s="141">
        <f t="shared" si="3"/>
        <v>0</v>
      </c>
    </row>
    <row r="79" spans="1:15" x14ac:dyDescent="0.25">
      <c r="A79" s="542"/>
      <c r="B79" s="542"/>
      <c r="C79" s="106"/>
      <c r="D79" s="128">
        <v>113</v>
      </c>
      <c r="E79" s="124"/>
      <c r="F79" s="125"/>
      <c r="G79" s="137"/>
      <c r="H79" s="140" t="str">
        <f t="shared" si="2"/>
        <v/>
      </c>
      <c r="I79" s="137"/>
      <c r="J79" s="137"/>
      <c r="K79" s="137"/>
      <c r="L79" s="137"/>
      <c r="M79" s="137"/>
      <c r="N79" s="137"/>
      <c r="O79" s="141">
        <f t="shared" si="3"/>
        <v>0</v>
      </c>
    </row>
    <row r="80" spans="1:15" x14ac:dyDescent="0.25">
      <c r="A80" s="542"/>
      <c r="B80" s="542"/>
      <c r="C80" s="106"/>
      <c r="D80" s="128">
        <v>113</v>
      </c>
      <c r="E80" s="124"/>
      <c r="F80" s="125"/>
      <c r="G80" s="138"/>
      <c r="H80" s="140" t="str">
        <f t="shared" si="2"/>
        <v/>
      </c>
      <c r="I80" s="138"/>
      <c r="J80" s="138"/>
      <c r="K80" s="138"/>
      <c r="L80" s="138"/>
      <c r="M80" s="138"/>
      <c r="N80" s="138"/>
      <c r="O80" s="141">
        <f t="shared" si="3"/>
        <v>0</v>
      </c>
    </row>
    <row r="81" spans="1:15" x14ac:dyDescent="0.25">
      <c r="A81" s="542"/>
      <c r="B81" s="542"/>
      <c r="C81" s="106"/>
      <c r="D81" s="128">
        <v>113</v>
      </c>
      <c r="E81" s="124"/>
      <c r="F81" s="125"/>
      <c r="G81" s="138"/>
      <c r="H81" s="140" t="str">
        <f t="shared" si="2"/>
        <v/>
      </c>
      <c r="I81" s="138"/>
      <c r="J81" s="138"/>
      <c r="K81" s="138"/>
      <c r="L81" s="138"/>
      <c r="M81" s="138"/>
      <c r="N81" s="138"/>
      <c r="O81" s="141">
        <f t="shared" si="3"/>
        <v>0</v>
      </c>
    </row>
    <row r="82" spans="1:15" x14ac:dyDescent="0.25">
      <c r="A82" s="542"/>
      <c r="B82" s="542"/>
      <c r="C82" s="106"/>
      <c r="D82" s="128">
        <v>113</v>
      </c>
      <c r="E82" s="124"/>
      <c r="F82" s="125"/>
      <c r="G82" s="138"/>
      <c r="H82" s="140" t="str">
        <f t="shared" si="2"/>
        <v/>
      </c>
      <c r="I82" s="138"/>
      <c r="J82" s="138"/>
      <c r="K82" s="138"/>
      <c r="L82" s="138"/>
      <c r="M82" s="138"/>
      <c r="N82" s="138"/>
      <c r="O82" s="141">
        <f t="shared" si="3"/>
        <v>0</v>
      </c>
    </row>
    <row r="83" spans="1:15" x14ac:dyDescent="0.25">
      <c r="A83" s="542"/>
      <c r="B83" s="542"/>
      <c r="C83" s="106"/>
      <c r="D83" s="128">
        <v>113</v>
      </c>
      <c r="E83" s="124"/>
      <c r="F83" s="125"/>
      <c r="G83" s="138"/>
      <c r="H83" s="140" t="str">
        <f t="shared" si="2"/>
        <v/>
      </c>
      <c r="I83" s="138"/>
      <c r="J83" s="138"/>
      <c r="K83" s="138"/>
      <c r="L83" s="138"/>
      <c r="M83" s="138"/>
      <c r="N83" s="138"/>
      <c r="O83" s="141">
        <f t="shared" si="3"/>
        <v>0</v>
      </c>
    </row>
    <row r="84" spans="1:15" x14ac:dyDescent="0.25">
      <c r="A84" s="542"/>
      <c r="B84" s="542"/>
      <c r="C84" s="106"/>
      <c r="D84" s="128">
        <v>113</v>
      </c>
      <c r="E84" s="124"/>
      <c r="F84" s="125"/>
      <c r="G84" s="138"/>
      <c r="H84" s="140" t="str">
        <f t="shared" si="2"/>
        <v/>
      </c>
      <c r="I84" s="138"/>
      <c r="J84" s="138"/>
      <c r="K84" s="138"/>
      <c r="L84" s="138"/>
      <c r="M84" s="138"/>
      <c r="N84" s="138"/>
      <c r="O84" s="141">
        <f t="shared" si="3"/>
        <v>0</v>
      </c>
    </row>
    <row r="85" spans="1:15" x14ac:dyDescent="0.25">
      <c r="A85" s="542"/>
      <c r="B85" s="542"/>
      <c r="C85" s="106"/>
      <c r="D85" s="128">
        <v>113</v>
      </c>
      <c r="E85" s="124"/>
      <c r="F85" s="125"/>
      <c r="G85" s="138"/>
      <c r="H85" s="140" t="str">
        <f t="shared" si="2"/>
        <v/>
      </c>
      <c r="I85" s="138"/>
      <c r="J85" s="138"/>
      <c r="K85" s="138"/>
      <c r="L85" s="138"/>
      <c r="M85" s="138"/>
      <c r="N85" s="138"/>
      <c r="O85" s="141">
        <f t="shared" si="3"/>
        <v>0</v>
      </c>
    </row>
    <row r="86" spans="1:15" x14ac:dyDescent="0.25">
      <c r="A86" s="542"/>
      <c r="B86" s="542"/>
      <c r="C86" s="106"/>
      <c r="D86" s="128">
        <v>113</v>
      </c>
      <c r="E86" s="124"/>
      <c r="F86" s="125"/>
      <c r="G86" s="138"/>
      <c r="H86" s="140" t="str">
        <f t="shared" si="2"/>
        <v/>
      </c>
      <c r="I86" s="138"/>
      <c r="J86" s="138"/>
      <c r="K86" s="138"/>
      <c r="L86" s="138"/>
      <c r="M86" s="138"/>
      <c r="N86" s="138"/>
      <c r="O86" s="141">
        <f t="shared" si="3"/>
        <v>0</v>
      </c>
    </row>
    <row r="87" spans="1:15" x14ac:dyDescent="0.25">
      <c r="A87" s="542"/>
      <c r="B87" s="542"/>
      <c r="C87" s="106"/>
      <c r="D87" s="128">
        <v>113</v>
      </c>
      <c r="E87" s="124"/>
      <c r="F87" s="125"/>
      <c r="G87" s="137"/>
      <c r="H87" s="140" t="str">
        <f t="shared" si="2"/>
        <v/>
      </c>
      <c r="I87" s="137"/>
      <c r="J87" s="137"/>
      <c r="K87" s="137"/>
      <c r="L87" s="137"/>
      <c r="M87" s="137"/>
      <c r="N87" s="137"/>
      <c r="O87" s="141">
        <f t="shared" si="3"/>
        <v>0</v>
      </c>
    </row>
    <row r="88" spans="1:15" x14ac:dyDescent="0.25">
      <c r="A88" s="542"/>
      <c r="B88" s="542"/>
      <c r="C88" s="106"/>
      <c r="D88" s="128">
        <v>113</v>
      </c>
      <c r="E88" s="124"/>
      <c r="F88" s="125"/>
      <c r="G88" s="138"/>
      <c r="H88" s="140" t="str">
        <f t="shared" si="2"/>
        <v/>
      </c>
      <c r="I88" s="138"/>
      <c r="J88" s="138"/>
      <c r="K88" s="138"/>
      <c r="L88" s="138"/>
      <c r="M88" s="138"/>
      <c r="N88" s="138"/>
      <c r="O88" s="141">
        <f t="shared" si="3"/>
        <v>0</v>
      </c>
    </row>
    <row r="89" spans="1:15" x14ac:dyDescent="0.25">
      <c r="A89" s="542"/>
      <c r="B89" s="542"/>
      <c r="C89" s="106"/>
      <c r="D89" s="128">
        <v>113</v>
      </c>
      <c r="E89" s="124"/>
      <c r="F89" s="125"/>
      <c r="G89" s="138"/>
      <c r="H89" s="140" t="str">
        <f t="shared" si="2"/>
        <v/>
      </c>
      <c r="I89" s="138"/>
      <c r="J89" s="138"/>
      <c r="K89" s="138"/>
      <c r="L89" s="138"/>
      <c r="M89" s="138"/>
      <c r="N89" s="138"/>
      <c r="O89" s="141">
        <f t="shared" si="3"/>
        <v>0</v>
      </c>
    </row>
    <row r="90" spans="1:15" x14ac:dyDescent="0.25">
      <c r="A90" s="542"/>
      <c r="B90" s="542"/>
      <c r="C90" s="106"/>
      <c r="D90" s="128">
        <v>113</v>
      </c>
      <c r="E90" s="124"/>
      <c r="F90" s="125"/>
      <c r="G90" s="137"/>
      <c r="H90" s="140" t="str">
        <f t="shared" si="2"/>
        <v/>
      </c>
      <c r="I90" s="137"/>
      <c r="J90" s="137"/>
      <c r="K90" s="137"/>
      <c r="L90" s="137"/>
      <c r="M90" s="137"/>
      <c r="N90" s="137"/>
      <c r="O90" s="141">
        <f t="shared" si="3"/>
        <v>0</v>
      </c>
    </row>
    <row r="91" spans="1:15" x14ac:dyDescent="0.25">
      <c r="A91" s="542"/>
      <c r="B91" s="542"/>
      <c r="C91" s="106"/>
      <c r="D91" s="128">
        <v>113</v>
      </c>
      <c r="E91" s="124"/>
      <c r="F91" s="125"/>
      <c r="G91" s="138"/>
      <c r="H91" s="140" t="str">
        <f t="shared" si="2"/>
        <v/>
      </c>
      <c r="I91" s="138"/>
      <c r="J91" s="138"/>
      <c r="K91" s="138"/>
      <c r="L91" s="138"/>
      <c r="M91" s="138"/>
      <c r="N91" s="138"/>
      <c r="O91" s="141">
        <f t="shared" si="3"/>
        <v>0</v>
      </c>
    </row>
    <row r="92" spans="1:15" x14ac:dyDescent="0.25">
      <c r="A92" s="542"/>
      <c r="B92" s="542"/>
      <c r="C92" s="106"/>
      <c r="D92" s="128">
        <v>113</v>
      </c>
      <c r="E92" s="124"/>
      <c r="F92" s="125"/>
      <c r="G92" s="138"/>
      <c r="H92" s="140" t="str">
        <f t="shared" si="2"/>
        <v/>
      </c>
      <c r="I92" s="138"/>
      <c r="J92" s="138"/>
      <c r="K92" s="138"/>
      <c r="L92" s="138"/>
      <c r="M92" s="138"/>
      <c r="N92" s="138"/>
      <c r="O92" s="141">
        <f t="shared" si="3"/>
        <v>0</v>
      </c>
    </row>
    <row r="93" spans="1:15" x14ac:dyDescent="0.25">
      <c r="A93" s="542"/>
      <c r="B93" s="542"/>
      <c r="C93" s="106"/>
      <c r="D93" s="128">
        <v>113</v>
      </c>
      <c r="E93" s="124"/>
      <c r="F93" s="125"/>
      <c r="G93" s="138"/>
      <c r="H93" s="140" t="str">
        <f t="shared" si="2"/>
        <v/>
      </c>
      <c r="I93" s="138"/>
      <c r="J93" s="138"/>
      <c r="K93" s="138"/>
      <c r="L93" s="138"/>
      <c r="M93" s="138"/>
      <c r="N93" s="138"/>
      <c r="O93" s="141">
        <f t="shared" si="3"/>
        <v>0</v>
      </c>
    </row>
    <row r="94" spans="1:15" x14ac:dyDescent="0.25">
      <c r="A94" s="542"/>
      <c r="B94" s="542"/>
      <c r="C94" s="106"/>
      <c r="D94" s="128">
        <v>113</v>
      </c>
      <c r="E94" s="124"/>
      <c r="F94" s="125"/>
      <c r="G94" s="138"/>
      <c r="H94" s="140" t="str">
        <f t="shared" si="2"/>
        <v/>
      </c>
      <c r="I94" s="138"/>
      <c r="J94" s="138"/>
      <c r="K94" s="138"/>
      <c r="L94" s="138"/>
      <c r="M94" s="138"/>
      <c r="N94" s="138"/>
      <c r="O94" s="141">
        <f t="shared" si="3"/>
        <v>0</v>
      </c>
    </row>
    <row r="95" spans="1:15" x14ac:dyDescent="0.25">
      <c r="A95" s="542"/>
      <c r="B95" s="542"/>
      <c r="C95" s="106"/>
      <c r="D95" s="128">
        <v>113</v>
      </c>
      <c r="E95" s="124"/>
      <c r="F95" s="125"/>
      <c r="G95" s="138"/>
      <c r="H95" s="140" t="str">
        <f t="shared" si="2"/>
        <v/>
      </c>
      <c r="I95" s="138"/>
      <c r="J95" s="138"/>
      <c r="K95" s="138"/>
      <c r="L95" s="138"/>
      <c r="M95" s="138"/>
      <c r="N95" s="138"/>
      <c r="O95" s="141">
        <f t="shared" si="3"/>
        <v>0</v>
      </c>
    </row>
    <row r="96" spans="1:15" x14ac:dyDescent="0.25">
      <c r="A96" s="542"/>
      <c r="B96" s="542"/>
      <c r="C96" s="106"/>
      <c r="D96" s="128">
        <v>113</v>
      </c>
      <c r="E96" s="124"/>
      <c r="F96" s="125"/>
      <c r="G96" s="137"/>
      <c r="H96" s="140" t="str">
        <f t="shared" si="2"/>
        <v/>
      </c>
      <c r="I96" s="137"/>
      <c r="J96" s="137"/>
      <c r="K96" s="137"/>
      <c r="L96" s="137"/>
      <c r="M96" s="137"/>
      <c r="N96" s="137"/>
      <c r="O96" s="141">
        <f t="shared" si="3"/>
        <v>0</v>
      </c>
    </row>
    <row r="97" spans="1:15" x14ac:dyDescent="0.25">
      <c r="A97" s="542"/>
      <c r="B97" s="542"/>
      <c r="C97" s="106"/>
      <c r="D97" s="128">
        <v>113</v>
      </c>
      <c r="E97" s="124"/>
      <c r="F97" s="125"/>
      <c r="G97" s="138"/>
      <c r="H97" s="140" t="str">
        <f t="shared" si="2"/>
        <v/>
      </c>
      <c r="I97" s="138"/>
      <c r="J97" s="138"/>
      <c r="K97" s="138"/>
      <c r="L97" s="138"/>
      <c r="M97" s="138"/>
      <c r="N97" s="138"/>
      <c r="O97" s="141">
        <f t="shared" si="3"/>
        <v>0</v>
      </c>
    </row>
    <row r="98" spans="1:15" x14ac:dyDescent="0.25">
      <c r="A98" s="542"/>
      <c r="B98" s="542"/>
      <c r="C98" s="106"/>
      <c r="D98" s="128">
        <v>113</v>
      </c>
      <c r="E98" s="124"/>
      <c r="F98" s="125"/>
      <c r="G98" s="138"/>
      <c r="H98" s="140" t="str">
        <f t="shared" si="2"/>
        <v/>
      </c>
      <c r="I98" s="138"/>
      <c r="J98" s="138"/>
      <c r="K98" s="138"/>
      <c r="L98" s="138"/>
      <c r="M98" s="138"/>
      <c r="N98" s="138"/>
      <c r="O98" s="141">
        <f t="shared" si="3"/>
        <v>0</v>
      </c>
    </row>
    <row r="99" spans="1:15" x14ac:dyDescent="0.25">
      <c r="A99" s="542"/>
      <c r="B99" s="542"/>
      <c r="C99" s="106"/>
      <c r="D99" s="128">
        <v>113</v>
      </c>
      <c r="E99" s="124"/>
      <c r="F99" s="125"/>
      <c r="G99" s="138"/>
      <c r="H99" s="140" t="str">
        <f t="shared" si="2"/>
        <v/>
      </c>
      <c r="I99" s="138"/>
      <c r="J99" s="138"/>
      <c r="K99" s="138"/>
      <c r="L99" s="138"/>
      <c r="M99" s="138"/>
      <c r="N99" s="138"/>
      <c r="O99" s="141">
        <f t="shared" si="3"/>
        <v>0</v>
      </c>
    </row>
    <row r="100" spans="1:15" x14ac:dyDescent="0.25">
      <c r="A100" s="542"/>
      <c r="B100" s="542"/>
      <c r="C100" s="106"/>
      <c r="D100" s="128">
        <v>113</v>
      </c>
      <c r="E100" s="124"/>
      <c r="F100" s="125"/>
      <c r="G100" s="137"/>
      <c r="H100" s="140" t="str">
        <f t="shared" si="2"/>
        <v/>
      </c>
      <c r="I100" s="137"/>
      <c r="J100" s="137"/>
      <c r="K100" s="137"/>
      <c r="L100" s="137"/>
      <c r="M100" s="137"/>
      <c r="N100" s="137"/>
      <c r="O100" s="141">
        <f t="shared" si="3"/>
        <v>0</v>
      </c>
    </row>
    <row r="101" spans="1:15" x14ac:dyDescent="0.25">
      <c r="A101" s="542"/>
      <c r="B101" s="542"/>
      <c r="C101" s="106"/>
      <c r="D101" s="128">
        <v>113</v>
      </c>
      <c r="E101" s="124"/>
      <c r="F101" s="125"/>
      <c r="G101" s="138"/>
      <c r="H101" s="140" t="str">
        <f t="shared" si="2"/>
        <v/>
      </c>
      <c r="I101" s="138"/>
      <c r="J101" s="138"/>
      <c r="K101" s="138"/>
      <c r="L101" s="138"/>
      <c r="M101" s="138"/>
      <c r="N101" s="138"/>
      <c r="O101" s="141">
        <f t="shared" si="3"/>
        <v>0</v>
      </c>
    </row>
    <row r="102" spans="1:15" x14ac:dyDescent="0.25">
      <c r="A102" s="542"/>
      <c r="B102" s="542"/>
      <c r="C102" s="106"/>
      <c r="D102" s="128">
        <v>113</v>
      </c>
      <c r="E102" s="124"/>
      <c r="F102" s="125"/>
      <c r="G102" s="138"/>
      <c r="H102" s="140" t="str">
        <f t="shared" si="2"/>
        <v/>
      </c>
      <c r="I102" s="138"/>
      <c r="J102" s="138"/>
      <c r="K102" s="138"/>
      <c r="L102" s="138"/>
      <c r="M102" s="138"/>
      <c r="N102" s="138"/>
      <c r="O102" s="141">
        <f t="shared" si="3"/>
        <v>0</v>
      </c>
    </row>
    <row r="103" spans="1:15" x14ac:dyDescent="0.25">
      <c r="A103" s="542"/>
      <c r="B103" s="542"/>
      <c r="C103" s="106"/>
      <c r="D103" s="128">
        <v>113</v>
      </c>
      <c r="E103" s="124"/>
      <c r="F103" s="125"/>
      <c r="G103" s="138"/>
      <c r="H103" s="140" t="str">
        <f t="shared" si="2"/>
        <v/>
      </c>
      <c r="I103" s="138"/>
      <c r="J103" s="138"/>
      <c r="K103" s="138"/>
      <c r="L103" s="138"/>
      <c r="M103" s="138"/>
      <c r="N103" s="138"/>
      <c r="O103" s="141">
        <f t="shared" si="3"/>
        <v>0</v>
      </c>
    </row>
    <row r="104" spans="1:15" x14ac:dyDescent="0.25">
      <c r="A104" s="542"/>
      <c r="B104" s="542"/>
      <c r="C104" s="106"/>
      <c r="D104" s="128">
        <v>113</v>
      </c>
      <c r="E104" s="124"/>
      <c r="F104" s="125"/>
      <c r="G104" s="138"/>
      <c r="H104" s="140" t="str">
        <f t="shared" si="2"/>
        <v/>
      </c>
      <c r="I104" s="138"/>
      <c r="J104" s="138"/>
      <c r="K104" s="138"/>
      <c r="L104" s="138"/>
      <c r="M104" s="138"/>
      <c r="N104" s="138"/>
      <c r="O104" s="141">
        <f t="shared" si="3"/>
        <v>0</v>
      </c>
    </row>
    <row r="105" spans="1:15" x14ac:dyDescent="0.25">
      <c r="A105" s="542"/>
      <c r="B105" s="542"/>
      <c r="C105" s="106"/>
      <c r="D105" s="128">
        <v>113</v>
      </c>
      <c r="E105" s="124"/>
      <c r="F105" s="125"/>
      <c r="G105" s="138"/>
      <c r="H105" s="140" t="str">
        <f t="shared" si="2"/>
        <v/>
      </c>
      <c r="I105" s="138"/>
      <c r="J105" s="138"/>
      <c r="K105" s="138"/>
      <c r="L105" s="138"/>
      <c r="M105" s="138"/>
      <c r="N105" s="138"/>
      <c r="O105" s="141">
        <f t="shared" si="3"/>
        <v>0</v>
      </c>
    </row>
    <row r="106" spans="1:15" x14ac:dyDescent="0.25">
      <c r="A106" s="542"/>
      <c r="B106" s="542"/>
      <c r="C106" s="106"/>
      <c r="D106" s="128">
        <v>113</v>
      </c>
      <c r="E106" s="124"/>
      <c r="F106" s="125"/>
      <c r="G106" s="138"/>
      <c r="H106" s="140" t="str">
        <f t="shared" si="2"/>
        <v/>
      </c>
      <c r="I106" s="138"/>
      <c r="J106" s="138"/>
      <c r="K106" s="138"/>
      <c r="L106" s="138"/>
      <c r="M106" s="138"/>
      <c r="N106" s="138"/>
      <c r="O106" s="141">
        <f t="shared" si="3"/>
        <v>0</v>
      </c>
    </row>
    <row r="107" spans="1:15" x14ac:dyDescent="0.25">
      <c r="A107" s="542"/>
      <c r="B107" s="542"/>
      <c r="C107" s="106"/>
      <c r="D107" s="128">
        <v>113</v>
      </c>
      <c r="E107" s="124"/>
      <c r="F107" s="125"/>
      <c r="G107" s="138"/>
      <c r="H107" s="140" t="str">
        <f t="shared" si="2"/>
        <v/>
      </c>
      <c r="I107" s="138"/>
      <c r="J107" s="138"/>
      <c r="K107" s="138"/>
      <c r="L107" s="138"/>
      <c r="M107" s="138"/>
      <c r="N107" s="138"/>
      <c r="O107" s="141">
        <f t="shared" si="3"/>
        <v>0</v>
      </c>
    </row>
    <row r="108" spans="1:15" x14ac:dyDescent="0.25">
      <c r="A108" s="542"/>
      <c r="B108" s="542"/>
      <c r="C108" s="106"/>
      <c r="D108" s="128">
        <v>113</v>
      </c>
      <c r="E108" s="124"/>
      <c r="F108" s="125"/>
      <c r="G108" s="138"/>
      <c r="H108" s="140" t="str">
        <f t="shared" si="2"/>
        <v/>
      </c>
      <c r="I108" s="138"/>
      <c r="J108" s="138"/>
      <c r="K108" s="138"/>
      <c r="L108" s="138"/>
      <c r="M108" s="138"/>
      <c r="N108" s="138"/>
      <c r="O108" s="141">
        <f t="shared" si="3"/>
        <v>0</v>
      </c>
    </row>
    <row r="109" spans="1:15" x14ac:dyDescent="0.25">
      <c r="A109" s="542"/>
      <c r="B109" s="542"/>
      <c r="C109" s="106"/>
      <c r="D109" s="128">
        <v>113</v>
      </c>
      <c r="E109" s="124"/>
      <c r="F109" s="125"/>
      <c r="G109" s="138"/>
      <c r="H109" s="140" t="str">
        <f t="shared" si="2"/>
        <v/>
      </c>
      <c r="I109" s="138"/>
      <c r="J109" s="138"/>
      <c r="K109" s="138"/>
      <c r="L109" s="138"/>
      <c r="M109" s="138"/>
      <c r="N109" s="138"/>
      <c r="O109" s="141">
        <f t="shared" si="3"/>
        <v>0</v>
      </c>
    </row>
    <row r="110" spans="1:15" x14ac:dyDescent="0.25">
      <c r="A110" s="542"/>
      <c r="B110" s="542"/>
      <c r="C110" s="106"/>
      <c r="D110" s="128">
        <v>113</v>
      </c>
      <c r="E110" s="124"/>
      <c r="F110" s="125"/>
      <c r="G110" s="137"/>
      <c r="H110" s="140" t="str">
        <f t="shared" si="2"/>
        <v/>
      </c>
      <c r="I110" s="137"/>
      <c r="J110" s="137"/>
      <c r="K110" s="137"/>
      <c r="L110" s="137"/>
      <c r="M110" s="137"/>
      <c r="N110" s="137"/>
      <c r="O110" s="141">
        <f t="shared" si="3"/>
        <v>0</v>
      </c>
    </row>
    <row r="111" spans="1:15" x14ac:dyDescent="0.25">
      <c r="A111" s="542"/>
      <c r="B111" s="542"/>
      <c r="C111" s="106"/>
      <c r="D111" s="128">
        <v>113</v>
      </c>
      <c r="E111" s="124"/>
      <c r="F111" s="125"/>
      <c r="G111" s="137"/>
      <c r="H111" s="140" t="str">
        <f t="shared" si="2"/>
        <v/>
      </c>
      <c r="I111" s="137"/>
      <c r="J111" s="137"/>
      <c r="K111" s="137"/>
      <c r="L111" s="137"/>
      <c r="M111" s="137"/>
      <c r="N111" s="137"/>
      <c r="O111" s="141">
        <f t="shared" si="3"/>
        <v>0</v>
      </c>
    </row>
    <row r="112" spans="1:15" x14ac:dyDescent="0.25">
      <c r="A112" s="542"/>
      <c r="B112" s="542"/>
      <c r="C112" s="106"/>
      <c r="D112" s="128">
        <v>113</v>
      </c>
      <c r="E112" s="124"/>
      <c r="F112" s="125"/>
      <c r="G112" s="138"/>
      <c r="H112" s="140" t="str">
        <f t="shared" si="2"/>
        <v/>
      </c>
      <c r="I112" s="138"/>
      <c r="J112" s="138"/>
      <c r="K112" s="138"/>
      <c r="L112" s="138"/>
      <c r="M112" s="138"/>
      <c r="N112" s="138"/>
      <c r="O112" s="141">
        <f t="shared" si="3"/>
        <v>0</v>
      </c>
    </row>
    <row r="113" spans="1:15" x14ac:dyDescent="0.25">
      <c r="A113" s="542"/>
      <c r="B113" s="542"/>
      <c r="C113" s="106"/>
      <c r="D113" s="128">
        <v>113</v>
      </c>
      <c r="E113" s="124"/>
      <c r="F113" s="125"/>
      <c r="G113" s="138"/>
      <c r="H113" s="140" t="str">
        <f t="shared" si="2"/>
        <v/>
      </c>
      <c r="I113" s="138"/>
      <c r="J113" s="138"/>
      <c r="K113" s="138"/>
      <c r="L113" s="138"/>
      <c r="M113" s="138"/>
      <c r="N113" s="138"/>
      <c r="O113" s="141">
        <f t="shared" si="3"/>
        <v>0</v>
      </c>
    </row>
    <row r="114" spans="1:15" x14ac:dyDescent="0.25">
      <c r="A114" s="542"/>
      <c r="B114" s="542"/>
      <c r="C114" s="106"/>
      <c r="D114" s="128">
        <v>113</v>
      </c>
      <c r="E114" s="124"/>
      <c r="F114" s="125"/>
      <c r="G114" s="138"/>
      <c r="H114" s="140" t="str">
        <f t="shared" si="2"/>
        <v/>
      </c>
      <c r="I114" s="138"/>
      <c r="J114" s="138"/>
      <c r="K114" s="138"/>
      <c r="L114" s="138"/>
      <c r="M114" s="138"/>
      <c r="N114" s="138"/>
      <c r="O114" s="141">
        <f t="shared" si="3"/>
        <v>0</v>
      </c>
    </row>
    <row r="115" spans="1:15" x14ac:dyDescent="0.25">
      <c r="A115" s="542"/>
      <c r="B115" s="542"/>
      <c r="C115" s="106"/>
      <c r="D115" s="128">
        <v>113</v>
      </c>
      <c r="E115" s="124"/>
      <c r="F115" s="125"/>
      <c r="G115" s="138"/>
      <c r="H115" s="140" t="str">
        <f t="shared" si="2"/>
        <v/>
      </c>
      <c r="I115" s="138"/>
      <c r="J115" s="138"/>
      <c r="K115" s="138"/>
      <c r="L115" s="138"/>
      <c r="M115" s="138"/>
      <c r="N115" s="138"/>
      <c r="O115" s="141">
        <f t="shared" si="3"/>
        <v>0</v>
      </c>
    </row>
    <row r="116" spans="1:15" x14ac:dyDescent="0.25">
      <c r="A116" s="542"/>
      <c r="B116" s="542"/>
      <c r="C116" s="106"/>
      <c r="D116" s="128">
        <v>113</v>
      </c>
      <c r="E116" s="124"/>
      <c r="F116" s="125"/>
      <c r="G116" s="138"/>
      <c r="H116" s="140" t="str">
        <f t="shared" si="2"/>
        <v/>
      </c>
      <c r="I116" s="138"/>
      <c r="J116" s="138"/>
      <c r="K116" s="138"/>
      <c r="L116" s="138"/>
      <c r="M116" s="138"/>
      <c r="N116" s="138"/>
      <c r="O116" s="141">
        <f t="shared" si="3"/>
        <v>0</v>
      </c>
    </row>
    <row r="117" spans="1:15" x14ac:dyDescent="0.25">
      <c r="A117" s="542"/>
      <c r="B117" s="542"/>
      <c r="C117" s="106"/>
      <c r="D117" s="128">
        <v>113</v>
      </c>
      <c r="E117" s="124"/>
      <c r="F117" s="125"/>
      <c r="G117" s="138"/>
      <c r="H117" s="140" t="str">
        <f t="shared" si="2"/>
        <v/>
      </c>
      <c r="I117" s="138"/>
      <c r="J117" s="138"/>
      <c r="K117" s="138"/>
      <c r="L117" s="138"/>
      <c r="M117" s="138"/>
      <c r="N117" s="138"/>
      <c r="O117" s="141">
        <f t="shared" si="3"/>
        <v>0</v>
      </c>
    </row>
    <row r="118" spans="1:15" x14ac:dyDescent="0.25">
      <c r="A118" s="542"/>
      <c r="B118" s="542"/>
      <c r="C118" s="106"/>
      <c r="D118" s="128">
        <v>113</v>
      </c>
      <c r="E118" s="124"/>
      <c r="F118" s="125"/>
      <c r="G118" s="138"/>
      <c r="H118" s="140" t="str">
        <f t="shared" si="2"/>
        <v/>
      </c>
      <c r="I118" s="138"/>
      <c r="J118" s="138"/>
      <c r="K118" s="138"/>
      <c r="L118" s="138"/>
      <c r="M118" s="138"/>
      <c r="N118" s="138"/>
      <c r="O118" s="141">
        <f t="shared" si="3"/>
        <v>0</v>
      </c>
    </row>
    <row r="119" spans="1:15" x14ac:dyDescent="0.25">
      <c r="A119" s="542"/>
      <c r="B119" s="542"/>
      <c r="C119" s="106"/>
      <c r="D119" s="128">
        <v>113</v>
      </c>
      <c r="E119" s="124"/>
      <c r="F119" s="125"/>
      <c r="G119" s="138"/>
      <c r="H119" s="140" t="str">
        <f t="shared" si="2"/>
        <v/>
      </c>
      <c r="I119" s="138"/>
      <c r="J119" s="138"/>
      <c r="K119" s="138"/>
      <c r="L119" s="138"/>
      <c r="M119" s="138"/>
      <c r="N119" s="138"/>
      <c r="O119" s="141">
        <f t="shared" si="3"/>
        <v>0</v>
      </c>
    </row>
    <row r="120" spans="1:15" x14ac:dyDescent="0.25">
      <c r="A120" s="542"/>
      <c r="B120" s="542"/>
      <c r="C120" s="106"/>
      <c r="D120" s="128">
        <v>113</v>
      </c>
      <c r="E120" s="124"/>
      <c r="F120" s="125"/>
      <c r="G120" s="138"/>
      <c r="H120" s="140" t="str">
        <f t="shared" si="2"/>
        <v/>
      </c>
      <c r="I120" s="138"/>
      <c r="J120" s="138"/>
      <c r="K120" s="138"/>
      <c r="L120" s="138"/>
      <c r="M120" s="138"/>
      <c r="N120" s="138"/>
      <c r="O120" s="141">
        <f t="shared" si="3"/>
        <v>0</v>
      </c>
    </row>
    <row r="121" spans="1:15" x14ac:dyDescent="0.25">
      <c r="A121" s="542"/>
      <c r="B121" s="542"/>
      <c r="C121" s="106"/>
      <c r="D121" s="128">
        <v>113</v>
      </c>
      <c r="E121" s="124"/>
      <c r="F121" s="125"/>
      <c r="G121" s="137"/>
      <c r="H121" s="140" t="str">
        <f t="shared" si="2"/>
        <v/>
      </c>
      <c r="I121" s="137"/>
      <c r="J121" s="137"/>
      <c r="K121" s="137"/>
      <c r="L121" s="137"/>
      <c r="M121" s="137"/>
      <c r="N121" s="137"/>
      <c r="O121" s="141">
        <f t="shared" si="3"/>
        <v>0</v>
      </c>
    </row>
    <row r="122" spans="1:15" x14ac:dyDescent="0.25">
      <c r="A122" s="542"/>
      <c r="B122" s="542"/>
      <c r="C122" s="106"/>
      <c r="D122" s="128">
        <v>113</v>
      </c>
      <c r="E122" s="124"/>
      <c r="F122" s="125"/>
      <c r="G122" s="138"/>
      <c r="H122" s="140" t="str">
        <f t="shared" si="2"/>
        <v/>
      </c>
      <c r="I122" s="138"/>
      <c r="J122" s="138"/>
      <c r="K122" s="138"/>
      <c r="L122" s="138"/>
      <c r="M122" s="138"/>
      <c r="N122" s="138"/>
      <c r="O122" s="141">
        <f t="shared" si="3"/>
        <v>0</v>
      </c>
    </row>
    <row r="123" spans="1:15" x14ac:dyDescent="0.25">
      <c r="A123" s="542"/>
      <c r="B123" s="542"/>
      <c r="C123" s="106"/>
      <c r="D123" s="128">
        <v>113</v>
      </c>
      <c r="E123" s="124"/>
      <c r="F123" s="125"/>
      <c r="G123" s="138"/>
      <c r="H123" s="140" t="str">
        <f t="shared" si="2"/>
        <v/>
      </c>
      <c r="I123" s="138"/>
      <c r="J123" s="138"/>
      <c r="K123" s="138"/>
      <c r="L123" s="138"/>
      <c r="M123" s="138"/>
      <c r="N123" s="138"/>
      <c r="O123" s="141">
        <f t="shared" si="3"/>
        <v>0</v>
      </c>
    </row>
    <row r="124" spans="1:15" x14ac:dyDescent="0.25">
      <c r="A124" s="542"/>
      <c r="B124" s="542"/>
      <c r="C124" s="106"/>
      <c r="D124" s="128">
        <v>113</v>
      </c>
      <c r="E124" s="124"/>
      <c r="F124" s="125"/>
      <c r="G124" s="138"/>
      <c r="H124" s="140" t="str">
        <f t="shared" si="2"/>
        <v/>
      </c>
      <c r="I124" s="138"/>
      <c r="J124" s="138"/>
      <c r="K124" s="138"/>
      <c r="L124" s="138"/>
      <c r="M124" s="138"/>
      <c r="N124" s="138"/>
      <c r="O124" s="141">
        <f t="shared" si="3"/>
        <v>0</v>
      </c>
    </row>
    <row r="125" spans="1:15" x14ac:dyDescent="0.25">
      <c r="A125" s="542"/>
      <c r="B125" s="542"/>
      <c r="C125" s="106"/>
      <c r="D125" s="128">
        <v>113</v>
      </c>
      <c r="E125" s="124"/>
      <c r="F125" s="125"/>
      <c r="G125" s="138"/>
      <c r="H125" s="140" t="str">
        <f t="shared" si="2"/>
        <v/>
      </c>
      <c r="I125" s="138"/>
      <c r="J125" s="138"/>
      <c r="K125" s="138"/>
      <c r="L125" s="138"/>
      <c r="M125" s="138"/>
      <c r="N125" s="138"/>
      <c r="O125" s="141">
        <f t="shared" si="3"/>
        <v>0</v>
      </c>
    </row>
    <row r="126" spans="1:15" x14ac:dyDescent="0.25">
      <c r="A126" s="542"/>
      <c r="B126" s="542"/>
      <c r="C126" s="106"/>
      <c r="D126" s="128">
        <v>113</v>
      </c>
      <c r="E126" s="124"/>
      <c r="F126" s="125"/>
      <c r="G126" s="138"/>
      <c r="H126" s="140" t="str">
        <f t="shared" si="2"/>
        <v/>
      </c>
      <c r="I126" s="138"/>
      <c r="J126" s="138"/>
      <c r="K126" s="138"/>
      <c r="L126" s="138"/>
      <c r="M126" s="138"/>
      <c r="N126" s="138"/>
      <c r="O126" s="141">
        <f t="shared" si="3"/>
        <v>0</v>
      </c>
    </row>
    <row r="127" spans="1:15" x14ac:dyDescent="0.25">
      <c r="A127" s="542"/>
      <c r="B127" s="542"/>
      <c r="C127" s="106"/>
      <c r="D127" s="128">
        <v>113</v>
      </c>
      <c r="E127" s="124"/>
      <c r="F127" s="125"/>
      <c r="G127" s="138"/>
      <c r="H127" s="140" t="str">
        <f t="shared" si="2"/>
        <v/>
      </c>
      <c r="I127" s="138"/>
      <c r="J127" s="138"/>
      <c r="K127" s="138"/>
      <c r="L127" s="138"/>
      <c r="M127" s="138"/>
      <c r="N127" s="138"/>
      <c r="O127" s="141">
        <f t="shared" si="3"/>
        <v>0</v>
      </c>
    </row>
    <row r="128" spans="1:15" x14ac:dyDescent="0.25">
      <c r="A128" s="542"/>
      <c r="B128" s="542"/>
      <c r="C128" s="106"/>
      <c r="D128" s="128">
        <v>113</v>
      </c>
      <c r="E128" s="124"/>
      <c r="F128" s="125"/>
      <c r="G128" s="138"/>
      <c r="H128" s="140" t="str">
        <f t="shared" si="2"/>
        <v/>
      </c>
      <c r="I128" s="138"/>
      <c r="J128" s="138"/>
      <c r="K128" s="138"/>
      <c r="L128" s="138"/>
      <c r="M128" s="138"/>
      <c r="N128" s="138"/>
      <c r="O128" s="141">
        <f t="shared" si="3"/>
        <v>0</v>
      </c>
    </row>
    <row r="129" spans="1:15" x14ac:dyDescent="0.25">
      <c r="A129" s="542"/>
      <c r="B129" s="542"/>
      <c r="C129" s="106"/>
      <c r="D129" s="128">
        <v>113</v>
      </c>
      <c r="E129" s="124"/>
      <c r="F129" s="125"/>
      <c r="G129" s="138"/>
      <c r="H129" s="140" t="str">
        <f t="shared" si="2"/>
        <v/>
      </c>
      <c r="I129" s="138"/>
      <c r="J129" s="138"/>
      <c r="K129" s="138"/>
      <c r="L129" s="138"/>
      <c r="M129" s="138"/>
      <c r="N129" s="138"/>
      <c r="O129" s="141">
        <f t="shared" si="3"/>
        <v>0</v>
      </c>
    </row>
    <row r="130" spans="1:15" x14ac:dyDescent="0.25">
      <c r="A130" s="542"/>
      <c r="B130" s="542"/>
      <c r="C130" s="106"/>
      <c r="D130" s="128">
        <v>113</v>
      </c>
      <c r="E130" s="124"/>
      <c r="F130" s="125"/>
      <c r="G130" s="138"/>
      <c r="H130" s="140" t="str">
        <f t="shared" si="2"/>
        <v/>
      </c>
      <c r="I130" s="138"/>
      <c r="J130" s="138"/>
      <c r="K130" s="138"/>
      <c r="L130" s="138"/>
      <c r="M130" s="138"/>
      <c r="N130" s="138"/>
      <c r="O130" s="141">
        <f t="shared" si="3"/>
        <v>0</v>
      </c>
    </row>
    <row r="131" spans="1:15" x14ac:dyDescent="0.25">
      <c r="A131" s="542"/>
      <c r="B131" s="542"/>
      <c r="C131" s="106"/>
      <c r="D131" s="128">
        <v>113</v>
      </c>
      <c r="E131" s="124"/>
      <c r="F131" s="125"/>
      <c r="G131" s="137"/>
      <c r="H131" s="140" t="str">
        <f t="shared" si="2"/>
        <v/>
      </c>
      <c r="I131" s="137"/>
      <c r="J131" s="137"/>
      <c r="K131" s="137"/>
      <c r="L131" s="137"/>
      <c r="M131" s="137"/>
      <c r="N131" s="137"/>
      <c r="O131" s="141">
        <f t="shared" si="3"/>
        <v>0</v>
      </c>
    </row>
    <row r="132" spans="1:15" x14ac:dyDescent="0.25">
      <c r="A132" s="542"/>
      <c r="B132" s="542"/>
      <c r="C132" s="106"/>
      <c r="D132" s="128">
        <v>113</v>
      </c>
      <c r="E132" s="124"/>
      <c r="F132" s="125"/>
      <c r="G132" s="138"/>
      <c r="H132" s="140" t="str">
        <f t="shared" si="2"/>
        <v/>
      </c>
      <c r="I132" s="138"/>
      <c r="J132" s="138"/>
      <c r="K132" s="138"/>
      <c r="L132" s="138"/>
      <c r="M132" s="138"/>
      <c r="N132" s="138"/>
      <c r="O132" s="141">
        <f t="shared" si="3"/>
        <v>0</v>
      </c>
    </row>
    <row r="133" spans="1:15" x14ac:dyDescent="0.25">
      <c r="A133" s="542"/>
      <c r="B133" s="542"/>
      <c r="C133" s="106"/>
      <c r="D133" s="128">
        <v>113</v>
      </c>
      <c r="E133" s="124"/>
      <c r="F133" s="125"/>
      <c r="G133" s="138"/>
      <c r="H133" s="140" t="str">
        <f t="shared" si="2"/>
        <v/>
      </c>
      <c r="I133" s="138"/>
      <c r="J133" s="138"/>
      <c r="K133" s="138"/>
      <c r="L133" s="138"/>
      <c r="M133" s="138"/>
      <c r="N133" s="138"/>
      <c r="O133" s="141">
        <f t="shared" si="3"/>
        <v>0</v>
      </c>
    </row>
    <row r="134" spans="1:15" x14ac:dyDescent="0.25">
      <c r="A134" s="542"/>
      <c r="B134" s="542"/>
      <c r="C134" s="106"/>
      <c r="D134" s="128">
        <v>113</v>
      </c>
      <c r="E134" s="124"/>
      <c r="F134" s="125"/>
      <c r="G134" s="138"/>
      <c r="H134" s="140" t="str">
        <f t="shared" si="2"/>
        <v/>
      </c>
      <c r="I134" s="138"/>
      <c r="J134" s="138"/>
      <c r="K134" s="138"/>
      <c r="L134" s="138"/>
      <c r="M134" s="138"/>
      <c r="N134" s="138"/>
      <c r="O134" s="141">
        <f t="shared" si="3"/>
        <v>0</v>
      </c>
    </row>
    <row r="135" spans="1:15" x14ac:dyDescent="0.25">
      <c r="A135" s="542"/>
      <c r="B135" s="542"/>
      <c r="C135" s="106"/>
      <c r="D135" s="128">
        <v>113</v>
      </c>
      <c r="E135" s="124"/>
      <c r="F135" s="125"/>
      <c r="G135" s="138"/>
      <c r="H135" s="140" t="str">
        <f t="shared" si="2"/>
        <v/>
      </c>
      <c r="I135" s="138"/>
      <c r="J135" s="138"/>
      <c r="K135" s="138"/>
      <c r="L135" s="138"/>
      <c r="M135" s="138"/>
      <c r="N135" s="138"/>
      <c r="O135" s="141">
        <f t="shared" si="3"/>
        <v>0</v>
      </c>
    </row>
    <row r="136" spans="1:15" x14ac:dyDescent="0.25">
      <c r="A136" s="542"/>
      <c r="B136" s="542"/>
      <c r="C136" s="106"/>
      <c r="D136" s="128">
        <v>113</v>
      </c>
      <c r="E136" s="124"/>
      <c r="F136" s="125"/>
      <c r="G136" s="138"/>
      <c r="H136" s="140" t="str">
        <f t="shared" si="2"/>
        <v/>
      </c>
      <c r="I136" s="138"/>
      <c r="J136" s="138"/>
      <c r="K136" s="138"/>
      <c r="L136" s="138"/>
      <c r="M136" s="138"/>
      <c r="N136" s="138"/>
      <c r="O136" s="141">
        <f t="shared" si="3"/>
        <v>0</v>
      </c>
    </row>
    <row r="137" spans="1:15" x14ac:dyDescent="0.25">
      <c r="A137" s="542"/>
      <c r="B137" s="542"/>
      <c r="C137" s="106"/>
      <c r="D137" s="128">
        <v>113</v>
      </c>
      <c r="E137" s="124"/>
      <c r="F137" s="125"/>
      <c r="G137" s="138"/>
      <c r="H137" s="140" t="str">
        <f t="shared" ref="H137:H200" si="4">IF(G137="","",IF(E137="","Se requiere asignar la fuente de financiamiento (FF)",IF(F137="","Es necesario establcer el número de plazas (No.)",IF(G137="","Se necesita establcer un monto mensual",F137*G137*12))))</f>
        <v/>
      </c>
      <c r="I137" s="138"/>
      <c r="J137" s="138"/>
      <c r="K137" s="138"/>
      <c r="L137" s="138"/>
      <c r="M137" s="138"/>
      <c r="N137" s="138"/>
      <c r="O137" s="141">
        <f t="shared" ref="O137:O200" si="5">SUM(H137:N137)</f>
        <v>0</v>
      </c>
    </row>
    <row r="138" spans="1:15" x14ac:dyDescent="0.25">
      <c r="A138" s="542"/>
      <c r="B138" s="542"/>
      <c r="C138" s="106"/>
      <c r="D138" s="128">
        <v>113</v>
      </c>
      <c r="E138" s="124"/>
      <c r="F138" s="125"/>
      <c r="G138" s="138"/>
      <c r="H138" s="140" t="str">
        <f t="shared" si="4"/>
        <v/>
      </c>
      <c r="I138" s="138"/>
      <c r="J138" s="138"/>
      <c r="K138" s="138"/>
      <c r="L138" s="138"/>
      <c r="M138" s="138"/>
      <c r="N138" s="138"/>
      <c r="O138" s="141">
        <f t="shared" si="5"/>
        <v>0</v>
      </c>
    </row>
    <row r="139" spans="1:15" x14ac:dyDescent="0.25">
      <c r="A139" s="542"/>
      <c r="B139" s="542"/>
      <c r="C139" s="106"/>
      <c r="D139" s="128">
        <v>113</v>
      </c>
      <c r="E139" s="124"/>
      <c r="F139" s="125"/>
      <c r="G139" s="138"/>
      <c r="H139" s="140" t="str">
        <f t="shared" si="4"/>
        <v/>
      </c>
      <c r="I139" s="138"/>
      <c r="J139" s="138"/>
      <c r="K139" s="138"/>
      <c r="L139" s="138"/>
      <c r="M139" s="138"/>
      <c r="N139" s="138"/>
      <c r="O139" s="141">
        <f t="shared" si="5"/>
        <v>0</v>
      </c>
    </row>
    <row r="140" spans="1:15" x14ac:dyDescent="0.25">
      <c r="A140" s="542"/>
      <c r="B140" s="542"/>
      <c r="C140" s="106"/>
      <c r="D140" s="128">
        <v>113</v>
      </c>
      <c r="E140" s="124"/>
      <c r="F140" s="125"/>
      <c r="G140" s="138"/>
      <c r="H140" s="140" t="str">
        <f t="shared" si="4"/>
        <v/>
      </c>
      <c r="I140" s="138"/>
      <c r="J140" s="138"/>
      <c r="K140" s="138"/>
      <c r="L140" s="138"/>
      <c r="M140" s="138"/>
      <c r="N140" s="138"/>
      <c r="O140" s="141">
        <f t="shared" si="5"/>
        <v>0</v>
      </c>
    </row>
    <row r="141" spans="1:15" x14ac:dyDescent="0.25">
      <c r="A141" s="542"/>
      <c r="B141" s="542"/>
      <c r="C141" s="106"/>
      <c r="D141" s="128">
        <v>113</v>
      </c>
      <c r="E141" s="124"/>
      <c r="F141" s="125"/>
      <c r="G141" s="137"/>
      <c r="H141" s="140" t="str">
        <f t="shared" si="4"/>
        <v/>
      </c>
      <c r="I141" s="137"/>
      <c r="J141" s="137"/>
      <c r="K141" s="137"/>
      <c r="L141" s="137"/>
      <c r="M141" s="137"/>
      <c r="N141" s="137"/>
      <c r="O141" s="141">
        <f t="shared" si="5"/>
        <v>0</v>
      </c>
    </row>
    <row r="142" spans="1:15" x14ac:dyDescent="0.25">
      <c r="A142" s="542"/>
      <c r="B142" s="542"/>
      <c r="C142" s="106"/>
      <c r="D142" s="128">
        <v>113</v>
      </c>
      <c r="E142" s="124"/>
      <c r="F142" s="125"/>
      <c r="G142" s="138"/>
      <c r="H142" s="140" t="str">
        <f t="shared" si="4"/>
        <v/>
      </c>
      <c r="I142" s="138"/>
      <c r="J142" s="138"/>
      <c r="K142" s="138"/>
      <c r="L142" s="138"/>
      <c r="M142" s="138"/>
      <c r="N142" s="138"/>
      <c r="O142" s="141">
        <f t="shared" si="5"/>
        <v>0</v>
      </c>
    </row>
    <row r="143" spans="1:15" x14ac:dyDescent="0.25">
      <c r="A143" s="542"/>
      <c r="B143" s="542"/>
      <c r="C143" s="106"/>
      <c r="D143" s="128">
        <v>113</v>
      </c>
      <c r="E143" s="124"/>
      <c r="F143" s="125"/>
      <c r="G143" s="138"/>
      <c r="H143" s="140" t="str">
        <f t="shared" si="4"/>
        <v/>
      </c>
      <c r="I143" s="138"/>
      <c r="J143" s="138"/>
      <c r="K143" s="138"/>
      <c r="L143" s="138"/>
      <c r="M143" s="138"/>
      <c r="N143" s="138"/>
      <c r="O143" s="141">
        <f t="shared" si="5"/>
        <v>0</v>
      </c>
    </row>
    <row r="144" spans="1:15" x14ac:dyDescent="0.25">
      <c r="A144" s="542"/>
      <c r="B144" s="542"/>
      <c r="C144" s="106"/>
      <c r="D144" s="128">
        <v>113</v>
      </c>
      <c r="E144" s="124"/>
      <c r="F144" s="125"/>
      <c r="G144" s="138"/>
      <c r="H144" s="140" t="str">
        <f t="shared" si="4"/>
        <v/>
      </c>
      <c r="I144" s="138"/>
      <c r="J144" s="138"/>
      <c r="K144" s="138"/>
      <c r="L144" s="138"/>
      <c r="M144" s="138"/>
      <c r="N144" s="138"/>
      <c r="O144" s="141">
        <f t="shared" si="5"/>
        <v>0</v>
      </c>
    </row>
    <row r="145" spans="1:15" x14ac:dyDescent="0.25">
      <c r="A145" s="542"/>
      <c r="B145" s="542"/>
      <c r="C145" s="106"/>
      <c r="D145" s="128">
        <v>113</v>
      </c>
      <c r="E145" s="124"/>
      <c r="F145" s="125"/>
      <c r="G145" s="138"/>
      <c r="H145" s="140" t="str">
        <f t="shared" si="4"/>
        <v/>
      </c>
      <c r="I145" s="138"/>
      <c r="J145" s="138"/>
      <c r="K145" s="138"/>
      <c r="L145" s="138"/>
      <c r="M145" s="138"/>
      <c r="N145" s="138"/>
      <c r="O145" s="141">
        <f t="shared" si="5"/>
        <v>0</v>
      </c>
    </row>
    <row r="146" spans="1:15" x14ac:dyDescent="0.25">
      <c r="A146" s="542"/>
      <c r="B146" s="542"/>
      <c r="C146" s="106"/>
      <c r="D146" s="128">
        <v>113</v>
      </c>
      <c r="E146" s="124"/>
      <c r="F146" s="125"/>
      <c r="G146" s="138"/>
      <c r="H146" s="140" t="str">
        <f t="shared" si="4"/>
        <v/>
      </c>
      <c r="I146" s="138"/>
      <c r="J146" s="138"/>
      <c r="K146" s="138"/>
      <c r="L146" s="138"/>
      <c r="M146" s="138"/>
      <c r="N146" s="138"/>
      <c r="O146" s="141">
        <f t="shared" si="5"/>
        <v>0</v>
      </c>
    </row>
    <row r="147" spans="1:15" x14ac:dyDescent="0.25">
      <c r="A147" s="542"/>
      <c r="B147" s="542"/>
      <c r="C147" s="106"/>
      <c r="D147" s="128">
        <v>113</v>
      </c>
      <c r="E147" s="124"/>
      <c r="F147" s="125"/>
      <c r="G147" s="138"/>
      <c r="H147" s="140" t="str">
        <f t="shared" si="4"/>
        <v/>
      </c>
      <c r="I147" s="138"/>
      <c r="J147" s="138"/>
      <c r="K147" s="138"/>
      <c r="L147" s="138"/>
      <c r="M147" s="138"/>
      <c r="N147" s="138"/>
      <c r="O147" s="141">
        <f t="shared" si="5"/>
        <v>0</v>
      </c>
    </row>
    <row r="148" spans="1:15" x14ac:dyDescent="0.25">
      <c r="A148" s="542"/>
      <c r="B148" s="542"/>
      <c r="C148" s="106"/>
      <c r="D148" s="128">
        <v>113</v>
      </c>
      <c r="E148" s="124"/>
      <c r="F148" s="125"/>
      <c r="G148" s="138"/>
      <c r="H148" s="140" t="str">
        <f t="shared" si="4"/>
        <v/>
      </c>
      <c r="I148" s="138"/>
      <c r="J148" s="138"/>
      <c r="K148" s="138"/>
      <c r="L148" s="138"/>
      <c r="M148" s="138"/>
      <c r="N148" s="138"/>
      <c r="O148" s="141">
        <f t="shared" si="5"/>
        <v>0</v>
      </c>
    </row>
    <row r="149" spans="1:15" x14ac:dyDescent="0.25">
      <c r="A149" s="542"/>
      <c r="B149" s="542"/>
      <c r="C149" s="106"/>
      <c r="D149" s="128">
        <v>113</v>
      </c>
      <c r="E149" s="124"/>
      <c r="F149" s="125"/>
      <c r="G149" s="138"/>
      <c r="H149" s="140" t="str">
        <f t="shared" si="4"/>
        <v/>
      </c>
      <c r="I149" s="138"/>
      <c r="J149" s="138"/>
      <c r="K149" s="138"/>
      <c r="L149" s="138"/>
      <c r="M149" s="138"/>
      <c r="N149" s="138"/>
      <c r="O149" s="141">
        <f t="shared" si="5"/>
        <v>0</v>
      </c>
    </row>
    <row r="150" spans="1:15" x14ac:dyDescent="0.25">
      <c r="A150" s="542"/>
      <c r="B150" s="542"/>
      <c r="C150" s="106"/>
      <c r="D150" s="128">
        <v>113</v>
      </c>
      <c r="E150" s="124"/>
      <c r="F150" s="125"/>
      <c r="G150" s="138"/>
      <c r="H150" s="140" t="str">
        <f t="shared" si="4"/>
        <v/>
      </c>
      <c r="I150" s="138"/>
      <c r="J150" s="138"/>
      <c r="K150" s="138"/>
      <c r="L150" s="138"/>
      <c r="M150" s="138"/>
      <c r="N150" s="138"/>
      <c r="O150" s="141">
        <f t="shared" si="5"/>
        <v>0</v>
      </c>
    </row>
    <row r="151" spans="1:15" x14ac:dyDescent="0.25">
      <c r="A151" s="542"/>
      <c r="B151" s="542"/>
      <c r="C151" s="106"/>
      <c r="D151" s="128">
        <v>113</v>
      </c>
      <c r="E151" s="124"/>
      <c r="F151" s="125"/>
      <c r="G151" s="137"/>
      <c r="H151" s="140" t="str">
        <f t="shared" si="4"/>
        <v/>
      </c>
      <c r="I151" s="137"/>
      <c r="J151" s="137"/>
      <c r="K151" s="137"/>
      <c r="L151" s="137"/>
      <c r="M151" s="137"/>
      <c r="N151" s="137"/>
      <c r="O151" s="141">
        <f t="shared" si="5"/>
        <v>0</v>
      </c>
    </row>
    <row r="152" spans="1:15" x14ac:dyDescent="0.25">
      <c r="A152" s="542"/>
      <c r="B152" s="542"/>
      <c r="C152" s="106"/>
      <c r="D152" s="128">
        <v>113</v>
      </c>
      <c r="E152" s="124"/>
      <c r="F152" s="125"/>
      <c r="G152" s="138"/>
      <c r="H152" s="140" t="str">
        <f t="shared" si="4"/>
        <v/>
      </c>
      <c r="I152" s="138"/>
      <c r="J152" s="138"/>
      <c r="K152" s="138"/>
      <c r="L152" s="138"/>
      <c r="M152" s="138"/>
      <c r="N152" s="138"/>
      <c r="O152" s="141">
        <f t="shared" si="5"/>
        <v>0</v>
      </c>
    </row>
    <row r="153" spans="1:15" x14ac:dyDescent="0.25">
      <c r="A153" s="542"/>
      <c r="B153" s="542"/>
      <c r="C153" s="106"/>
      <c r="D153" s="128">
        <v>113</v>
      </c>
      <c r="E153" s="124"/>
      <c r="F153" s="125"/>
      <c r="G153" s="138"/>
      <c r="H153" s="140" t="str">
        <f t="shared" si="4"/>
        <v/>
      </c>
      <c r="I153" s="138"/>
      <c r="J153" s="138"/>
      <c r="K153" s="138"/>
      <c r="L153" s="138"/>
      <c r="M153" s="138"/>
      <c r="N153" s="138"/>
      <c r="O153" s="141">
        <f t="shared" si="5"/>
        <v>0</v>
      </c>
    </row>
    <row r="154" spans="1:15" x14ac:dyDescent="0.25">
      <c r="A154" s="542"/>
      <c r="B154" s="542"/>
      <c r="C154" s="106"/>
      <c r="D154" s="128">
        <v>113</v>
      </c>
      <c r="E154" s="124"/>
      <c r="F154" s="125"/>
      <c r="G154" s="138"/>
      <c r="H154" s="140" t="str">
        <f t="shared" si="4"/>
        <v/>
      </c>
      <c r="I154" s="138"/>
      <c r="J154" s="138"/>
      <c r="K154" s="138"/>
      <c r="L154" s="138"/>
      <c r="M154" s="138"/>
      <c r="N154" s="138"/>
      <c r="O154" s="141">
        <f t="shared" si="5"/>
        <v>0</v>
      </c>
    </row>
    <row r="155" spans="1:15" x14ac:dyDescent="0.25">
      <c r="A155" s="542"/>
      <c r="B155" s="542"/>
      <c r="C155" s="106"/>
      <c r="D155" s="128">
        <v>113</v>
      </c>
      <c r="E155" s="124"/>
      <c r="F155" s="125"/>
      <c r="G155" s="138"/>
      <c r="H155" s="140" t="str">
        <f t="shared" si="4"/>
        <v/>
      </c>
      <c r="I155" s="138"/>
      <c r="J155" s="138"/>
      <c r="K155" s="138"/>
      <c r="L155" s="138"/>
      <c r="M155" s="138"/>
      <c r="N155" s="138"/>
      <c r="O155" s="141">
        <f t="shared" si="5"/>
        <v>0</v>
      </c>
    </row>
    <row r="156" spans="1:15" x14ac:dyDescent="0.25">
      <c r="A156" s="542"/>
      <c r="B156" s="542"/>
      <c r="C156" s="106"/>
      <c r="D156" s="128">
        <v>113</v>
      </c>
      <c r="E156" s="124"/>
      <c r="F156" s="125"/>
      <c r="G156" s="138"/>
      <c r="H156" s="140" t="str">
        <f t="shared" si="4"/>
        <v/>
      </c>
      <c r="I156" s="138"/>
      <c r="J156" s="138"/>
      <c r="K156" s="138"/>
      <c r="L156" s="138"/>
      <c r="M156" s="138"/>
      <c r="N156" s="138"/>
      <c r="O156" s="141">
        <f t="shared" si="5"/>
        <v>0</v>
      </c>
    </row>
    <row r="157" spans="1:15" x14ac:dyDescent="0.25">
      <c r="A157" s="542"/>
      <c r="B157" s="542"/>
      <c r="C157" s="106"/>
      <c r="D157" s="128">
        <v>113</v>
      </c>
      <c r="E157" s="124"/>
      <c r="F157" s="125"/>
      <c r="G157" s="138"/>
      <c r="H157" s="140" t="str">
        <f t="shared" si="4"/>
        <v/>
      </c>
      <c r="I157" s="138"/>
      <c r="J157" s="138"/>
      <c r="K157" s="138"/>
      <c r="L157" s="138"/>
      <c r="M157" s="138"/>
      <c r="N157" s="138"/>
      <c r="O157" s="141">
        <f t="shared" si="5"/>
        <v>0</v>
      </c>
    </row>
    <row r="158" spans="1:15" x14ac:dyDescent="0.25">
      <c r="A158" s="542"/>
      <c r="B158" s="542"/>
      <c r="C158" s="106"/>
      <c r="D158" s="128">
        <v>113</v>
      </c>
      <c r="E158" s="124"/>
      <c r="F158" s="125"/>
      <c r="G158" s="138"/>
      <c r="H158" s="140" t="str">
        <f t="shared" si="4"/>
        <v/>
      </c>
      <c r="I158" s="138"/>
      <c r="J158" s="138"/>
      <c r="K158" s="138"/>
      <c r="L158" s="138"/>
      <c r="M158" s="138"/>
      <c r="N158" s="138"/>
      <c r="O158" s="141">
        <f t="shared" si="5"/>
        <v>0</v>
      </c>
    </row>
    <row r="159" spans="1:15" x14ac:dyDescent="0.25">
      <c r="A159" s="542"/>
      <c r="B159" s="542"/>
      <c r="C159" s="106"/>
      <c r="D159" s="128">
        <v>113</v>
      </c>
      <c r="E159" s="124"/>
      <c r="F159" s="125"/>
      <c r="G159" s="138"/>
      <c r="H159" s="140" t="str">
        <f t="shared" si="4"/>
        <v/>
      </c>
      <c r="I159" s="138"/>
      <c r="J159" s="138"/>
      <c r="K159" s="138"/>
      <c r="L159" s="138"/>
      <c r="M159" s="138"/>
      <c r="N159" s="138"/>
      <c r="O159" s="141">
        <f t="shared" si="5"/>
        <v>0</v>
      </c>
    </row>
    <row r="160" spans="1:15" x14ac:dyDescent="0.25">
      <c r="A160" s="542"/>
      <c r="B160" s="542"/>
      <c r="C160" s="106"/>
      <c r="D160" s="128">
        <v>113</v>
      </c>
      <c r="E160" s="124"/>
      <c r="F160" s="125"/>
      <c r="G160" s="138"/>
      <c r="H160" s="140" t="str">
        <f t="shared" si="4"/>
        <v/>
      </c>
      <c r="I160" s="138"/>
      <c r="J160" s="138"/>
      <c r="K160" s="138"/>
      <c r="L160" s="138"/>
      <c r="M160" s="138"/>
      <c r="N160" s="138"/>
      <c r="O160" s="141">
        <f t="shared" si="5"/>
        <v>0</v>
      </c>
    </row>
    <row r="161" spans="1:15" x14ac:dyDescent="0.25">
      <c r="A161" s="542"/>
      <c r="B161" s="542"/>
      <c r="C161" s="106"/>
      <c r="D161" s="128">
        <v>113</v>
      </c>
      <c r="E161" s="124"/>
      <c r="F161" s="125"/>
      <c r="G161" s="137"/>
      <c r="H161" s="140" t="str">
        <f t="shared" si="4"/>
        <v/>
      </c>
      <c r="I161" s="137"/>
      <c r="J161" s="137"/>
      <c r="K161" s="137"/>
      <c r="L161" s="137"/>
      <c r="M161" s="137"/>
      <c r="N161" s="137"/>
      <c r="O161" s="141">
        <f t="shared" si="5"/>
        <v>0</v>
      </c>
    </row>
    <row r="162" spans="1:15" x14ac:dyDescent="0.25">
      <c r="A162" s="542"/>
      <c r="B162" s="542"/>
      <c r="C162" s="106"/>
      <c r="D162" s="128">
        <v>113</v>
      </c>
      <c r="E162" s="124"/>
      <c r="F162" s="125"/>
      <c r="G162" s="138"/>
      <c r="H162" s="140" t="str">
        <f t="shared" si="4"/>
        <v/>
      </c>
      <c r="I162" s="138"/>
      <c r="J162" s="138"/>
      <c r="K162" s="138"/>
      <c r="L162" s="138"/>
      <c r="M162" s="138"/>
      <c r="N162" s="138"/>
      <c r="O162" s="141">
        <f t="shared" si="5"/>
        <v>0</v>
      </c>
    </row>
    <row r="163" spans="1:15" x14ac:dyDescent="0.25">
      <c r="A163" s="542"/>
      <c r="B163" s="542"/>
      <c r="C163" s="106"/>
      <c r="D163" s="128">
        <v>113</v>
      </c>
      <c r="E163" s="124"/>
      <c r="F163" s="125"/>
      <c r="G163" s="138"/>
      <c r="H163" s="140" t="str">
        <f t="shared" si="4"/>
        <v/>
      </c>
      <c r="I163" s="138"/>
      <c r="J163" s="138"/>
      <c r="K163" s="138"/>
      <c r="L163" s="138"/>
      <c r="M163" s="138"/>
      <c r="N163" s="138"/>
      <c r="O163" s="141">
        <f t="shared" si="5"/>
        <v>0</v>
      </c>
    </row>
    <row r="164" spans="1:15" x14ac:dyDescent="0.25">
      <c r="A164" s="542"/>
      <c r="B164" s="542"/>
      <c r="C164" s="106"/>
      <c r="D164" s="128">
        <v>113</v>
      </c>
      <c r="E164" s="124"/>
      <c r="F164" s="125"/>
      <c r="G164" s="138"/>
      <c r="H164" s="140" t="str">
        <f t="shared" si="4"/>
        <v/>
      </c>
      <c r="I164" s="138"/>
      <c r="J164" s="138"/>
      <c r="K164" s="138"/>
      <c r="L164" s="138"/>
      <c r="M164" s="138"/>
      <c r="N164" s="138"/>
      <c r="O164" s="141">
        <f t="shared" si="5"/>
        <v>0</v>
      </c>
    </row>
    <row r="165" spans="1:15" x14ac:dyDescent="0.25">
      <c r="A165" s="542"/>
      <c r="B165" s="542"/>
      <c r="C165" s="106"/>
      <c r="D165" s="128">
        <v>113</v>
      </c>
      <c r="E165" s="124"/>
      <c r="F165" s="125"/>
      <c r="G165" s="138"/>
      <c r="H165" s="140" t="str">
        <f t="shared" si="4"/>
        <v/>
      </c>
      <c r="I165" s="138"/>
      <c r="J165" s="138"/>
      <c r="K165" s="138"/>
      <c r="L165" s="138"/>
      <c r="M165" s="138"/>
      <c r="N165" s="138"/>
      <c r="O165" s="141">
        <f t="shared" si="5"/>
        <v>0</v>
      </c>
    </row>
    <row r="166" spans="1:15" x14ac:dyDescent="0.25">
      <c r="A166" s="542"/>
      <c r="B166" s="542"/>
      <c r="C166" s="106"/>
      <c r="D166" s="128">
        <v>113</v>
      </c>
      <c r="E166" s="124"/>
      <c r="F166" s="125"/>
      <c r="G166" s="138"/>
      <c r="H166" s="140" t="str">
        <f t="shared" si="4"/>
        <v/>
      </c>
      <c r="I166" s="138"/>
      <c r="J166" s="138"/>
      <c r="K166" s="138"/>
      <c r="L166" s="138"/>
      <c r="M166" s="138"/>
      <c r="N166" s="138"/>
      <c r="O166" s="141">
        <f t="shared" si="5"/>
        <v>0</v>
      </c>
    </row>
    <row r="167" spans="1:15" x14ac:dyDescent="0.25">
      <c r="A167" s="542"/>
      <c r="B167" s="542"/>
      <c r="C167" s="106"/>
      <c r="D167" s="128">
        <v>113</v>
      </c>
      <c r="E167" s="124"/>
      <c r="F167" s="125"/>
      <c r="G167" s="138"/>
      <c r="H167" s="140" t="str">
        <f t="shared" si="4"/>
        <v/>
      </c>
      <c r="I167" s="138"/>
      <c r="J167" s="138"/>
      <c r="K167" s="138"/>
      <c r="L167" s="138"/>
      <c r="M167" s="138"/>
      <c r="N167" s="138"/>
      <c r="O167" s="141">
        <f t="shared" si="5"/>
        <v>0</v>
      </c>
    </row>
    <row r="168" spans="1:15" x14ac:dyDescent="0.25">
      <c r="A168" s="542"/>
      <c r="B168" s="542"/>
      <c r="C168" s="106"/>
      <c r="D168" s="128">
        <v>113</v>
      </c>
      <c r="E168" s="124"/>
      <c r="F168" s="125"/>
      <c r="G168" s="138"/>
      <c r="H168" s="140" t="str">
        <f t="shared" si="4"/>
        <v/>
      </c>
      <c r="I168" s="138"/>
      <c r="J168" s="138"/>
      <c r="K168" s="138"/>
      <c r="L168" s="138"/>
      <c r="M168" s="138"/>
      <c r="N168" s="138"/>
      <c r="O168" s="141">
        <f t="shared" si="5"/>
        <v>0</v>
      </c>
    </row>
    <row r="169" spans="1:15" x14ac:dyDescent="0.25">
      <c r="A169" s="542"/>
      <c r="B169" s="542"/>
      <c r="C169" s="106"/>
      <c r="D169" s="128">
        <v>113</v>
      </c>
      <c r="E169" s="124"/>
      <c r="F169" s="125"/>
      <c r="G169" s="137"/>
      <c r="H169" s="140" t="str">
        <f t="shared" si="4"/>
        <v/>
      </c>
      <c r="I169" s="137"/>
      <c r="J169" s="137"/>
      <c r="K169" s="137"/>
      <c r="L169" s="137"/>
      <c r="M169" s="137"/>
      <c r="N169" s="137"/>
      <c r="O169" s="141">
        <f t="shared" si="5"/>
        <v>0</v>
      </c>
    </row>
    <row r="170" spans="1:15" x14ac:dyDescent="0.25">
      <c r="A170" s="542"/>
      <c r="B170" s="542"/>
      <c r="C170" s="106"/>
      <c r="D170" s="128">
        <v>113</v>
      </c>
      <c r="E170" s="124"/>
      <c r="F170" s="125"/>
      <c r="G170" s="138"/>
      <c r="H170" s="140" t="str">
        <f t="shared" si="4"/>
        <v/>
      </c>
      <c r="I170" s="138"/>
      <c r="J170" s="138"/>
      <c r="K170" s="138"/>
      <c r="L170" s="138"/>
      <c r="M170" s="138"/>
      <c r="N170" s="138"/>
      <c r="O170" s="141">
        <f t="shared" si="5"/>
        <v>0</v>
      </c>
    </row>
    <row r="171" spans="1:15" x14ac:dyDescent="0.25">
      <c r="A171" s="542"/>
      <c r="B171" s="542"/>
      <c r="C171" s="106"/>
      <c r="D171" s="128">
        <v>113</v>
      </c>
      <c r="E171" s="124"/>
      <c r="F171" s="125"/>
      <c r="G171" s="138"/>
      <c r="H171" s="140" t="str">
        <f t="shared" si="4"/>
        <v/>
      </c>
      <c r="I171" s="138"/>
      <c r="J171" s="138"/>
      <c r="K171" s="138"/>
      <c r="L171" s="138"/>
      <c r="M171" s="138"/>
      <c r="N171" s="138"/>
      <c r="O171" s="141">
        <f t="shared" si="5"/>
        <v>0</v>
      </c>
    </row>
    <row r="172" spans="1:15" x14ac:dyDescent="0.25">
      <c r="A172" s="542"/>
      <c r="B172" s="542"/>
      <c r="C172" s="106"/>
      <c r="D172" s="128">
        <v>113</v>
      </c>
      <c r="E172" s="124"/>
      <c r="F172" s="125"/>
      <c r="G172" s="138"/>
      <c r="H172" s="140" t="str">
        <f t="shared" si="4"/>
        <v/>
      </c>
      <c r="I172" s="138"/>
      <c r="J172" s="138"/>
      <c r="K172" s="138"/>
      <c r="L172" s="138"/>
      <c r="M172" s="138"/>
      <c r="N172" s="138"/>
      <c r="O172" s="141">
        <f t="shared" si="5"/>
        <v>0</v>
      </c>
    </row>
    <row r="173" spans="1:15" x14ac:dyDescent="0.25">
      <c r="A173" s="542"/>
      <c r="B173" s="542"/>
      <c r="C173" s="106"/>
      <c r="D173" s="128">
        <v>113</v>
      </c>
      <c r="E173" s="124"/>
      <c r="F173" s="125"/>
      <c r="G173" s="138"/>
      <c r="H173" s="140" t="str">
        <f t="shared" si="4"/>
        <v/>
      </c>
      <c r="I173" s="138"/>
      <c r="J173" s="138"/>
      <c r="K173" s="138"/>
      <c r="L173" s="138"/>
      <c r="M173" s="138"/>
      <c r="N173" s="138"/>
      <c r="O173" s="141">
        <f t="shared" si="5"/>
        <v>0</v>
      </c>
    </row>
    <row r="174" spans="1:15" x14ac:dyDescent="0.25">
      <c r="A174" s="542"/>
      <c r="B174" s="542"/>
      <c r="C174" s="106"/>
      <c r="D174" s="128">
        <v>113</v>
      </c>
      <c r="E174" s="124"/>
      <c r="F174" s="125"/>
      <c r="G174" s="138"/>
      <c r="H174" s="140" t="str">
        <f t="shared" si="4"/>
        <v/>
      </c>
      <c r="I174" s="138"/>
      <c r="J174" s="138"/>
      <c r="K174" s="138"/>
      <c r="L174" s="138"/>
      <c r="M174" s="138"/>
      <c r="N174" s="138"/>
      <c r="O174" s="141">
        <f t="shared" si="5"/>
        <v>0</v>
      </c>
    </row>
    <row r="175" spans="1:15" x14ac:dyDescent="0.25">
      <c r="A175" s="542"/>
      <c r="B175" s="542"/>
      <c r="C175" s="106"/>
      <c r="D175" s="128">
        <v>113</v>
      </c>
      <c r="E175" s="124"/>
      <c r="F175" s="125"/>
      <c r="G175" s="138"/>
      <c r="H175" s="140" t="str">
        <f t="shared" si="4"/>
        <v/>
      </c>
      <c r="I175" s="138"/>
      <c r="J175" s="138"/>
      <c r="K175" s="138"/>
      <c r="L175" s="138"/>
      <c r="M175" s="138"/>
      <c r="N175" s="138"/>
      <c r="O175" s="141">
        <f t="shared" si="5"/>
        <v>0</v>
      </c>
    </row>
    <row r="176" spans="1:15" x14ac:dyDescent="0.25">
      <c r="A176" s="542"/>
      <c r="B176" s="542"/>
      <c r="C176" s="106"/>
      <c r="D176" s="128">
        <v>113</v>
      </c>
      <c r="E176" s="124"/>
      <c r="F176" s="125"/>
      <c r="G176" s="138"/>
      <c r="H176" s="140" t="str">
        <f t="shared" si="4"/>
        <v/>
      </c>
      <c r="I176" s="138"/>
      <c r="J176" s="138"/>
      <c r="K176" s="138"/>
      <c r="L176" s="138"/>
      <c r="M176" s="138"/>
      <c r="N176" s="138"/>
      <c r="O176" s="141">
        <f t="shared" si="5"/>
        <v>0</v>
      </c>
    </row>
    <row r="177" spans="1:15" x14ac:dyDescent="0.25">
      <c r="A177" s="542"/>
      <c r="B177" s="542"/>
      <c r="C177" s="106"/>
      <c r="D177" s="128">
        <v>113</v>
      </c>
      <c r="E177" s="124"/>
      <c r="F177" s="125"/>
      <c r="G177" s="138"/>
      <c r="H177" s="140" t="str">
        <f t="shared" si="4"/>
        <v/>
      </c>
      <c r="I177" s="138"/>
      <c r="J177" s="138"/>
      <c r="K177" s="138"/>
      <c r="L177" s="138"/>
      <c r="M177" s="138"/>
      <c r="N177" s="138"/>
      <c r="O177" s="141">
        <f t="shared" si="5"/>
        <v>0</v>
      </c>
    </row>
    <row r="178" spans="1:15" x14ac:dyDescent="0.25">
      <c r="A178" s="542"/>
      <c r="B178" s="542"/>
      <c r="C178" s="106"/>
      <c r="D178" s="128">
        <v>113</v>
      </c>
      <c r="E178" s="124"/>
      <c r="F178" s="125"/>
      <c r="G178" s="138"/>
      <c r="H178" s="140" t="str">
        <f t="shared" si="4"/>
        <v/>
      </c>
      <c r="I178" s="138"/>
      <c r="J178" s="138"/>
      <c r="K178" s="138"/>
      <c r="L178" s="138"/>
      <c r="M178" s="138"/>
      <c r="N178" s="138"/>
      <c r="O178" s="141">
        <f t="shared" si="5"/>
        <v>0</v>
      </c>
    </row>
    <row r="179" spans="1:15" x14ac:dyDescent="0.25">
      <c r="A179" s="542"/>
      <c r="B179" s="542"/>
      <c r="C179" s="106"/>
      <c r="D179" s="128">
        <v>113</v>
      </c>
      <c r="E179" s="124"/>
      <c r="F179" s="125"/>
      <c r="G179" s="137"/>
      <c r="H179" s="140" t="str">
        <f t="shared" si="4"/>
        <v/>
      </c>
      <c r="I179" s="137"/>
      <c r="J179" s="137"/>
      <c r="K179" s="137"/>
      <c r="L179" s="137"/>
      <c r="M179" s="137"/>
      <c r="N179" s="137"/>
      <c r="O179" s="141">
        <f t="shared" si="5"/>
        <v>0</v>
      </c>
    </row>
    <row r="180" spans="1:15" x14ac:dyDescent="0.25">
      <c r="A180" s="542"/>
      <c r="B180" s="542"/>
      <c r="C180" s="106"/>
      <c r="D180" s="128">
        <v>113</v>
      </c>
      <c r="E180" s="124"/>
      <c r="F180" s="125"/>
      <c r="G180" s="138"/>
      <c r="H180" s="140" t="str">
        <f t="shared" si="4"/>
        <v/>
      </c>
      <c r="I180" s="138"/>
      <c r="J180" s="138"/>
      <c r="K180" s="138"/>
      <c r="L180" s="138"/>
      <c r="M180" s="138"/>
      <c r="N180" s="138"/>
      <c r="O180" s="141">
        <f t="shared" si="5"/>
        <v>0</v>
      </c>
    </row>
    <row r="181" spans="1:15" x14ac:dyDescent="0.25">
      <c r="A181" s="542"/>
      <c r="B181" s="542"/>
      <c r="C181" s="106"/>
      <c r="D181" s="128">
        <v>113</v>
      </c>
      <c r="E181" s="124"/>
      <c r="F181" s="125"/>
      <c r="G181" s="138"/>
      <c r="H181" s="140" t="str">
        <f t="shared" si="4"/>
        <v/>
      </c>
      <c r="I181" s="138"/>
      <c r="J181" s="138"/>
      <c r="K181" s="138"/>
      <c r="L181" s="138"/>
      <c r="M181" s="138"/>
      <c r="N181" s="138"/>
      <c r="O181" s="141">
        <f t="shared" si="5"/>
        <v>0</v>
      </c>
    </row>
    <row r="182" spans="1:15" x14ac:dyDescent="0.25">
      <c r="A182" s="542"/>
      <c r="B182" s="542"/>
      <c r="C182" s="106"/>
      <c r="D182" s="128">
        <v>113</v>
      </c>
      <c r="E182" s="124"/>
      <c r="F182" s="125"/>
      <c r="G182" s="138"/>
      <c r="H182" s="140" t="str">
        <f t="shared" si="4"/>
        <v/>
      </c>
      <c r="I182" s="138"/>
      <c r="J182" s="138"/>
      <c r="K182" s="138"/>
      <c r="L182" s="138"/>
      <c r="M182" s="138"/>
      <c r="N182" s="138"/>
      <c r="O182" s="141">
        <f t="shared" si="5"/>
        <v>0</v>
      </c>
    </row>
    <row r="183" spans="1:15" x14ac:dyDescent="0.25">
      <c r="A183" s="542"/>
      <c r="B183" s="542"/>
      <c r="C183" s="106"/>
      <c r="D183" s="128">
        <v>113</v>
      </c>
      <c r="E183" s="124"/>
      <c r="F183" s="125"/>
      <c r="G183" s="138"/>
      <c r="H183" s="140" t="str">
        <f t="shared" si="4"/>
        <v/>
      </c>
      <c r="I183" s="138"/>
      <c r="J183" s="138"/>
      <c r="K183" s="138"/>
      <c r="L183" s="138"/>
      <c r="M183" s="138"/>
      <c r="N183" s="138"/>
      <c r="O183" s="141">
        <f t="shared" si="5"/>
        <v>0</v>
      </c>
    </row>
    <row r="184" spans="1:15" x14ac:dyDescent="0.25">
      <c r="A184" s="542"/>
      <c r="B184" s="542"/>
      <c r="C184" s="106"/>
      <c r="D184" s="128">
        <v>113</v>
      </c>
      <c r="E184" s="124"/>
      <c r="F184" s="125"/>
      <c r="G184" s="138"/>
      <c r="H184" s="140" t="str">
        <f t="shared" si="4"/>
        <v/>
      </c>
      <c r="I184" s="138"/>
      <c r="J184" s="138"/>
      <c r="K184" s="138"/>
      <c r="L184" s="138"/>
      <c r="M184" s="138"/>
      <c r="N184" s="138"/>
      <c r="O184" s="141">
        <f t="shared" si="5"/>
        <v>0</v>
      </c>
    </row>
    <row r="185" spans="1:15" x14ac:dyDescent="0.25">
      <c r="A185" s="542"/>
      <c r="B185" s="542"/>
      <c r="C185" s="106"/>
      <c r="D185" s="128">
        <v>113</v>
      </c>
      <c r="E185" s="124"/>
      <c r="F185" s="125"/>
      <c r="G185" s="137"/>
      <c r="H185" s="140" t="str">
        <f t="shared" si="4"/>
        <v/>
      </c>
      <c r="I185" s="137"/>
      <c r="J185" s="137"/>
      <c r="K185" s="137"/>
      <c r="L185" s="137"/>
      <c r="M185" s="137"/>
      <c r="N185" s="137"/>
      <c r="O185" s="141">
        <f t="shared" si="5"/>
        <v>0</v>
      </c>
    </row>
    <row r="186" spans="1:15" x14ac:dyDescent="0.25">
      <c r="A186" s="542"/>
      <c r="B186" s="542"/>
      <c r="C186" s="106"/>
      <c r="D186" s="128">
        <v>113</v>
      </c>
      <c r="E186" s="124"/>
      <c r="F186" s="125"/>
      <c r="G186" s="138"/>
      <c r="H186" s="140" t="str">
        <f t="shared" si="4"/>
        <v/>
      </c>
      <c r="I186" s="138"/>
      <c r="J186" s="138"/>
      <c r="K186" s="138"/>
      <c r="L186" s="138"/>
      <c r="M186" s="138"/>
      <c r="N186" s="138"/>
      <c r="O186" s="141">
        <f t="shared" si="5"/>
        <v>0</v>
      </c>
    </row>
    <row r="187" spans="1:15" x14ac:dyDescent="0.25">
      <c r="A187" s="542"/>
      <c r="B187" s="542"/>
      <c r="C187" s="106"/>
      <c r="D187" s="128">
        <v>113</v>
      </c>
      <c r="E187" s="124"/>
      <c r="F187" s="125"/>
      <c r="G187" s="138"/>
      <c r="H187" s="140" t="str">
        <f t="shared" si="4"/>
        <v/>
      </c>
      <c r="I187" s="138"/>
      <c r="J187" s="138"/>
      <c r="K187" s="138"/>
      <c r="L187" s="138"/>
      <c r="M187" s="138"/>
      <c r="N187" s="138"/>
      <c r="O187" s="141">
        <f t="shared" si="5"/>
        <v>0</v>
      </c>
    </row>
    <row r="188" spans="1:15" x14ac:dyDescent="0.25">
      <c r="A188" s="542"/>
      <c r="B188" s="542"/>
      <c r="C188" s="106"/>
      <c r="D188" s="128">
        <v>113</v>
      </c>
      <c r="E188" s="124"/>
      <c r="F188" s="125"/>
      <c r="G188" s="138"/>
      <c r="H188" s="140" t="str">
        <f t="shared" si="4"/>
        <v/>
      </c>
      <c r="I188" s="138"/>
      <c r="J188" s="138"/>
      <c r="K188" s="138"/>
      <c r="L188" s="138"/>
      <c r="M188" s="138"/>
      <c r="N188" s="138"/>
      <c r="O188" s="141">
        <f t="shared" si="5"/>
        <v>0</v>
      </c>
    </row>
    <row r="189" spans="1:15" x14ac:dyDescent="0.25">
      <c r="A189" s="542"/>
      <c r="B189" s="542"/>
      <c r="C189" s="106"/>
      <c r="D189" s="128">
        <v>113</v>
      </c>
      <c r="E189" s="124"/>
      <c r="F189" s="125"/>
      <c r="G189" s="138"/>
      <c r="H189" s="140" t="str">
        <f t="shared" si="4"/>
        <v/>
      </c>
      <c r="I189" s="138"/>
      <c r="J189" s="138"/>
      <c r="K189" s="138"/>
      <c r="L189" s="138"/>
      <c r="M189" s="138"/>
      <c r="N189" s="138"/>
      <c r="O189" s="141">
        <f t="shared" si="5"/>
        <v>0</v>
      </c>
    </row>
    <row r="190" spans="1:15" x14ac:dyDescent="0.25">
      <c r="A190" s="542"/>
      <c r="B190" s="542"/>
      <c r="C190" s="106"/>
      <c r="D190" s="128">
        <v>113</v>
      </c>
      <c r="E190" s="124"/>
      <c r="F190" s="125"/>
      <c r="G190" s="138"/>
      <c r="H190" s="140" t="str">
        <f t="shared" si="4"/>
        <v/>
      </c>
      <c r="I190" s="138"/>
      <c r="J190" s="138"/>
      <c r="K190" s="138"/>
      <c r="L190" s="138"/>
      <c r="M190" s="138"/>
      <c r="N190" s="138"/>
      <c r="O190" s="141">
        <f t="shared" si="5"/>
        <v>0</v>
      </c>
    </row>
    <row r="191" spans="1:15" x14ac:dyDescent="0.25">
      <c r="A191" s="542"/>
      <c r="B191" s="542"/>
      <c r="C191" s="106"/>
      <c r="D191" s="128">
        <v>113</v>
      </c>
      <c r="E191" s="124"/>
      <c r="F191" s="125"/>
      <c r="G191" s="138"/>
      <c r="H191" s="140" t="str">
        <f t="shared" si="4"/>
        <v/>
      </c>
      <c r="I191" s="138"/>
      <c r="J191" s="138"/>
      <c r="K191" s="138"/>
      <c r="L191" s="138"/>
      <c r="M191" s="138"/>
      <c r="N191" s="138"/>
      <c r="O191" s="141">
        <f t="shared" si="5"/>
        <v>0</v>
      </c>
    </row>
    <row r="192" spans="1:15" x14ac:dyDescent="0.25">
      <c r="A192" s="542"/>
      <c r="B192" s="542"/>
      <c r="C192" s="106"/>
      <c r="D192" s="128">
        <v>113</v>
      </c>
      <c r="E192" s="124"/>
      <c r="F192" s="125"/>
      <c r="G192" s="138"/>
      <c r="H192" s="140" t="str">
        <f t="shared" si="4"/>
        <v/>
      </c>
      <c r="I192" s="138"/>
      <c r="J192" s="138"/>
      <c r="K192" s="138"/>
      <c r="L192" s="138"/>
      <c r="M192" s="138"/>
      <c r="N192" s="138"/>
      <c r="O192" s="141">
        <f t="shared" si="5"/>
        <v>0</v>
      </c>
    </row>
    <row r="193" spans="1:15" x14ac:dyDescent="0.25">
      <c r="A193" s="542"/>
      <c r="B193" s="542"/>
      <c r="C193" s="106"/>
      <c r="D193" s="128">
        <v>113</v>
      </c>
      <c r="E193" s="124"/>
      <c r="F193" s="125"/>
      <c r="G193" s="138"/>
      <c r="H193" s="140" t="str">
        <f t="shared" si="4"/>
        <v/>
      </c>
      <c r="I193" s="138"/>
      <c r="J193" s="138"/>
      <c r="K193" s="138"/>
      <c r="L193" s="138"/>
      <c r="M193" s="138"/>
      <c r="N193" s="138"/>
      <c r="O193" s="141">
        <f t="shared" si="5"/>
        <v>0</v>
      </c>
    </row>
    <row r="194" spans="1:15" x14ac:dyDescent="0.25">
      <c r="A194" s="542"/>
      <c r="B194" s="542"/>
      <c r="C194" s="106"/>
      <c r="D194" s="128">
        <v>113</v>
      </c>
      <c r="E194" s="124"/>
      <c r="F194" s="125"/>
      <c r="G194" s="138"/>
      <c r="H194" s="140" t="str">
        <f t="shared" si="4"/>
        <v/>
      </c>
      <c r="I194" s="138"/>
      <c r="J194" s="138"/>
      <c r="K194" s="138"/>
      <c r="L194" s="138"/>
      <c r="M194" s="138"/>
      <c r="N194" s="138"/>
      <c r="O194" s="141">
        <f t="shared" si="5"/>
        <v>0</v>
      </c>
    </row>
    <row r="195" spans="1:15" x14ac:dyDescent="0.25">
      <c r="A195" s="542"/>
      <c r="B195" s="542"/>
      <c r="C195" s="106"/>
      <c r="D195" s="128">
        <v>113</v>
      </c>
      <c r="E195" s="124"/>
      <c r="F195" s="125"/>
      <c r="G195" s="137"/>
      <c r="H195" s="140" t="str">
        <f t="shared" si="4"/>
        <v/>
      </c>
      <c r="I195" s="137"/>
      <c r="J195" s="137"/>
      <c r="K195" s="137"/>
      <c r="L195" s="137"/>
      <c r="M195" s="137"/>
      <c r="N195" s="137"/>
      <c r="O195" s="141">
        <f t="shared" si="5"/>
        <v>0</v>
      </c>
    </row>
    <row r="196" spans="1:15" x14ac:dyDescent="0.25">
      <c r="A196" s="542"/>
      <c r="B196" s="542"/>
      <c r="C196" s="106"/>
      <c r="D196" s="128">
        <v>113</v>
      </c>
      <c r="E196" s="124"/>
      <c r="F196" s="125"/>
      <c r="G196" s="137"/>
      <c r="H196" s="140" t="str">
        <f t="shared" si="4"/>
        <v/>
      </c>
      <c r="I196" s="137"/>
      <c r="J196" s="137"/>
      <c r="K196" s="137"/>
      <c r="L196" s="137"/>
      <c r="M196" s="137"/>
      <c r="N196" s="137"/>
      <c r="O196" s="141">
        <f t="shared" si="5"/>
        <v>0</v>
      </c>
    </row>
    <row r="197" spans="1:15" x14ac:dyDescent="0.25">
      <c r="A197" s="542"/>
      <c r="B197" s="542"/>
      <c r="C197" s="106"/>
      <c r="D197" s="128">
        <v>113</v>
      </c>
      <c r="E197" s="124"/>
      <c r="F197" s="125"/>
      <c r="G197" s="138"/>
      <c r="H197" s="140" t="str">
        <f t="shared" si="4"/>
        <v/>
      </c>
      <c r="I197" s="138"/>
      <c r="J197" s="138"/>
      <c r="K197" s="138"/>
      <c r="L197" s="138"/>
      <c r="M197" s="138"/>
      <c r="N197" s="138"/>
      <c r="O197" s="141">
        <f t="shared" si="5"/>
        <v>0</v>
      </c>
    </row>
    <row r="198" spans="1:15" x14ac:dyDescent="0.25">
      <c r="A198" s="542"/>
      <c r="B198" s="542"/>
      <c r="C198" s="106"/>
      <c r="D198" s="128">
        <v>113</v>
      </c>
      <c r="E198" s="124"/>
      <c r="F198" s="125"/>
      <c r="G198" s="138"/>
      <c r="H198" s="140" t="str">
        <f t="shared" si="4"/>
        <v/>
      </c>
      <c r="I198" s="138"/>
      <c r="J198" s="138"/>
      <c r="K198" s="138"/>
      <c r="L198" s="138"/>
      <c r="M198" s="138"/>
      <c r="N198" s="138"/>
      <c r="O198" s="141">
        <f t="shared" si="5"/>
        <v>0</v>
      </c>
    </row>
    <row r="199" spans="1:15" x14ac:dyDescent="0.25">
      <c r="A199" s="542"/>
      <c r="B199" s="542"/>
      <c r="C199" s="106"/>
      <c r="D199" s="128">
        <v>113</v>
      </c>
      <c r="E199" s="124"/>
      <c r="F199" s="125"/>
      <c r="G199" s="138"/>
      <c r="H199" s="140" t="str">
        <f t="shared" si="4"/>
        <v/>
      </c>
      <c r="I199" s="138"/>
      <c r="J199" s="138"/>
      <c r="K199" s="138"/>
      <c r="L199" s="138"/>
      <c r="M199" s="138"/>
      <c r="N199" s="138"/>
      <c r="O199" s="141">
        <f t="shared" si="5"/>
        <v>0</v>
      </c>
    </row>
    <row r="200" spans="1:15" x14ac:dyDescent="0.25">
      <c r="A200" s="542"/>
      <c r="B200" s="542"/>
      <c r="C200" s="106"/>
      <c r="D200" s="128">
        <v>113</v>
      </c>
      <c r="E200" s="124"/>
      <c r="F200" s="125"/>
      <c r="G200" s="138"/>
      <c r="H200" s="140" t="str">
        <f t="shared" si="4"/>
        <v/>
      </c>
      <c r="I200" s="138"/>
      <c r="J200" s="138"/>
      <c r="K200" s="138"/>
      <c r="L200" s="138"/>
      <c r="M200" s="138"/>
      <c r="N200" s="138"/>
      <c r="O200" s="141">
        <f t="shared" si="5"/>
        <v>0</v>
      </c>
    </row>
    <row r="201" spans="1:15" x14ac:dyDescent="0.25">
      <c r="A201" s="542"/>
      <c r="B201" s="542"/>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x14ac:dyDescent="0.25">
      <c r="A202" s="542"/>
      <c r="B202" s="542"/>
      <c r="C202" s="106"/>
      <c r="D202" s="128">
        <v>113</v>
      </c>
      <c r="E202" s="124"/>
      <c r="F202" s="125"/>
      <c r="G202" s="138"/>
      <c r="H202" s="140" t="str">
        <f t="shared" si="6"/>
        <v/>
      </c>
      <c r="I202" s="138"/>
      <c r="J202" s="138"/>
      <c r="K202" s="138"/>
      <c r="L202" s="138"/>
      <c r="M202" s="138"/>
      <c r="N202" s="138"/>
      <c r="O202" s="141">
        <f t="shared" si="7"/>
        <v>0</v>
      </c>
    </row>
    <row r="203" spans="1:15" x14ac:dyDescent="0.25">
      <c r="A203" s="542"/>
      <c r="B203" s="542"/>
      <c r="C203" s="106"/>
      <c r="D203" s="128">
        <v>113</v>
      </c>
      <c r="E203" s="124"/>
      <c r="F203" s="125"/>
      <c r="G203" s="138"/>
      <c r="H203" s="140" t="str">
        <f t="shared" si="6"/>
        <v/>
      </c>
      <c r="I203" s="138"/>
      <c r="J203" s="138"/>
      <c r="K203" s="138"/>
      <c r="L203" s="138"/>
      <c r="M203" s="138"/>
      <c r="N203" s="138"/>
      <c r="O203" s="141">
        <f t="shared" si="7"/>
        <v>0</v>
      </c>
    </row>
    <row r="204" spans="1:15" x14ac:dyDescent="0.25">
      <c r="A204" s="542"/>
      <c r="B204" s="542"/>
      <c r="C204" s="106"/>
      <c r="D204" s="128">
        <v>113</v>
      </c>
      <c r="E204" s="124"/>
      <c r="F204" s="125"/>
      <c r="G204" s="138"/>
      <c r="H204" s="140" t="str">
        <f t="shared" si="6"/>
        <v/>
      </c>
      <c r="I204" s="138"/>
      <c r="J204" s="138"/>
      <c r="K204" s="138"/>
      <c r="L204" s="138"/>
      <c r="M204" s="138"/>
      <c r="N204" s="138"/>
      <c r="O204" s="141">
        <f t="shared" si="7"/>
        <v>0</v>
      </c>
    </row>
    <row r="205" spans="1:15" x14ac:dyDescent="0.25">
      <c r="A205" s="542"/>
      <c r="B205" s="542"/>
      <c r="C205" s="106"/>
      <c r="D205" s="128">
        <v>113</v>
      </c>
      <c r="E205" s="124"/>
      <c r="F205" s="125"/>
      <c r="G205" s="138"/>
      <c r="H205" s="140" t="str">
        <f t="shared" si="6"/>
        <v/>
      </c>
      <c r="I205" s="138"/>
      <c r="J205" s="138"/>
      <c r="K205" s="138"/>
      <c r="L205" s="138"/>
      <c r="M205" s="138"/>
      <c r="N205" s="138"/>
      <c r="O205" s="141">
        <f t="shared" si="7"/>
        <v>0</v>
      </c>
    </row>
    <row r="206" spans="1:15" x14ac:dyDescent="0.25">
      <c r="A206" s="542"/>
      <c r="B206" s="542"/>
      <c r="C206" s="106"/>
      <c r="D206" s="128">
        <v>113</v>
      </c>
      <c r="E206" s="124"/>
      <c r="F206" s="125"/>
      <c r="G206" s="137"/>
      <c r="H206" s="140" t="str">
        <f t="shared" si="6"/>
        <v/>
      </c>
      <c r="I206" s="137"/>
      <c r="J206" s="137"/>
      <c r="K206" s="137"/>
      <c r="L206" s="137"/>
      <c r="M206" s="137"/>
      <c r="N206" s="137"/>
      <c r="O206" s="141">
        <f t="shared" si="7"/>
        <v>0</v>
      </c>
    </row>
    <row r="207" spans="1:15" x14ac:dyDescent="0.25">
      <c r="A207" s="542"/>
      <c r="B207" s="542"/>
      <c r="C207" s="106"/>
      <c r="D207" s="128">
        <v>113</v>
      </c>
      <c r="E207" s="124"/>
      <c r="F207" s="125"/>
      <c r="G207" s="138"/>
      <c r="H207" s="140" t="str">
        <f t="shared" si="6"/>
        <v/>
      </c>
      <c r="I207" s="138"/>
      <c r="J207" s="138"/>
      <c r="K207" s="138"/>
      <c r="L207" s="138"/>
      <c r="M207" s="138"/>
      <c r="N207" s="138"/>
      <c r="O207" s="141">
        <f t="shared" si="7"/>
        <v>0</v>
      </c>
    </row>
    <row r="208" spans="1:15" x14ac:dyDescent="0.25">
      <c r="A208" s="542"/>
      <c r="B208" s="542"/>
      <c r="C208" s="106"/>
      <c r="D208" s="128">
        <v>113</v>
      </c>
      <c r="E208" s="124"/>
      <c r="F208" s="125"/>
      <c r="G208" s="138"/>
      <c r="H208" s="140" t="str">
        <f t="shared" si="6"/>
        <v/>
      </c>
      <c r="I208" s="138"/>
      <c r="J208" s="138"/>
      <c r="K208" s="138"/>
      <c r="L208" s="138"/>
      <c r="M208" s="138"/>
      <c r="N208" s="138"/>
      <c r="O208" s="141">
        <f t="shared" si="7"/>
        <v>0</v>
      </c>
    </row>
    <row r="209" spans="1:15" x14ac:dyDescent="0.25">
      <c r="A209" s="542"/>
      <c r="B209" s="542"/>
      <c r="C209" s="106"/>
      <c r="D209" s="128">
        <v>113</v>
      </c>
      <c r="E209" s="124"/>
      <c r="F209" s="125"/>
      <c r="G209" s="138"/>
      <c r="H209" s="140" t="str">
        <f t="shared" si="6"/>
        <v/>
      </c>
      <c r="I209" s="138"/>
      <c r="J209" s="138"/>
      <c r="K209" s="138"/>
      <c r="L209" s="138"/>
      <c r="M209" s="138"/>
      <c r="N209" s="138"/>
      <c r="O209" s="141">
        <f t="shared" si="7"/>
        <v>0</v>
      </c>
    </row>
    <row r="210" spans="1:15" x14ac:dyDescent="0.25">
      <c r="A210" s="542"/>
      <c r="B210" s="542"/>
      <c r="C210" s="106"/>
      <c r="D210" s="128">
        <v>113</v>
      </c>
      <c r="E210" s="124"/>
      <c r="F210" s="125"/>
      <c r="G210" s="138"/>
      <c r="H210" s="140" t="str">
        <f t="shared" si="6"/>
        <v/>
      </c>
      <c r="I210" s="138"/>
      <c r="J210" s="138"/>
      <c r="K210" s="138"/>
      <c r="L210" s="138"/>
      <c r="M210" s="138"/>
      <c r="N210" s="138"/>
      <c r="O210" s="141">
        <f t="shared" si="7"/>
        <v>0</v>
      </c>
    </row>
    <row r="211" spans="1:15" x14ac:dyDescent="0.25">
      <c r="A211" s="542"/>
      <c r="B211" s="542"/>
      <c r="C211" s="106"/>
      <c r="D211" s="128">
        <v>113</v>
      </c>
      <c r="E211" s="124"/>
      <c r="F211" s="125"/>
      <c r="G211" s="138"/>
      <c r="H211" s="140" t="str">
        <f t="shared" si="6"/>
        <v/>
      </c>
      <c r="I211" s="138"/>
      <c r="J211" s="138"/>
      <c r="K211" s="138"/>
      <c r="L211" s="138"/>
      <c r="M211" s="138"/>
      <c r="N211" s="138"/>
      <c r="O211" s="141">
        <f t="shared" si="7"/>
        <v>0</v>
      </c>
    </row>
    <row r="212" spans="1:15" x14ac:dyDescent="0.25">
      <c r="A212" s="542"/>
      <c r="B212" s="542"/>
      <c r="C212" s="106"/>
      <c r="D212" s="128">
        <v>113</v>
      </c>
      <c r="E212" s="124"/>
      <c r="F212" s="125"/>
      <c r="G212" s="137"/>
      <c r="H212" s="140" t="str">
        <f t="shared" si="6"/>
        <v/>
      </c>
      <c r="I212" s="137"/>
      <c r="J212" s="137"/>
      <c r="K212" s="137"/>
      <c r="L212" s="137"/>
      <c r="M212" s="137"/>
      <c r="N212" s="137"/>
      <c r="O212" s="141">
        <f t="shared" si="7"/>
        <v>0</v>
      </c>
    </row>
    <row r="213" spans="1:15" x14ac:dyDescent="0.25">
      <c r="A213" s="542"/>
      <c r="B213" s="542"/>
      <c r="C213" s="106"/>
      <c r="D213" s="128">
        <v>113</v>
      </c>
      <c r="E213" s="124"/>
      <c r="F213" s="125"/>
      <c r="G213" s="138"/>
      <c r="H213" s="140" t="str">
        <f t="shared" si="6"/>
        <v/>
      </c>
      <c r="I213" s="138"/>
      <c r="J213" s="138"/>
      <c r="K213" s="138"/>
      <c r="L213" s="138"/>
      <c r="M213" s="138"/>
      <c r="N213" s="138"/>
      <c r="O213" s="141">
        <f t="shared" si="7"/>
        <v>0</v>
      </c>
    </row>
    <row r="214" spans="1:15" x14ac:dyDescent="0.25">
      <c r="A214" s="542"/>
      <c r="B214" s="542"/>
      <c r="C214" s="106"/>
      <c r="D214" s="128">
        <v>113</v>
      </c>
      <c r="E214" s="124"/>
      <c r="F214" s="125"/>
      <c r="G214" s="138"/>
      <c r="H214" s="140" t="str">
        <f t="shared" si="6"/>
        <v/>
      </c>
      <c r="I214" s="138"/>
      <c r="J214" s="138"/>
      <c r="K214" s="138"/>
      <c r="L214" s="138"/>
      <c r="M214" s="138"/>
      <c r="N214" s="138"/>
      <c r="O214" s="141">
        <f t="shared" si="7"/>
        <v>0</v>
      </c>
    </row>
    <row r="215" spans="1:15" x14ac:dyDescent="0.25">
      <c r="A215" s="542"/>
      <c r="B215" s="542"/>
      <c r="C215" s="106"/>
      <c r="D215" s="128">
        <v>113</v>
      </c>
      <c r="E215" s="124"/>
      <c r="F215" s="125"/>
      <c r="G215" s="138"/>
      <c r="H215" s="140" t="str">
        <f t="shared" si="6"/>
        <v/>
      </c>
      <c r="I215" s="138"/>
      <c r="J215" s="138"/>
      <c r="K215" s="138"/>
      <c r="L215" s="138"/>
      <c r="M215" s="138"/>
      <c r="N215" s="138"/>
      <c r="O215" s="141">
        <f t="shared" si="7"/>
        <v>0</v>
      </c>
    </row>
    <row r="216" spans="1:15" x14ac:dyDescent="0.25">
      <c r="A216" s="542"/>
      <c r="B216" s="542"/>
      <c r="C216" s="106"/>
      <c r="D216" s="128">
        <v>113</v>
      </c>
      <c r="E216" s="124"/>
      <c r="F216" s="125"/>
      <c r="G216" s="138"/>
      <c r="H216" s="140" t="str">
        <f t="shared" si="6"/>
        <v/>
      </c>
      <c r="I216" s="138"/>
      <c r="J216" s="138"/>
      <c r="K216" s="138"/>
      <c r="L216" s="138"/>
      <c r="M216" s="138"/>
      <c r="N216" s="138"/>
      <c r="O216" s="141">
        <f t="shared" si="7"/>
        <v>0</v>
      </c>
    </row>
    <row r="217" spans="1:15" x14ac:dyDescent="0.25">
      <c r="A217" s="542"/>
      <c r="B217" s="542"/>
      <c r="C217" s="106"/>
      <c r="D217" s="128">
        <v>113</v>
      </c>
      <c r="E217" s="124"/>
      <c r="F217" s="125"/>
      <c r="G217" s="138"/>
      <c r="H217" s="140" t="str">
        <f t="shared" si="6"/>
        <v/>
      </c>
      <c r="I217" s="138"/>
      <c r="J217" s="138"/>
      <c r="K217" s="138"/>
      <c r="L217" s="138"/>
      <c r="M217" s="138"/>
      <c r="N217" s="138"/>
      <c r="O217" s="141">
        <f t="shared" si="7"/>
        <v>0</v>
      </c>
    </row>
    <row r="218" spans="1:15" x14ac:dyDescent="0.25">
      <c r="A218" s="542"/>
      <c r="B218" s="542"/>
      <c r="C218" s="106"/>
      <c r="D218" s="128">
        <v>113</v>
      </c>
      <c r="E218" s="124"/>
      <c r="F218" s="125"/>
      <c r="G218" s="138"/>
      <c r="H218" s="140" t="str">
        <f t="shared" si="6"/>
        <v/>
      </c>
      <c r="I218" s="138"/>
      <c r="J218" s="138"/>
      <c r="K218" s="138"/>
      <c r="L218" s="138"/>
      <c r="M218" s="138"/>
      <c r="N218" s="138"/>
      <c r="O218" s="141">
        <f t="shared" si="7"/>
        <v>0</v>
      </c>
    </row>
    <row r="219" spans="1:15" x14ac:dyDescent="0.25">
      <c r="A219" s="542"/>
      <c r="B219" s="542"/>
      <c r="C219" s="106"/>
      <c r="D219" s="128">
        <v>113</v>
      </c>
      <c r="E219" s="124"/>
      <c r="F219" s="125"/>
      <c r="G219" s="138"/>
      <c r="H219" s="140" t="str">
        <f t="shared" si="6"/>
        <v/>
      </c>
      <c r="I219" s="138"/>
      <c r="J219" s="138"/>
      <c r="K219" s="138"/>
      <c r="L219" s="138"/>
      <c r="M219" s="138"/>
      <c r="N219" s="138"/>
      <c r="O219" s="141">
        <f t="shared" si="7"/>
        <v>0</v>
      </c>
    </row>
    <row r="220" spans="1:15" x14ac:dyDescent="0.25">
      <c r="A220" s="542"/>
      <c r="B220" s="542"/>
      <c r="C220" s="106"/>
      <c r="D220" s="128">
        <v>113</v>
      </c>
      <c r="E220" s="124"/>
      <c r="F220" s="125"/>
      <c r="G220" s="138"/>
      <c r="H220" s="140" t="str">
        <f t="shared" si="6"/>
        <v/>
      </c>
      <c r="I220" s="138"/>
      <c r="J220" s="138"/>
      <c r="K220" s="138"/>
      <c r="L220" s="138"/>
      <c r="M220" s="138"/>
      <c r="N220" s="138"/>
      <c r="O220" s="141">
        <f t="shared" si="7"/>
        <v>0</v>
      </c>
    </row>
    <row r="221" spans="1:15" x14ac:dyDescent="0.25">
      <c r="A221" s="542"/>
      <c r="B221" s="542"/>
      <c r="C221" s="106"/>
      <c r="D221" s="128">
        <v>113</v>
      </c>
      <c r="E221" s="124"/>
      <c r="F221" s="125"/>
      <c r="G221" s="138"/>
      <c r="H221" s="140" t="str">
        <f t="shared" si="6"/>
        <v/>
      </c>
      <c r="I221" s="138"/>
      <c r="J221" s="138"/>
      <c r="K221" s="138"/>
      <c r="L221" s="138"/>
      <c r="M221" s="138"/>
      <c r="N221" s="138"/>
      <c r="O221" s="141">
        <f t="shared" si="7"/>
        <v>0</v>
      </c>
    </row>
    <row r="222" spans="1:15" x14ac:dyDescent="0.25">
      <c r="A222" s="542"/>
      <c r="B222" s="542"/>
      <c r="C222" s="106"/>
      <c r="D222" s="128">
        <v>113</v>
      </c>
      <c r="E222" s="124"/>
      <c r="F222" s="125"/>
      <c r="G222" s="137"/>
      <c r="H222" s="140" t="str">
        <f t="shared" si="6"/>
        <v/>
      </c>
      <c r="I222" s="137"/>
      <c r="J222" s="137"/>
      <c r="K222" s="137"/>
      <c r="L222" s="137"/>
      <c r="M222" s="137"/>
      <c r="N222" s="137"/>
      <c r="O222" s="141">
        <f t="shared" si="7"/>
        <v>0</v>
      </c>
    </row>
    <row r="223" spans="1:15" x14ac:dyDescent="0.25">
      <c r="A223" s="542"/>
      <c r="B223" s="542"/>
      <c r="C223" s="106"/>
      <c r="D223" s="128">
        <v>113</v>
      </c>
      <c r="E223" s="124"/>
      <c r="F223" s="125"/>
      <c r="G223" s="138"/>
      <c r="H223" s="140" t="str">
        <f t="shared" si="6"/>
        <v/>
      </c>
      <c r="I223" s="138"/>
      <c r="J223" s="138"/>
      <c r="K223" s="138"/>
      <c r="L223" s="138"/>
      <c r="M223" s="138"/>
      <c r="N223" s="138"/>
      <c r="O223" s="141">
        <f t="shared" si="7"/>
        <v>0</v>
      </c>
    </row>
    <row r="224" spans="1:15" x14ac:dyDescent="0.25">
      <c r="A224" s="542"/>
      <c r="B224" s="542"/>
      <c r="C224" s="106"/>
      <c r="D224" s="128">
        <v>113</v>
      </c>
      <c r="E224" s="124"/>
      <c r="F224" s="125"/>
      <c r="G224" s="138"/>
      <c r="H224" s="140" t="str">
        <f t="shared" si="6"/>
        <v/>
      </c>
      <c r="I224" s="138"/>
      <c r="J224" s="138"/>
      <c r="K224" s="138"/>
      <c r="L224" s="138"/>
      <c r="M224" s="138"/>
      <c r="N224" s="138"/>
      <c r="O224" s="141">
        <f t="shared" si="7"/>
        <v>0</v>
      </c>
    </row>
    <row r="225" spans="1:15" x14ac:dyDescent="0.25">
      <c r="A225" s="542"/>
      <c r="B225" s="542"/>
      <c r="C225" s="106"/>
      <c r="D225" s="128">
        <v>113</v>
      </c>
      <c r="E225" s="124"/>
      <c r="F225" s="125"/>
      <c r="G225" s="138"/>
      <c r="H225" s="140" t="str">
        <f t="shared" si="6"/>
        <v/>
      </c>
      <c r="I225" s="138"/>
      <c r="J225" s="138"/>
      <c r="K225" s="138"/>
      <c r="L225" s="138"/>
      <c r="M225" s="138"/>
      <c r="N225" s="138"/>
      <c r="O225" s="141">
        <f t="shared" si="7"/>
        <v>0</v>
      </c>
    </row>
    <row r="226" spans="1:15" x14ac:dyDescent="0.25">
      <c r="A226" s="542"/>
      <c r="B226" s="542"/>
      <c r="C226" s="106"/>
      <c r="D226" s="128">
        <v>113</v>
      </c>
      <c r="E226" s="124"/>
      <c r="F226" s="125"/>
      <c r="G226" s="138"/>
      <c r="H226" s="140" t="str">
        <f t="shared" si="6"/>
        <v/>
      </c>
      <c r="I226" s="138"/>
      <c r="J226" s="138"/>
      <c r="K226" s="138"/>
      <c r="L226" s="138"/>
      <c r="M226" s="138"/>
      <c r="N226" s="138"/>
      <c r="O226" s="141">
        <f t="shared" si="7"/>
        <v>0</v>
      </c>
    </row>
    <row r="227" spans="1:15" x14ac:dyDescent="0.25">
      <c r="A227" s="542"/>
      <c r="B227" s="542"/>
      <c r="C227" s="106"/>
      <c r="D227" s="128">
        <v>113</v>
      </c>
      <c r="E227" s="124"/>
      <c r="F227" s="125"/>
      <c r="G227" s="138"/>
      <c r="H227" s="140" t="str">
        <f t="shared" si="6"/>
        <v/>
      </c>
      <c r="I227" s="138"/>
      <c r="J227" s="138"/>
      <c r="K227" s="138"/>
      <c r="L227" s="138"/>
      <c r="M227" s="138"/>
      <c r="N227" s="138"/>
      <c r="O227" s="141">
        <f t="shared" si="7"/>
        <v>0</v>
      </c>
    </row>
    <row r="228" spans="1:15" x14ac:dyDescent="0.25">
      <c r="A228" s="542"/>
      <c r="B228" s="542"/>
      <c r="C228" s="106"/>
      <c r="D228" s="128">
        <v>113</v>
      </c>
      <c r="E228" s="124"/>
      <c r="F228" s="125"/>
      <c r="G228" s="138"/>
      <c r="H228" s="140" t="str">
        <f t="shared" si="6"/>
        <v/>
      </c>
      <c r="I228" s="138"/>
      <c r="J228" s="138"/>
      <c r="K228" s="138"/>
      <c r="L228" s="138"/>
      <c r="M228" s="138"/>
      <c r="N228" s="138"/>
      <c r="O228" s="141">
        <f t="shared" si="7"/>
        <v>0</v>
      </c>
    </row>
    <row r="229" spans="1:15" x14ac:dyDescent="0.25">
      <c r="A229" s="542"/>
      <c r="B229" s="542"/>
      <c r="C229" s="106"/>
      <c r="D229" s="128">
        <v>113</v>
      </c>
      <c r="E229" s="124"/>
      <c r="F229" s="125"/>
      <c r="G229" s="138"/>
      <c r="H229" s="140" t="str">
        <f t="shared" si="6"/>
        <v/>
      </c>
      <c r="I229" s="138"/>
      <c r="J229" s="138"/>
      <c r="K229" s="138"/>
      <c r="L229" s="138"/>
      <c r="M229" s="138"/>
      <c r="N229" s="138"/>
      <c r="O229" s="141">
        <f t="shared" si="7"/>
        <v>0</v>
      </c>
    </row>
    <row r="230" spans="1:15" x14ac:dyDescent="0.25">
      <c r="A230" s="542"/>
      <c r="B230" s="542"/>
      <c r="C230" s="106"/>
      <c r="D230" s="128">
        <v>113</v>
      </c>
      <c r="E230" s="124"/>
      <c r="F230" s="125"/>
      <c r="G230" s="138"/>
      <c r="H230" s="140" t="str">
        <f t="shared" si="6"/>
        <v/>
      </c>
      <c r="I230" s="138"/>
      <c r="J230" s="138"/>
      <c r="K230" s="138"/>
      <c r="L230" s="138"/>
      <c r="M230" s="138"/>
      <c r="N230" s="138"/>
      <c r="O230" s="141">
        <f t="shared" si="7"/>
        <v>0</v>
      </c>
    </row>
    <row r="231" spans="1:15" x14ac:dyDescent="0.25">
      <c r="A231" s="542"/>
      <c r="B231" s="542"/>
      <c r="C231" s="106"/>
      <c r="D231" s="128">
        <v>113</v>
      </c>
      <c r="E231" s="124"/>
      <c r="F231" s="125"/>
      <c r="G231" s="137"/>
      <c r="H231" s="140" t="str">
        <f t="shared" si="6"/>
        <v/>
      </c>
      <c r="I231" s="137"/>
      <c r="J231" s="137"/>
      <c r="K231" s="137"/>
      <c r="L231" s="137"/>
      <c r="M231" s="137"/>
      <c r="N231" s="137"/>
      <c r="O231" s="141">
        <f t="shared" si="7"/>
        <v>0</v>
      </c>
    </row>
    <row r="232" spans="1:15" x14ac:dyDescent="0.25">
      <c r="A232" s="542"/>
      <c r="B232" s="542"/>
      <c r="C232" s="106"/>
      <c r="D232" s="128">
        <v>113</v>
      </c>
      <c r="E232" s="124"/>
      <c r="F232" s="125"/>
      <c r="G232" s="138"/>
      <c r="H232" s="140" t="str">
        <f t="shared" si="6"/>
        <v/>
      </c>
      <c r="I232" s="138"/>
      <c r="J232" s="138"/>
      <c r="K232" s="138"/>
      <c r="L232" s="138"/>
      <c r="M232" s="138"/>
      <c r="N232" s="138"/>
      <c r="O232" s="141">
        <f t="shared" si="7"/>
        <v>0</v>
      </c>
    </row>
    <row r="233" spans="1:15" x14ac:dyDescent="0.25">
      <c r="A233" s="542"/>
      <c r="B233" s="542"/>
      <c r="C233" s="106"/>
      <c r="D233" s="128">
        <v>113</v>
      </c>
      <c r="E233" s="124"/>
      <c r="F233" s="125"/>
      <c r="G233" s="138"/>
      <c r="H233" s="140" t="str">
        <f t="shared" si="6"/>
        <v/>
      </c>
      <c r="I233" s="138"/>
      <c r="J233" s="138"/>
      <c r="K233" s="138"/>
      <c r="L233" s="138"/>
      <c r="M233" s="138"/>
      <c r="N233" s="138"/>
      <c r="O233" s="141">
        <f t="shared" si="7"/>
        <v>0</v>
      </c>
    </row>
    <row r="234" spans="1:15" x14ac:dyDescent="0.25">
      <c r="A234" s="542"/>
      <c r="B234" s="542"/>
      <c r="C234" s="106"/>
      <c r="D234" s="128">
        <v>113</v>
      </c>
      <c r="E234" s="124"/>
      <c r="F234" s="125"/>
      <c r="G234" s="138"/>
      <c r="H234" s="140" t="str">
        <f t="shared" si="6"/>
        <v/>
      </c>
      <c r="I234" s="138"/>
      <c r="J234" s="138"/>
      <c r="K234" s="138"/>
      <c r="L234" s="138"/>
      <c r="M234" s="138"/>
      <c r="N234" s="138"/>
      <c r="O234" s="141">
        <f t="shared" si="7"/>
        <v>0</v>
      </c>
    </row>
    <row r="235" spans="1:15" x14ac:dyDescent="0.25">
      <c r="A235" s="542"/>
      <c r="B235" s="542"/>
      <c r="C235" s="106"/>
      <c r="D235" s="128">
        <v>113</v>
      </c>
      <c r="E235" s="124"/>
      <c r="F235" s="125"/>
      <c r="G235" s="137"/>
      <c r="H235" s="140" t="str">
        <f t="shared" si="6"/>
        <v/>
      </c>
      <c r="I235" s="137"/>
      <c r="J235" s="137"/>
      <c r="K235" s="137"/>
      <c r="L235" s="137"/>
      <c r="M235" s="137"/>
      <c r="N235" s="137"/>
      <c r="O235" s="141">
        <f t="shared" si="7"/>
        <v>0</v>
      </c>
    </row>
    <row r="236" spans="1:15" x14ac:dyDescent="0.25">
      <c r="A236" s="542"/>
      <c r="B236" s="542"/>
      <c r="C236" s="106"/>
      <c r="D236" s="128">
        <v>113</v>
      </c>
      <c r="E236" s="124"/>
      <c r="F236" s="125"/>
      <c r="G236" s="138"/>
      <c r="H236" s="140" t="str">
        <f t="shared" si="6"/>
        <v/>
      </c>
      <c r="I236" s="138"/>
      <c r="J236" s="138"/>
      <c r="K236" s="138"/>
      <c r="L236" s="138"/>
      <c r="M236" s="138"/>
      <c r="N236" s="138"/>
      <c r="O236" s="141">
        <f t="shared" si="7"/>
        <v>0</v>
      </c>
    </row>
    <row r="237" spans="1:15" x14ac:dyDescent="0.25">
      <c r="A237" s="542"/>
      <c r="B237" s="542"/>
      <c r="C237" s="106"/>
      <c r="D237" s="128">
        <v>113</v>
      </c>
      <c r="E237" s="124"/>
      <c r="F237" s="125"/>
      <c r="G237" s="138"/>
      <c r="H237" s="140" t="str">
        <f t="shared" si="6"/>
        <v/>
      </c>
      <c r="I237" s="138"/>
      <c r="J237" s="138"/>
      <c r="K237" s="138"/>
      <c r="L237" s="138"/>
      <c r="M237" s="138"/>
      <c r="N237" s="138"/>
      <c r="O237" s="141">
        <f t="shared" si="7"/>
        <v>0</v>
      </c>
    </row>
    <row r="238" spans="1:15" x14ac:dyDescent="0.25">
      <c r="A238" s="542"/>
      <c r="B238" s="542"/>
      <c r="C238" s="106"/>
      <c r="D238" s="128">
        <v>113</v>
      </c>
      <c r="E238" s="124"/>
      <c r="F238" s="125"/>
      <c r="G238" s="138"/>
      <c r="H238" s="140" t="str">
        <f t="shared" si="6"/>
        <v/>
      </c>
      <c r="I238" s="138"/>
      <c r="J238" s="138"/>
      <c r="K238" s="138"/>
      <c r="L238" s="138"/>
      <c r="M238" s="138"/>
      <c r="N238" s="138"/>
      <c r="O238" s="141">
        <f t="shared" si="7"/>
        <v>0</v>
      </c>
    </row>
    <row r="239" spans="1:15" x14ac:dyDescent="0.25">
      <c r="A239" s="542"/>
      <c r="B239" s="542"/>
      <c r="C239" s="106"/>
      <c r="D239" s="128">
        <v>113</v>
      </c>
      <c r="E239" s="124"/>
      <c r="F239" s="125"/>
      <c r="G239" s="138"/>
      <c r="H239" s="140" t="str">
        <f t="shared" si="6"/>
        <v/>
      </c>
      <c r="I239" s="138"/>
      <c r="J239" s="138"/>
      <c r="K239" s="138"/>
      <c r="L239" s="138"/>
      <c r="M239" s="138"/>
      <c r="N239" s="138"/>
      <c r="O239" s="141">
        <f t="shared" si="7"/>
        <v>0</v>
      </c>
    </row>
    <row r="240" spans="1:15" x14ac:dyDescent="0.25">
      <c r="A240" s="542"/>
      <c r="B240" s="542"/>
      <c r="C240" s="106"/>
      <c r="D240" s="128">
        <v>113</v>
      </c>
      <c r="E240" s="124"/>
      <c r="F240" s="125"/>
      <c r="G240" s="138"/>
      <c r="H240" s="140" t="str">
        <f t="shared" si="6"/>
        <v/>
      </c>
      <c r="I240" s="138"/>
      <c r="J240" s="138"/>
      <c r="K240" s="138"/>
      <c r="L240" s="138"/>
      <c r="M240" s="138"/>
      <c r="N240" s="138"/>
      <c r="O240" s="141">
        <f t="shared" si="7"/>
        <v>0</v>
      </c>
    </row>
    <row r="241" spans="1:15" x14ac:dyDescent="0.25">
      <c r="A241" s="542"/>
      <c r="B241" s="542"/>
      <c r="C241" s="106"/>
      <c r="D241" s="128">
        <v>113</v>
      </c>
      <c r="E241" s="124"/>
      <c r="F241" s="125"/>
      <c r="G241" s="138"/>
      <c r="H241" s="140" t="str">
        <f t="shared" si="6"/>
        <v/>
      </c>
      <c r="I241" s="138"/>
      <c r="J241" s="138"/>
      <c r="K241" s="138"/>
      <c r="L241" s="138"/>
      <c r="M241" s="138"/>
      <c r="N241" s="138"/>
      <c r="O241" s="141">
        <f t="shared" si="7"/>
        <v>0</v>
      </c>
    </row>
    <row r="242" spans="1:15" x14ac:dyDescent="0.25">
      <c r="A242" s="542"/>
      <c r="B242" s="542"/>
      <c r="C242" s="106"/>
      <c r="D242" s="128">
        <v>113</v>
      </c>
      <c r="E242" s="124"/>
      <c r="F242" s="125"/>
      <c r="G242" s="138"/>
      <c r="H242" s="140" t="str">
        <f t="shared" si="6"/>
        <v/>
      </c>
      <c r="I242" s="138"/>
      <c r="J242" s="138"/>
      <c r="K242" s="138"/>
      <c r="L242" s="138"/>
      <c r="M242" s="138"/>
      <c r="N242" s="138"/>
      <c r="O242" s="141">
        <f t="shared" si="7"/>
        <v>0</v>
      </c>
    </row>
    <row r="243" spans="1:15" x14ac:dyDescent="0.25">
      <c r="A243" s="542"/>
      <c r="B243" s="542"/>
      <c r="C243" s="106"/>
      <c r="D243" s="128">
        <v>113</v>
      </c>
      <c r="E243" s="124"/>
      <c r="F243" s="125"/>
      <c r="G243" s="137"/>
      <c r="H243" s="140" t="str">
        <f t="shared" si="6"/>
        <v/>
      </c>
      <c r="I243" s="137"/>
      <c r="J243" s="137"/>
      <c r="K243" s="137"/>
      <c r="L243" s="137"/>
      <c r="M243" s="137"/>
      <c r="N243" s="137"/>
      <c r="O243" s="141">
        <f t="shared" si="7"/>
        <v>0</v>
      </c>
    </row>
    <row r="244" spans="1:15" x14ac:dyDescent="0.25">
      <c r="A244" s="542"/>
      <c r="B244" s="542"/>
      <c r="C244" s="106"/>
      <c r="D244" s="128">
        <v>113</v>
      </c>
      <c r="E244" s="124"/>
      <c r="F244" s="125"/>
      <c r="G244" s="138"/>
      <c r="H244" s="140" t="str">
        <f t="shared" si="6"/>
        <v/>
      </c>
      <c r="I244" s="138"/>
      <c r="J244" s="138"/>
      <c r="K244" s="138"/>
      <c r="L244" s="138"/>
      <c r="M244" s="138"/>
      <c r="N244" s="138"/>
      <c r="O244" s="141">
        <f t="shared" si="7"/>
        <v>0</v>
      </c>
    </row>
    <row r="245" spans="1:15" x14ac:dyDescent="0.25">
      <c r="A245" s="542"/>
      <c r="B245" s="542"/>
      <c r="C245" s="106"/>
      <c r="D245" s="128">
        <v>113</v>
      </c>
      <c r="E245" s="124"/>
      <c r="F245" s="125"/>
      <c r="G245" s="137"/>
      <c r="H245" s="140" t="str">
        <f t="shared" si="6"/>
        <v/>
      </c>
      <c r="I245" s="137"/>
      <c r="J245" s="137"/>
      <c r="K245" s="137"/>
      <c r="L245" s="137"/>
      <c r="M245" s="137"/>
      <c r="N245" s="137"/>
      <c r="O245" s="141">
        <f t="shared" si="7"/>
        <v>0</v>
      </c>
    </row>
    <row r="246" spans="1:15" x14ac:dyDescent="0.25">
      <c r="A246" s="542"/>
      <c r="B246" s="542"/>
      <c r="C246" s="106"/>
      <c r="D246" s="128">
        <v>113</v>
      </c>
      <c r="E246" s="124"/>
      <c r="F246" s="125"/>
      <c r="G246" s="138"/>
      <c r="H246" s="140" t="str">
        <f t="shared" si="6"/>
        <v/>
      </c>
      <c r="I246" s="138"/>
      <c r="J246" s="138"/>
      <c r="K246" s="138"/>
      <c r="L246" s="138"/>
      <c r="M246" s="138"/>
      <c r="N246" s="138"/>
      <c r="O246" s="141">
        <f t="shared" si="7"/>
        <v>0</v>
      </c>
    </row>
    <row r="247" spans="1:15" x14ac:dyDescent="0.25">
      <c r="A247" s="542"/>
      <c r="B247" s="542"/>
      <c r="C247" s="106"/>
      <c r="D247" s="128">
        <v>113</v>
      </c>
      <c r="E247" s="124"/>
      <c r="F247" s="125"/>
      <c r="G247" s="138"/>
      <c r="H247" s="140" t="str">
        <f t="shared" si="6"/>
        <v/>
      </c>
      <c r="I247" s="138"/>
      <c r="J247" s="138"/>
      <c r="K247" s="138"/>
      <c r="L247" s="138"/>
      <c r="M247" s="138"/>
      <c r="N247" s="138"/>
      <c r="O247" s="141">
        <f t="shared" si="7"/>
        <v>0</v>
      </c>
    </row>
    <row r="248" spans="1:15" x14ac:dyDescent="0.25">
      <c r="A248" s="542"/>
      <c r="B248" s="542"/>
      <c r="C248" s="106"/>
      <c r="D248" s="128">
        <v>113</v>
      </c>
      <c r="E248" s="124"/>
      <c r="F248" s="125"/>
      <c r="G248" s="138"/>
      <c r="H248" s="140" t="str">
        <f t="shared" si="6"/>
        <v/>
      </c>
      <c r="I248" s="138"/>
      <c r="J248" s="138"/>
      <c r="K248" s="138"/>
      <c r="L248" s="138"/>
      <c r="M248" s="138"/>
      <c r="N248" s="138"/>
      <c r="O248" s="141">
        <f t="shared" si="7"/>
        <v>0</v>
      </c>
    </row>
    <row r="249" spans="1:15" x14ac:dyDescent="0.25">
      <c r="A249" s="542"/>
      <c r="B249" s="542"/>
      <c r="C249" s="106"/>
      <c r="D249" s="128">
        <v>113</v>
      </c>
      <c r="E249" s="124"/>
      <c r="F249" s="125"/>
      <c r="G249" s="138"/>
      <c r="H249" s="140" t="str">
        <f t="shared" si="6"/>
        <v/>
      </c>
      <c r="I249" s="138"/>
      <c r="J249" s="138"/>
      <c r="K249" s="138"/>
      <c r="L249" s="138"/>
      <c r="M249" s="138"/>
      <c r="N249" s="138"/>
      <c r="O249" s="141">
        <f t="shared" si="7"/>
        <v>0</v>
      </c>
    </row>
    <row r="250" spans="1:15" x14ac:dyDescent="0.25">
      <c r="A250" s="542"/>
      <c r="B250" s="542"/>
      <c r="C250" s="106"/>
      <c r="D250" s="128">
        <v>113</v>
      </c>
      <c r="E250" s="124"/>
      <c r="F250" s="125"/>
      <c r="G250" s="138"/>
      <c r="H250" s="140" t="str">
        <f t="shared" si="6"/>
        <v/>
      </c>
      <c r="I250" s="138"/>
      <c r="J250" s="138"/>
      <c r="K250" s="138"/>
      <c r="L250" s="138"/>
      <c r="M250" s="138"/>
      <c r="N250" s="138"/>
      <c r="O250" s="141">
        <f t="shared" si="7"/>
        <v>0</v>
      </c>
    </row>
    <row r="251" spans="1:15" x14ac:dyDescent="0.25">
      <c r="A251" s="542"/>
      <c r="B251" s="542"/>
      <c r="C251" s="106"/>
      <c r="D251" s="128">
        <v>113</v>
      </c>
      <c r="E251" s="124"/>
      <c r="F251" s="125"/>
      <c r="G251" s="137"/>
      <c r="H251" s="140" t="str">
        <f t="shared" si="6"/>
        <v/>
      </c>
      <c r="I251" s="137"/>
      <c r="J251" s="137"/>
      <c r="K251" s="137"/>
      <c r="L251" s="137"/>
      <c r="M251" s="137"/>
      <c r="N251" s="137"/>
      <c r="O251" s="141">
        <f t="shared" si="7"/>
        <v>0</v>
      </c>
    </row>
    <row r="252" spans="1:15" x14ac:dyDescent="0.25">
      <c r="A252" s="542"/>
      <c r="B252" s="542"/>
      <c r="C252" s="106"/>
      <c r="D252" s="128">
        <v>113</v>
      </c>
      <c r="E252" s="124"/>
      <c r="F252" s="125"/>
      <c r="G252" s="138"/>
      <c r="H252" s="140" t="str">
        <f t="shared" si="6"/>
        <v/>
      </c>
      <c r="I252" s="138"/>
      <c r="J252" s="138"/>
      <c r="K252" s="138"/>
      <c r="L252" s="138"/>
      <c r="M252" s="138"/>
      <c r="N252" s="138"/>
      <c r="O252" s="141">
        <f t="shared" si="7"/>
        <v>0</v>
      </c>
    </row>
    <row r="253" spans="1:15" x14ac:dyDescent="0.25">
      <c r="A253" s="542"/>
      <c r="B253" s="542"/>
      <c r="C253" s="106"/>
      <c r="D253" s="128">
        <v>113</v>
      </c>
      <c r="E253" s="124"/>
      <c r="F253" s="125"/>
      <c r="G253" s="138"/>
      <c r="H253" s="140" t="str">
        <f t="shared" si="6"/>
        <v/>
      </c>
      <c r="I253" s="138"/>
      <c r="J253" s="138"/>
      <c r="K253" s="138"/>
      <c r="L253" s="138"/>
      <c r="M253" s="138"/>
      <c r="N253" s="138"/>
      <c r="O253" s="141">
        <f t="shared" si="7"/>
        <v>0</v>
      </c>
    </row>
    <row r="254" spans="1:15" x14ac:dyDescent="0.25">
      <c r="A254" s="542"/>
      <c r="B254" s="542"/>
      <c r="C254" s="106"/>
      <c r="D254" s="128">
        <v>113</v>
      </c>
      <c r="E254" s="124"/>
      <c r="F254" s="125"/>
      <c r="G254" s="138"/>
      <c r="H254" s="140" t="str">
        <f t="shared" si="6"/>
        <v/>
      </c>
      <c r="I254" s="138"/>
      <c r="J254" s="138"/>
      <c r="K254" s="138"/>
      <c r="L254" s="138"/>
      <c r="M254" s="138"/>
      <c r="N254" s="138"/>
      <c r="O254" s="141">
        <f t="shared" si="7"/>
        <v>0</v>
      </c>
    </row>
    <row r="255" spans="1:15" x14ac:dyDescent="0.25">
      <c r="A255" s="542"/>
      <c r="B255" s="542"/>
      <c r="C255" s="106"/>
      <c r="D255" s="128">
        <v>113</v>
      </c>
      <c r="E255" s="124"/>
      <c r="F255" s="125"/>
      <c r="G255" s="137"/>
      <c r="H255" s="140" t="str">
        <f t="shared" si="6"/>
        <v/>
      </c>
      <c r="I255" s="137"/>
      <c r="J255" s="137"/>
      <c r="K255" s="137"/>
      <c r="L255" s="137"/>
      <c r="M255" s="137"/>
      <c r="N255" s="137"/>
      <c r="O255" s="141">
        <f t="shared" si="7"/>
        <v>0</v>
      </c>
    </row>
    <row r="256" spans="1:15" x14ac:dyDescent="0.25">
      <c r="A256" s="542"/>
      <c r="B256" s="542"/>
      <c r="C256" s="106"/>
      <c r="D256" s="128">
        <v>113</v>
      </c>
      <c r="E256" s="124"/>
      <c r="F256" s="125"/>
      <c r="G256" s="137"/>
      <c r="H256" s="140" t="str">
        <f t="shared" si="6"/>
        <v/>
      </c>
      <c r="I256" s="137"/>
      <c r="J256" s="137"/>
      <c r="K256" s="137"/>
      <c r="L256" s="137"/>
      <c r="M256" s="137"/>
      <c r="N256" s="137"/>
      <c r="O256" s="141">
        <f t="shared" si="7"/>
        <v>0</v>
      </c>
    </row>
    <row r="257" spans="1:15" x14ac:dyDescent="0.25">
      <c r="A257" s="542"/>
      <c r="B257" s="542"/>
      <c r="C257" s="106"/>
      <c r="D257" s="128">
        <v>113</v>
      </c>
      <c r="E257" s="124"/>
      <c r="F257" s="125"/>
      <c r="G257" s="138"/>
      <c r="H257" s="140" t="str">
        <f t="shared" si="6"/>
        <v/>
      </c>
      <c r="I257" s="138"/>
      <c r="J257" s="138"/>
      <c r="K257" s="138"/>
      <c r="L257" s="138"/>
      <c r="M257" s="138"/>
      <c r="N257" s="138"/>
      <c r="O257" s="141">
        <f t="shared" si="7"/>
        <v>0</v>
      </c>
    </row>
    <row r="258" spans="1:15" x14ac:dyDescent="0.25">
      <c r="A258" s="542"/>
      <c r="B258" s="542"/>
      <c r="C258" s="106"/>
      <c r="D258" s="128">
        <v>113</v>
      </c>
      <c r="E258" s="124"/>
      <c r="F258" s="125"/>
      <c r="G258" s="138"/>
      <c r="H258" s="140" t="str">
        <f t="shared" si="6"/>
        <v/>
      </c>
      <c r="I258" s="138"/>
      <c r="J258" s="138"/>
      <c r="K258" s="138"/>
      <c r="L258" s="138"/>
      <c r="M258" s="138"/>
      <c r="N258" s="138"/>
      <c r="O258" s="141">
        <f t="shared" si="7"/>
        <v>0</v>
      </c>
    </row>
    <row r="259" spans="1:15" x14ac:dyDescent="0.25">
      <c r="A259" s="542"/>
      <c r="B259" s="542"/>
      <c r="C259" s="106"/>
      <c r="D259" s="128">
        <v>113</v>
      </c>
      <c r="E259" s="124"/>
      <c r="F259" s="125"/>
      <c r="G259" s="138"/>
      <c r="H259" s="140" t="str">
        <f t="shared" si="6"/>
        <v/>
      </c>
      <c r="I259" s="138"/>
      <c r="J259" s="138"/>
      <c r="K259" s="138"/>
      <c r="L259" s="138"/>
      <c r="M259" s="138"/>
      <c r="N259" s="138"/>
      <c r="O259" s="141">
        <f t="shared" si="7"/>
        <v>0</v>
      </c>
    </row>
    <row r="260" spans="1:15" x14ac:dyDescent="0.25">
      <c r="A260" s="542"/>
      <c r="B260" s="542"/>
      <c r="C260" s="106"/>
      <c r="D260" s="128">
        <v>113</v>
      </c>
      <c r="E260" s="124"/>
      <c r="F260" s="125"/>
      <c r="G260" s="138"/>
      <c r="H260" s="140" t="str">
        <f t="shared" si="6"/>
        <v/>
      </c>
      <c r="I260" s="138"/>
      <c r="J260" s="138"/>
      <c r="K260" s="138"/>
      <c r="L260" s="138"/>
      <c r="M260" s="138"/>
      <c r="N260" s="138"/>
      <c r="O260" s="141">
        <f t="shared" si="7"/>
        <v>0</v>
      </c>
    </row>
    <row r="261" spans="1:15" x14ac:dyDescent="0.25">
      <c r="A261" s="542"/>
      <c r="B261" s="542"/>
      <c r="C261" s="106"/>
      <c r="D261" s="128">
        <v>113</v>
      </c>
      <c r="E261" s="124"/>
      <c r="F261" s="125"/>
      <c r="G261" s="138"/>
      <c r="H261" s="140" t="str">
        <f t="shared" si="6"/>
        <v/>
      </c>
      <c r="I261" s="138"/>
      <c r="J261" s="138"/>
      <c r="K261" s="138"/>
      <c r="L261" s="138"/>
      <c r="M261" s="138"/>
      <c r="N261" s="138"/>
      <c r="O261" s="141">
        <f t="shared" si="7"/>
        <v>0</v>
      </c>
    </row>
    <row r="262" spans="1:15" x14ac:dyDescent="0.25">
      <c r="A262" s="542"/>
      <c r="B262" s="542"/>
      <c r="C262" s="106"/>
      <c r="D262" s="128">
        <v>113</v>
      </c>
      <c r="E262" s="124"/>
      <c r="F262" s="125"/>
      <c r="G262" s="138"/>
      <c r="H262" s="140" t="str">
        <f t="shared" si="6"/>
        <v/>
      </c>
      <c r="I262" s="138"/>
      <c r="J262" s="138"/>
      <c r="K262" s="138"/>
      <c r="L262" s="138"/>
      <c r="M262" s="138"/>
      <c r="N262" s="138"/>
      <c r="O262" s="141">
        <f t="shared" si="7"/>
        <v>0</v>
      </c>
    </row>
    <row r="263" spans="1:15" x14ac:dyDescent="0.25">
      <c r="A263" s="542"/>
      <c r="B263" s="542"/>
      <c r="C263" s="106"/>
      <c r="D263" s="128">
        <v>113</v>
      </c>
      <c r="E263" s="124"/>
      <c r="F263" s="125"/>
      <c r="G263" s="137"/>
      <c r="H263" s="140" t="str">
        <f t="shared" si="6"/>
        <v/>
      </c>
      <c r="I263" s="137"/>
      <c r="J263" s="137"/>
      <c r="K263" s="137"/>
      <c r="L263" s="137"/>
      <c r="M263" s="137"/>
      <c r="N263" s="137"/>
      <c r="O263" s="141">
        <f t="shared" si="7"/>
        <v>0</v>
      </c>
    </row>
    <row r="264" spans="1:15" x14ac:dyDescent="0.25">
      <c r="A264" s="542"/>
      <c r="B264" s="542"/>
      <c r="C264" s="106"/>
      <c r="D264" s="128">
        <v>113</v>
      </c>
      <c r="E264" s="124"/>
      <c r="F264" s="125"/>
      <c r="G264" s="138"/>
      <c r="H264" s="140" t="str">
        <f t="shared" si="6"/>
        <v/>
      </c>
      <c r="I264" s="138"/>
      <c r="J264" s="138"/>
      <c r="K264" s="138"/>
      <c r="L264" s="138"/>
      <c r="M264" s="138"/>
      <c r="N264" s="138"/>
      <c r="O264" s="141">
        <f t="shared" si="7"/>
        <v>0</v>
      </c>
    </row>
    <row r="265" spans="1:15" x14ac:dyDescent="0.25">
      <c r="A265" s="542"/>
      <c r="B265" s="542"/>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42"/>
      <c r="B266" s="542"/>
      <c r="C266" s="106"/>
      <c r="D266" s="128">
        <v>113</v>
      </c>
      <c r="E266" s="124"/>
      <c r="F266" s="125"/>
      <c r="G266" s="138"/>
      <c r="H266" s="140" t="str">
        <f t="shared" si="8"/>
        <v/>
      </c>
      <c r="I266" s="138"/>
      <c r="J266" s="138"/>
      <c r="K266" s="138"/>
      <c r="L266" s="138"/>
      <c r="M266" s="138"/>
      <c r="N266" s="138"/>
      <c r="O266" s="141">
        <f t="shared" si="9"/>
        <v>0</v>
      </c>
    </row>
    <row r="267" spans="1:15" x14ac:dyDescent="0.25">
      <c r="A267" s="542"/>
      <c r="B267" s="542"/>
      <c r="C267" s="106"/>
      <c r="D267" s="128">
        <v>113</v>
      </c>
      <c r="E267" s="124"/>
      <c r="F267" s="125"/>
      <c r="G267" s="138"/>
      <c r="H267" s="140" t="str">
        <f t="shared" si="8"/>
        <v/>
      </c>
      <c r="I267" s="138"/>
      <c r="J267" s="138"/>
      <c r="K267" s="138"/>
      <c r="L267" s="138"/>
      <c r="M267" s="138"/>
      <c r="N267" s="138"/>
      <c r="O267" s="141">
        <f t="shared" si="9"/>
        <v>0</v>
      </c>
    </row>
    <row r="268" spans="1:15" x14ac:dyDescent="0.25">
      <c r="A268" s="542"/>
      <c r="B268" s="542"/>
      <c r="C268" s="106"/>
      <c r="D268" s="128">
        <v>113</v>
      </c>
      <c r="E268" s="124"/>
      <c r="F268" s="125"/>
      <c r="G268" s="137"/>
      <c r="H268" s="140" t="str">
        <f t="shared" si="8"/>
        <v/>
      </c>
      <c r="I268" s="137"/>
      <c r="J268" s="137"/>
      <c r="K268" s="137"/>
      <c r="L268" s="137"/>
      <c r="M268" s="137"/>
      <c r="N268" s="137"/>
      <c r="O268" s="141">
        <f t="shared" si="9"/>
        <v>0</v>
      </c>
    </row>
    <row r="269" spans="1:15" x14ac:dyDescent="0.25">
      <c r="A269" s="542"/>
      <c r="B269" s="542"/>
      <c r="C269" s="106"/>
      <c r="D269" s="128">
        <v>113</v>
      </c>
      <c r="E269" s="124"/>
      <c r="F269" s="125"/>
      <c r="G269" s="138"/>
      <c r="H269" s="140" t="str">
        <f t="shared" si="8"/>
        <v/>
      </c>
      <c r="I269" s="138"/>
      <c r="J269" s="138"/>
      <c r="K269" s="138"/>
      <c r="L269" s="138"/>
      <c r="M269" s="138"/>
      <c r="N269" s="138"/>
      <c r="O269" s="141">
        <f t="shared" si="9"/>
        <v>0</v>
      </c>
    </row>
    <row r="270" spans="1:15" x14ac:dyDescent="0.25">
      <c r="A270" s="542"/>
      <c r="B270" s="542"/>
      <c r="C270" s="106"/>
      <c r="D270" s="128">
        <v>113</v>
      </c>
      <c r="E270" s="124"/>
      <c r="F270" s="125"/>
      <c r="G270" s="138"/>
      <c r="H270" s="140" t="str">
        <f t="shared" si="8"/>
        <v/>
      </c>
      <c r="I270" s="138"/>
      <c r="J270" s="138"/>
      <c r="K270" s="138"/>
      <c r="L270" s="138"/>
      <c r="M270" s="138"/>
      <c r="N270" s="138"/>
      <c r="O270" s="141">
        <f t="shared" si="9"/>
        <v>0</v>
      </c>
    </row>
    <row r="271" spans="1:15" x14ac:dyDescent="0.25">
      <c r="A271" s="542"/>
      <c r="B271" s="542"/>
      <c r="C271" s="106"/>
      <c r="D271" s="128">
        <v>113</v>
      </c>
      <c r="E271" s="124"/>
      <c r="F271" s="125"/>
      <c r="G271" s="137"/>
      <c r="H271" s="140" t="str">
        <f t="shared" si="8"/>
        <v/>
      </c>
      <c r="I271" s="137"/>
      <c r="J271" s="137"/>
      <c r="K271" s="137"/>
      <c r="L271" s="137"/>
      <c r="M271" s="137"/>
      <c r="N271" s="137"/>
      <c r="O271" s="141">
        <f t="shared" si="9"/>
        <v>0</v>
      </c>
    </row>
    <row r="272" spans="1:15" x14ac:dyDescent="0.25">
      <c r="A272" s="542"/>
      <c r="B272" s="542"/>
      <c r="C272" s="106"/>
      <c r="D272" s="128">
        <v>113</v>
      </c>
      <c r="E272" s="124"/>
      <c r="F272" s="125"/>
      <c r="G272" s="138"/>
      <c r="H272" s="140" t="str">
        <f t="shared" si="8"/>
        <v/>
      </c>
      <c r="I272" s="138"/>
      <c r="J272" s="138"/>
      <c r="K272" s="138"/>
      <c r="L272" s="138"/>
      <c r="M272" s="138"/>
      <c r="N272" s="138"/>
      <c r="O272" s="141">
        <f t="shared" si="9"/>
        <v>0</v>
      </c>
    </row>
    <row r="273" spans="1:15" x14ac:dyDescent="0.25">
      <c r="A273" s="542"/>
      <c r="B273" s="542"/>
      <c r="C273" s="106"/>
      <c r="D273" s="128">
        <v>113</v>
      </c>
      <c r="E273" s="124"/>
      <c r="F273" s="125"/>
      <c r="G273" s="138"/>
      <c r="H273" s="140" t="str">
        <f t="shared" si="8"/>
        <v/>
      </c>
      <c r="I273" s="138"/>
      <c r="J273" s="138"/>
      <c r="K273" s="138"/>
      <c r="L273" s="138"/>
      <c r="M273" s="138"/>
      <c r="N273" s="138"/>
      <c r="O273" s="141">
        <f t="shared" si="9"/>
        <v>0</v>
      </c>
    </row>
    <row r="274" spans="1:15" x14ac:dyDescent="0.25">
      <c r="A274" s="542"/>
      <c r="B274" s="542"/>
      <c r="C274" s="106"/>
      <c r="D274" s="128">
        <v>113</v>
      </c>
      <c r="E274" s="124"/>
      <c r="F274" s="125"/>
      <c r="G274" s="138"/>
      <c r="H274" s="140" t="str">
        <f t="shared" si="8"/>
        <v/>
      </c>
      <c r="I274" s="138"/>
      <c r="J274" s="138"/>
      <c r="K274" s="138"/>
      <c r="L274" s="138"/>
      <c r="M274" s="138"/>
      <c r="N274" s="138"/>
      <c r="O274" s="141">
        <f t="shared" si="9"/>
        <v>0</v>
      </c>
    </row>
    <row r="275" spans="1:15" x14ac:dyDescent="0.25">
      <c r="A275" s="542"/>
      <c r="B275" s="542"/>
      <c r="C275" s="106"/>
      <c r="D275" s="128">
        <v>113</v>
      </c>
      <c r="E275" s="124"/>
      <c r="F275" s="125"/>
      <c r="G275" s="138"/>
      <c r="H275" s="140" t="str">
        <f t="shared" si="8"/>
        <v/>
      </c>
      <c r="I275" s="138"/>
      <c r="J275" s="138"/>
      <c r="K275" s="138"/>
      <c r="L275" s="138"/>
      <c r="M275" s="138"/>
      <c r="N275" s="138"/>
      <c r="O275" s="141">
        <f t="shared" si="9"/>
        <v>0</v>
      </c>
    </row>
    <row r="276" spans="1:15" x14ac:dyDescent="0.25">
      <c r="A276" s="542"/>
      <c r="B276" s="542"/>
      <c r="C276" s="106"/>
      <c r="D276" s="128">
        <v>113</v>
      </c>
      <c r="E276" s="124"/>
      <c r="F276" s="125"/>
      <c r="G276" s="138"/>
      <c r="H276" s="140" t="str">
        <f t="shared" si="8"/>
        <v/>
      </c>
      <c r="I276" s="138"/>
      <c r="J276" s="138"/>
      <c r="K276" s="138"/>
      <c r="L276" s="138"/>
      <c r="M276" s="138"/>
      <c r="N276" s="138"/>
      <c r="O276" s="141">
        <f t="shared" si="9"/>
        <v>0</v>
      </c>
    </row>
    <row r="277" spans="1:15" x14ac:dyDescent="0.25">
      <c r="A277" s="542"/>
      <c r="B277" s="542"/>
      <c r="C277" s="106"/>
      <c r="D277" s="128">
        <v>113</v>
      </c>
      <c r="E277" s="124"/>
      <c r="F277" s="125"/>
      <c r="G277" s="138"/>
      <c r="H277" s="140" t="str">
        <f t="shared" si="8"/>
        <v/>
      </c>
      <c r="I277" s="138"/>
      <c r="J277" s="138"/>
      <c r="K277" s="138"/>
      <c r="L277" s="138"/>
      <c r="M277" s="138"/>
      <c r="N277" s="138"/>
      <c r="O277" s="141">
        <f t="shared" si="9"/>
        <v>0</v>
      </c>
    </row>
    <row r="278" spans="1:15" x14ac:dyDescent="0.25">
      <c r="A278" s="542"/>
      <c r="B278" s="542"/>
      <c r="C278" s="106"/>
      <c r="D278" s="128">
        <v>113</v>
      </c>
      <c r="E278" s="124"/>
      <c r="F278" s="125"/>
      <c r="G278" s="137"/>
      <c r="H278" s="140" t="str">
        <f t="shared" si="8"/>
        <v/>
      </c>
      <c r="I278" s="137"/>
      <c r="J278" s="137"/>
      <c r="K278" s="137"/>
      <c r="L278" s="137"/>
      <c r="M278" s="137"/>
      <c r="N278" s="137"/>
      <c r="O278" s="141">
        <f t="shared" si="9"/>
        <v>0</v>
      </c>
    </row>
    <row r="279" spans="1:15" x14ac:dyDescent="0.25">
      <c r="A279" s="542"/>
      <c r="B279" s="542"/>
      <c r="C279" s="106"/>
      <c r="D279" s="128">
        <v>113</v>
      </c>
      <c r="E279" s="124"/>
      <c r="F279" s="125"/>
      <c r="G279" s="138"/>
      <c r="H279" s="140" t="str">
        <f t="shared" si="8"/>
        <v/>
      </c>
      <c r="I279" s="138"/>
      <c r="J279" s="138"/>
      <c r="K279" s="138"/>
      <c r="L279" s="138"/>
      <c r="M279" s="138"/>
      <c r="N279" s="138"/>
      <c r="O279" s="141">
        <f t="shared" si="9"/>
        <v>0</v>
      </c>
    </row>
    <row r="280" spans="1:15" x14ac:dyDescent="0.25">
      <c r="A280" s="542"/>
      <c r="B280" s="542"/>
      <c r="C280" s="106"/>
      <c r="D280" s="128">
        <v>113</v>
      </c>
      <c r="E280" s="124"/>
      <c r="F280" s="125"/>
      <c r="G280" s="137"/>
      <c r="H280" s="140" t="str">
        <f t="shared" si="8"/>
        <v/>
      </c>
      <c r="I280" s="137"/>
      <c r="J280" s="137"/>
      <c r="K280" s="137"/>
      <c r="L280" s="137"/>
      <c r="M280" s="137"/>
      <c r="N280" s="137"/>
      <c r="O280" s="141">
        <f t="shared" si="9"/>
        <v>0</v>
      </c>
    </row>
    <row r="281" spans="1:15" x14ac:dyDescent="0.25">
      <c r="A281" s="542"/>
      <c r="B281" s="542"/>
      <c r="C281" s="106"/>
      <c r="D281" s="128">
        <v>113</v>
      </c>
      <c r="E281" s="124"/>
      <c r="F281" s="125"/>
      <c r="G281" s="138"/>
      <c r="H281" s="140" t="str">
        <f t="shared" si="8"/>
        <v/>
      </c>
      <c r="I281" s="138"/>
      <c r="J281" s="138"/>
      <c r="K281" s="138"/>
      <c r="L281" s="138"/>
      <c r="M281" s="138"/>
      <c r="N281" s="138"/>
      <c r="O281" s="141">
        <f t="shared" si="9"/>
        <v>0</v>
      </c>
    </row>
    <row r="282" spans="1:15" x14ac:dyDescent="0.25">
      <c r="A282" s="542"/>
      <c r="B282" s="542"/>
      <c r="C282" s="106"/>
      <c r="D282" s="128">
        <v>113</v>
      </c>
      <c r="E282" s="124"/>
      <c r="F282" s="125"/>
      <c r="G282" s="138"/>
      <c r="H282" s="140" t="str">
        <f t="shared" si="8"/>
        <v/>
      </c>
      <c r="I282" s="138"/>
      <c r="J282" s="138"/>
      <c r="K282" s="138"/>
      <c r="L282" s="138"/>
      <c r="M282" s="138"/>
      <c r="N282" s="138"/>
      <c r="O282" s="141">
        <f t="shared" si="9"/>
        <v>0</v>
      </c>
    </row>
    <row r="283" spans="1:15" x14ac:dyDescent="0.25">
      <c r="A283" s="542"/>
      <c r="B283" s="542"/>
      <c r="C283" s="106"/>
      <c r="D283" s="128">
        <v>113</v>
      </c>
      <c r="E283" s="124"/>
      <c r="F283" s="125"/>
      <c r="G283" s="138"/>
      <c r="H283" s="140" t="str">
        <f t="shared" si="8"/>
        <v/>
      </c>
      <c r="I283" s="138"/>
      <c r="J283" s="138"/>
      <c r="K283" s="138"/>
      <c r="L283" s="138"/>
      <c r="M283" s="138"/>
      <c r="N283" s="138"/>
      <c r="O283" s="141">
        <f t="shared" si="9"/>
        <v>0</v>
      </c>
    </row>
    <row r="284" spans="1:15" x14ac:dyDescent="0.25">
      <c r="A284" s="542"/>
      <c r="B284" s="542"/>
      <c r="C284" s="106"/>
      <c r="D284" s="128">
        <v>113</v>
      </c>
      <c r="E284" s="124"/>
      <c r="F284" s="125"/>
      <c r="G284" s="138"/>
      <c r="H284" s="140" t="str">
        <f t="shared" si="8"/>
        <v/>
      </c>
      <c r="I284" s="138"/>
      <c r="J284" s="138"/>
      <c r="K284" s="138"/>
      <c r="L284" s="138"/>
      <c r="M284" s="138"/>
      <c r="N284" s="138"/>
      <c r="O284" s="141">
        <f t="shared" si="9"/>
        <v>0</v>
      </c>
    </row>
    <row r="285" spans="1:15" x14ac:dyDescent="0.25">
      <c r="A285" s="542"/>
      <c r="B285" s="542"/>
      <c r="C285" s="106"/>
      <c r="D285" s="128">
        <v>113</v>
      </c>
      <c r="E285" s="124"/>
      <c r="F285" s="125"/>
      <c r="G285" s="138"/>
      <c r="H285" s="140" t="str">
        <f t="shared" si="8"/>
        <v/>
      </c>
      <c r="I285" s="138"/>
      <c r="J285" s="138"/>
      <c r="K285" s="138"/>
      <c r="L285" s="138"/>
      <c r="M285" s="138"/>
      <c r="N285" s="138"/>
      <c r="O285" s="141">
        <f t="shared" si="9"/>
        <v>0</v>
      </c>
    </row>
    <row r="286" spans="1:15" x14ac:dyDescent="0.25">
      <c r="A286" s="542"/>
      <c r="B286" s="542"/>
      <c r="C286" s="106"/>
      <c r="D286" s="128">
        <v>113</v>
      </c>
      <c r="E286" s="124"/>
      <c r="F286" s="125"/>
      <c r="G286" s="138"/>
      <c r="H286" s="140" t="str">
        <f t="shared" si="8"/>
        <v/>
      </c>
      <c r="I286" s="138"/>
      <c r="J286" s="138"/>
      <c r="K286" s="138"/>
      <c r="L286" s="138"/>
      <c r="M286" s="138"/>
      <c r="N286" s="138"/>
      <c r="O286" s="141">
        <f t="shared" si="9"/>
        <v>0</v>
      </c>
    </row>
    <row r="287" spans="1:15" x14ac:dyDescent="0.25">
      <c r="A287" s="542"/>
      <c r="B287" s="542"/>
      <c r="C287" s="106"/>
      <c r="D287" s="128">
        <v>113</v>
      </c>
      <c r="E287" s="124"/>
      <c r="F287" s="125"/>
      <c r="G287" s="138"/>
      <c r="H287" s="140" t="str">
        <f t="shared" si="8"/>
        <v/>
      </c>
      <c r="I287" s="138"/>
      <c r="J287" s="138"/>
      <c r="K287" s="138"/>
      <c r="L287" s="138"/>
      <c r="M287" s="138"/>
      <c r="N287" s="138"/>
      <c r="O287" s="141">
        <f t="shared" si="9"/>
        <v>0</v>
      </c>
    </row>
    <row r="288" spans="1:15" x14ac:dyDescent="0.25">
      <c r="A288" s="542"/>
      <c r="B288" s="542"/>
      <c r="C288" s="106"/>
      <c r="D288" s="128">
        <v>113</v>
      </c>
      <c r="E288" s="124"/>
      <c r="F288" s="125"/>
      <c r="G288" s="138"/>
      <c r="H288" s="140" t="str">
        <f t="shared" si="8"/>
        <v/>
      </c>
      <c r="I288" s="138"/>
      <c r="J288" s="138"/>
      <c r="K288" s="138"/>
      <c r="L288" s="138"/>
      <c r="M288" s="138"/>
      <c r="N288" s="138"/>
      <c r="O288" s="141">
        <f t="shared" si="9"/>
        <v>0</v>
      </c>
    </row>
    <row r="289" spans="1:15" x14ac:dyDescent="0.25">
      <c r="A289" s="542"/>
      <c r="B289" s="542"/>
      <c r="C289" s="106"/>
      <c r="D289" s="128">
        <v>113</v>
      </c>
      <c r="E289" s="124"/>
      <c r="F289" s="125"/>
      <c r="G289" s="137"/>
      <c r="H289" s="140" t="str">
        <f t="shared" si="8"/>
        <v/>
      </c>
      <c r="I289" s="137"/>
      <c r="J289" s="137"/>
      <c r="K289" s="137"/>
      <c r="L289" s="137"/>
      <c r="M289" s="137"/>
      <c r="N289" s="137"/>
      <c r="O289" s="141">
        <f t="shared" si="9"/>
        <v>0</v>
      </c>
    </row>
    <row r="290" spans="1:15" x14ac:dyDescent="0.25">
      <c r="A290" s="542"/>
      <c r="B290" s="542"/>
      <c r="C290" s="106"/>
      <c r="D290" s="128">
        <v>113</v>
      </c>
      <c r="E290" s="124"/>
      <c r="F290" s="125"/>
      <c r="G290" s="138"/>
      <c r="H290" s="140" t="str">
        <f t="shared" si="8"/>
        <v/>
      </c>
      <c r="I290" s="138"/>
      <c r="J290" s="138"/>
      <c r="K290" s="138"/>
      <c r="L290" s="138"/>
      <c r="M290" s="138"/>
      <c r="N290" s="138"/>
      <c r="O290" s="141">
        <f t="shared" si="9"/>
        <v>0</v>
      </c>
    </row>
    <row r="291" spans="1:15" x14ac:dyDescent="0.25">
      <c r="A291" s="542"/>
      <c r="B291" s="542"/>
      <c r="C291" s="106"/>
      <c r="D291" s="128">
        <v>113</v>
      </c>
      <c r="E291" s="124"/>
      <c r="F291" s="125"/>
      <c r="G291" s="138"/>
      <c r="H291" s="140" t="str">
        <f t="shared" si="8"/>
        <v/>
      </c>
      <c r="I291" s="138"/>
      <c r="J291" s="138"/>
      <c r="K291" s="138"/>
      <c r="L291" s="138"/>
      <c r="M291" s="138"/>
      <c r="N291" s="138"/>
      <c r="O291" s="141">
        <f t="shared" si="9"/>
        <v>0</v>
      </c>
    </row>
    <row r="292" spans="1:15" x14ac:dyDescent="0.25">
      <c r="A292" s="542"/>
      <c r="B292" s="542"/>
      <c r="C292" s="106"/>
      <c r="D292" s="128">
        <v>113</v>
      </c>
      <c r="E292" s="124"/>
      <c r="F292" s="125"/>
      <c r="G292" s="138"/>
      <c r="H292" s="140" t="str">
        <f t="shared" si="8"/>
        <v/>
      </c>
      <c r="I292" s="138"/>
      <c r="J292" s="138"/>
      <c r="K292" s="138"/>
      <c r="L292" s="138"/>
      <c r="M292" s="138"/>
      <c r="N292" s="138"/>
      <c r="O292" s="141">
        <f t="shared" si="9"/>
        <v>0</v>
      </c>
    </row>
    <row r="293" spans="1:15" x14ac:dyDescent="0.25">
      <c r="A293" s="542"/>
      <c r="B293" s="542"/>
      <c r="C293" s="106"/>
      <c r="D293" s="128">
        <v>113</v>
      </c>
      <c r="E293" s="124"/>
      <c r="F293" s="125"/>
      <c r="G293" s="138"/>
      <c r="H293" s="140" t="str">
        <f t="shared" si="8"/>
        <v/>
      </c>
      <c r="I293" s="138"/>
      <c r="J293" s="138"/>
      <c r="K293" s="138"/>
      <c r="L293" s="138"/>
      <c r="M293" s="138"/>
      <c r="N293" s="138"/>
      <c r="O293" s="141">
        <f t="shared" si="9"/>
        <v>0</v>
      </c>
    </row>
    <row r="294" spans="1:15" x14ac:dyDescent="0.25">
      <c r="A294" s="542"/>
      <c r="B294" s="542"/>
      <c r="C294" s="106"/>
      <c r="D294" s="128">
        <v>113</v>
      </c>
      <c r="E294" s="124"/>
      <c r="F294" s="125"/>
      <c r="G294" s="138"/>
      <c r="H294" s="140" t="str">
        <f t="shared" si="8"/>
        <v/>
      </c>
      <c r="I294" s="138"/>
      <c r="J294" s="138"/>
      <c r="K294" s="138"/>
      <c r="L294" s="138"/>
      <c r="M294" s="138"/>
      <c r="N294" s="138"/>
      <c r="O294" s="141">
        <f t="shared" si="9"/>
        <v>0</v>
      </c>
    </row>
    <row r="295" spans="1:15" x14ac:dyDescent="0.25">
      <c r="A295" s="542"/>
      <c r="B295" s="542"/>
      <c r="C295" s="106"/>
      <c r="D295" s="128">
        <v>113</v>
      </c>
      <c r="E295" s="124"/>
      <c r="F295" s="125"/>
      <c r="G295" s="138"/>
      <c r="H295" s="140" t="str">
        <f t="shared" si="8"/>
        <v/>
      </c>
      <c r="I295" s="138"/>
      <c r="J295" s="138"/>
      <c r="K295" s="138"/>
      <c r="L295" s="138"/>
      <c r="M295" s="138"/>
      <c r="N295" s="138"/>
      <c r="O295" s="141">
        <f t="shared" si="9"/>
        <v>0</v>
      </c>
    </row>
    <row r="296" spans="1:15" x14ac:dyDescent="0.25">
      <c r="A296" s="542"/>
      <c r="B296" s="542"/>
      <c r="C296" s="106"/>
      <c r="D296" s="128">
        <v>113</v>
      </c>
      <c r="E296" s="124"/>
      <c r="F296" s="125"/>
      <c r="G296" s="138"/>
      <c r="H296" s="140" t="str">
        <f t="shared" si="8"/>
        <v/>
      </c>
      <c r="I296" s="138"/>
      <c r="J296" s="138"/>
      <c r="K296" s="138"/>
      <c r="L296" s="138"/>
      <c r="M296" s="138"/>
      <c r="N296" s="138"/>
      <c r="O296" s="141">
        <f t="shared" si="9"/>
        <v>0</v>
      </c>
    </row>
    <row r="297" spans="1:15" x14ac:dyDescent="0.25">
      <c r="A297" s="542"/>
      <c r="B297" s="542"/>
      <c r="C297" s="106"/>
      <c r="D297" s="128">
        <v>113</v>
      </c>
      <c r="E297" s="124"/>
      <c r="F297" s="125"/>
      <c r="G297" s="138"/>
      <c r="H297" s="140" t="str">
        <f t="shared" si="8"/>
        <v/>
      </c>
      <c r="I297" s="138"/>
      <c r="J297" s="138"/>
      <c r="K297" s="138"/>
      <c r="L297" s="138"/>
      <c r="M297" s="138"/>
      <c r="N297" s="138"/>
      <c r="O297" s="141">
        <f t="shared" si="9"/>
        <v>0</v>
      </c>
    </row>
    <row r="298" spans="1:15" x14ac:dyDescent="0.25">
      <c r="A298" s="542"/>
      <c r="B298" s="542"/>
      <c r="C298" s="106"/>
      <c r="D298" s="128">
        <v>113</v>
      </c>
      <c r="E298" s="124"/>
      <c r="F298" s="125"/>
      <c r="G298" s="138"/>
      <c r="H298" s="140" t="str">
        <f t="shared" si="8"/>
        <v/>
      </c>
      <c r="I298" s="138"/>
      <c r="J298" s="138"/>
      <c r="K298" s="138"/>
      <c r="L298" s="138"/>
      <c r="M298" s="138"/>
      <c r="N298" s="138"/>
      <c r="O298" s="141">
        <f t="shared" si="9"/>
        <v>0</v>
      </c>
    </row>
    <row r="299" spans="1:15" x14ac:dyDescent="0.25">
      <c r="A299" s="542"/>
      <c r="B299" s="542"/>
      <c r="C299" s="106"/>
      <c r="D299" s="128">
        <v>113</v>
      </c>
      <c r="E299" s="124"/>
      <c r="F299" s="125"/>
      <c r="G299" s="137"/>
      <c r="H299" s="140" t="str">
        <f t="shared" si="8"/>
        <v/>
      </c>
      <c r="I299" s="137"/>
      <c r="J299" s="137"/>
      <c r="K299" s="137"/>
      <c r="L299" s="137"/>
      <c r="M299" s="137"/>
      <c r="N299" s="137"/>
      <c r="O299" s="141">
        <f t="shared" si="9"/>
        <v>0</v>
      </c>
    </row>
    <row r="300" spans="1:15" x14ac:dyDescent="0.25">
      <c r="A300" s="542"/>
      <c r="B300" s="542"/>
      <c r="C300" s="106"/>
      <c r="D300" s="128">
        <v>113</v>
      </c>
      <c r="E300" s="124"/>
      <c r="F300" s="125"/>
      <c r="G300" s="138"/>
      <c r="H300" s="140" t="str">
        <f t="shared" si="8"/>
        <v/>
      </c>
      <c r="I300" s="138"/>
      <c r="J300" s="138"/>
      <c r="K300" s="138"/>
      <c r="L300" s="138"/>
      <c r="M300" s="138"/>
      <c r="N300" s="138"/>
      <c r="O300" s="141">
        <f t="shared" si="9"/>
        <v>0</v>
      </c>
    </row>
    <row r="301" spans="1:15" x14ac:dyDescent="0.25">
      <c r="A301" s="542"/>
      <c r="B301" s="542"/>
      <c r="C301" s="106"/>
      <c r="D301" s="128">
        <v>113</v>
      </c>
      <c r="E301" s="124"/>
      <c r="F301" s="125"/>
      <c r="G301" s="138"/>
      <c r="H301" s="140" t="str">
        <f t="shared" si="8"/>
        <v/>
      </c>
      <c r="I301" s="138"/>
      <c r="J301" s="138"/>
      <c r="K301" s="138"/>
      <c r="L301" s="138"/>
      <c r="M301" s="138"/>
      <c r="N301" s="138"/>
      <c r="O301" s="141">
        <f t="shared" si="9"/>
        <v>0</v>
      </c>
    </row>
    <row r="302" spans="1:15" x14ac:dyDescent="0.25">
      <c r="A302" s="542"/>
      <c r="B302" s="542"/>
      <c r="C302" s="106"/>
      <c r="D302" s="128">
        <v>113</v>
      </c>
      <c r="E302" s="124"/>
      <c r="F302" s="125"/>
      <c r="G302" s="138"/>
      <c r="H302" s="140" t="str">
        <f t="shared" si="8"/>
        <v/>
      </c>
      <c r="I302" s="138"/>
      <c r="J302" s="138"/>
      <c r="K302" s="138"/>
      <c r="L302" s="138"/>
      <c r="M302" s="138"/>
      <c r="N302" s="138"/>
      <c r="O302" s="141">
        <f t="shared" si="9"/>
        <v>0</v>
      </c>
    </row>
    <row r="303" spans="1:15" x14ac:dyDescent="0.25">
      <c r="A303" s="542"/>
      <c r="B303" s="542"/>
      <c r="C303" s="106"/>
      <c r="D303" s="128">
        <v>113</v>
      </c>
      <c r="E303" s="124"/>
      <c r="F303" s="125"/>
      <c r="G303" s="138"/>
      <c r="H303" s="140" t="str">
        <f t="shared" si="8"/>
        <v/>
      </c>
      <c r="I303" s="138"/>
      <c r="J303" s="138"/>
      <c r="K303" s="138"/>
      <c r="L303" s="138"/>
      <c r="M303" s="138"/>
      <c r="N303" s="138"/>
      <c r="O303" s="141">
        <f t="shared" si="9"/>
        <v>0</v>
      </c>
    </row>
    <row r="304" spans="1:15" x14ac:dyDescent="0.25">
      <c r="A304" s="542"/>
      <c r="B304" s="542"/>
      <c r="C304" s="106"/>
      <c r="D304" s="128">
        <v>113</v>
      </c>
      <c r="E304" s="124"/>
      <c r="F304" s="125"/>
      <c r="G304" s="137"/>
      <c r="H304" s="140" t="str">
        <f t="shared" si="8"/>
        <v/>
      </c>
      <c r="I304" s="137"/>
      <c r="J304" s="137"/>
      <c r="K304" s="137"/>
      <c r="L304" s="137"/>
      <c r="M304" s="137"/>
      <c r="N304" s="137"/>
      <c r="O304" s="141">
        <f t="shared" si="9"/>
        <v>0</v>
      </c>
    </row>
    <row r="305" spans="1:15" x14ac:dyDescent="0.25">
      <c r="A305" s="542"/>
      <c r="B305" s="542"/>
      <c r="C305" s="106"/>
      <c r="D305" s="128">
        <v>113</v>
      </c>
      <c r="E305" s="124"/>
      <c r="F305" s="125"/>
      <c r="G305" s="138"/>
      <c r="H305" s="140" t="str">
        <f t="shared" si="8"/>
        <v/>
      </c>
      <c r="I305" s="138"/>
      <c r="J305" s="138"/>
      <c r="K305" s="138"/>
      <c r="L305" s="138"/>
      <c r="M305" s="138"/>
      <c r="N305" s="138"/>
      <c r="O305" s="141">
        <f t="shared" si="9"/>
        <v>0</v>
      </c>
    </row>
    <row r="306" spans="1:15" x14ac:dyDescent="0.25">
      <c r="A306" s="542"/>
      <c r="B306" s="542"/>
      <c r="C306" s="106"/>
      <c r="D306" s="128">
        <v>113</v>
      </c>
      <c r="E306" s="124"/>
      <c r="F306" s="125"/>
      <c r="G306" s="138"/>
      <c r="H306" s="140" t="str">
        <f t="shared" si="8"/>
        <v/>
      </c>
      <c r="I306" s="138"/>
      <c r="J306" s="138"/>
      <c r="K306" s="138"/>
      <c r="L306" s="138"/>
      <c r="M306" s="138"/>
      <c r="N306" s="138"/>
      <c r="O306" s="141">
        <f t="shared" si="9"/>
        <v>0</v>
      </c>
    </row>
    <row r="307" spans="1:15" x14ac:dyDescent="0.25">
      <c r="A307" s="542"/>
      <c r="B307" s="542"/>
      <c r="C307" s="106"/>
      <c r="D307" s="128">
        <v>113</v>
      </c>
      <c r="E307" s="124"/>
      <c r="F307" s="125"/>
      <c r="G307" s="138"/>
      <c r="H307" s="140" t="str">
        <f t="shared" si="8"/>
        <v/>
      </c>
      <c r="I307" s="138"/>
      <c r="J307" s="138"/>
      <c r="K307" s="138"/>
      <c r="L307" s="138"/>
      <c r="M307" s="138"/>
      <c r="N307" s="138"/>
      <c r="O307" s="141">
        <f t="shared" si="9"/>
        <v>0</v>
      </c>
    </row>
    <row r="308" spans="1:15" x14ac:dyDescent="0.25">
      <c r="A308" s="542"/>
      <c r="B308" s="542"/>
      <c r="C308" s="106"/>
      <c r="D308" s="128">
        <v>113</v>
      </c>
      <c r="E308" s="124"/>
      <c r="F308" s="125"/>
      <c r="G308" s="138"/>
      <c r="H308" s="140" t="str">
        <f t="shared" si="8"/>
        <v/>
      </c>
      <c r="I308" s="138"/>
      <c r="J308" s="138"/>
      <c r="K308" s="138"/>
      <c r="L308" s="138"/>
      <c r="M308" s="138"/>
      <c r="N308" s="138"/>
      <c r="O308" s="141">
        <f t="shared" si="9"/>
        <v>0</v>
      </c>
    </row>
    <row r="309" spans="1:15" x14ac:dyDescent="0.25">
      <c r="A309" s="542"/>
      <c r="B309" s="542"/>
      <c r="C309" s="106"/>
      <c r="D309" s="128">
        <v>113</v>
      </c>
      <c r="E309" s="124"/>
      <c r="F309" s="125"/>
      <c r="G309" s="138"/>
      <c r="H309" s="140" t="str">
        <f t="shared" si="8"/>
        <v/>
      </c>
      <c r="I309" s="138"/>
      <c r="J309" s="138"/>
      <c r="K309" s="138"/>
      <c r="L309" s="138"/>
      <c r="M309" s="138"/>
      <c r="N309" s="138"/>
      <c r="O309" s="141">
        <f t="shared" si="9"/>
        <v>0</v>
      </c>
    </row>
    <row r="310" spans="1:15" x14ac:dyDescent="0.25">
      <c r="A310" s="542"/>
      <c r="B310" s="542"/>
      <c r="C310" s="106"/>
      <c r="D310" s="128">
        <v>113</v>
      </c>
      <c r="E310" s="124"/>
      <c r="F310" s="125"/>
      <c r="G310" s="138"/>
      <c r="H310" s="140" t="str">
        <f t="shared" si="8"/>
        <v/>
      </c>
      <c r="I310" s="138"/>
      <c r="J310" s="138"/>
      <c r="K310" s="138"/>
      <c r="L310" s="138"/>
      <c r="M310" s="138"/>
      <c r="N310" s="138"/>
      <c r="O310" s="141">
        <f t="shared" si="9"/>
        <v>0</v>
      </c>
    </row>
    <row r="311" spans="1:15" x14ac:dyDescent="0.25">
      <c r="A311" s="542"/>
      <c r="B311" s="542"/>
      <c r="C311" s="106"/>
      <c r="D311" s="128">
        <v>113</v>
      </c>
      <c r="E311" s="124"/>
      <c r="F311" s="125"/>
      <c r="G311" s="138"/>
      <c r="H311" s="140" t="str">
        <f t="shared" si="8"/>
        <v/>
      </c>
      <c r="I311" s="138"/>
      <c r="J311" s="138"/>
      <c r="K311" s="138"/>
      <c r="L311" s="138"/>
      <c r="M311" s="138"/>
      <c r="N311" s="138"/>
      <c r="O311" s="141">
        <f t="shared" si="9"/>
        <v>0</v>
      </c>
    </row>
    <row r="312" spans="1:15" x14ac:dyDescent="0.25">
      <c r="A312" s="542"/>
      <c r="B312" s="542"/>
      <c r="C312" s="106"/>
      <c r="D312" s="128">
        <v>113</v>
      </c>
      <c r="E312" s="124"/>
      <c r="F312" s="125"/>
      <c r="G312" s="138"/>
      <c r="H312" s="140" t="str">
        <f t="shared" si="8"/>
        <v/>
      </c>
      <c r="I312" s="138"/>
      <c r="J312" s="138"/>
      <c r="K312" s="138"/>
      <c r="L312" s="138"/>
      <c r="M312" s="138"/>
      <c r="N312" s="138"/>
      <c r="O312" s="141">
        <f t="shared" si="9"/>
        <v>0</v>
      </c>
    </row>
    <row r="313" spans="1:15" x14ac:dyDescent="0.25">
      <c r="A313" s="542"/>
      <c r="B313" s="542"/>
      <c r="C313" s="106"/>
      <c r="D313" s="128">
        <v>113</v>
      </c>
      <c r="E313" s="124"/>
      <c r="F313" s="125"/>
      <c r="G313" s="138"/>
      <c r="H313" s="140" t="str">
        <f t="shared" si="8"/>
        <v/>
      </c>
      <c r="I313" s="138"/>
      <c r="J313" s="138"/>
      <c r="K313" s="138"/>
      <c r="L313" s="138"/>
      <c r="M313" s="138"/>
      <c r="N313" s="138"/>
      <c r="O313" s="141">
        <f t="shared" si="9"/>
        <v>0</v>
      </c>
    </row>
    <row r="314" spans="1:15" x14ac:dyDescent="0.25">
      <c r="A314" s="542"/>
      <c r="B314" s="542"/>
      <c r="C314" s="106"/>
      <c r="D314" s="128">
        <v>113</v>
      </c>
      <c r="E314" s="124"/>
      <c r="F314" s="125"/>
      <c r="G314" s="137"/>
      <c r="H314" s="140" t="str">
        <f t="shared" si="8"/>
        <v/>
      </c>
      <c r="I314" s="137"/>
      <c r="J314" s="137"/>
      <c r="K314" s="137"/>
      <c r="L314" s="137"/>
      <c r="M314" s="137"/>
      <c r="N314" s="137"/>
      <c r="O314" s="141">
        <f t="shared" si="9"/>
        <v>0</v>
      </c>
    </row>
    <row r="315" spans="1:15" x14ac:dyDescent="0.25">
      <c r="A315" s="542"/>
      <c r="B315" s="542"/>
      <c r="C315" s="106"/>
      <c r="D315" s="128">
        <v>113</v>
      </c>
      <c r="E315" s="124"/>
      <c r="F315" s="125"/>
      <c r="G315" s="137"/>
      <c r="H315" s="140" t="str">
        <f t="shared" si="8"/>
        <v/>
      </c>
      <c r="I315" s="137"/>
      <c r="J315" s="137"/>
      <c r="K315" s="137"/>
      <c r="L315" s="137"/>
      <c r="M315" s="137"/>
      <c r="N315" s="137"/>
      <c r="O315" s="141">
        <f t="shared" si="9"/>
        <v>0</v>
      </c>
    </row>
    <row r="316" spans="1:15" x14ac:dyDescent="0.25">
      <c r="A316" s="542"/>
      <c r="B316" s="542"/>
      <c r="C316" s="106"/>
      <c r="D316" s="128">
        <v>113</v>
      </c>
      <c r="E316" s="124"/>
      <c r="F316" s="125"/>
      <c r="G316" s="138"/>
      <c r="H316" s="140" t="str">
        <f t="shared" si="8"/>
        <v/>
      </c>
      <c r="I316" s="138"/>
      <c r="J316" s="138"/>
      <c r="K316" s="138"/>
      <c r="L316" s="138"/>
      <c r="M316" s="138"/>
      <c r="N316" s="138"/>
      <c r="O316" s="141">
        <f t="shared" si="9"/>
        <v>0</v>
      </c>
    </row>
    <row r="317" spans="1:15" x14ac:dyDescent="0.25">
      <c r="A317" s="542"/>
      <c r="B317" s="542"/>
      <c r="C317" s="106"/>
      <c r="D317" s="128">
        <v>113</v>
      </c>
      <c r="E317" s="124"/>
      <c r="F317" s="125"/>
      <c r="G317" s="138"/>
      <c r="H317" s="140" t="str">
        <f t="shared" si="8"/>
        <v/>
      </c>
      <c r="I317" s="138"/>
      <c r="J317" s="138"/>
      <c r="K317" s="138"/>
      <c r="L317" s="138"/>
      <c r="M317" s="138"/>
      <c r="N317" s="138"/>
      <c r="O317" s="141">
        <f t="shared" si="9"/>
        <v>0</v>
      </c>
    </row>
    <row r="318" spans="1:15" x14ac:dyDescent="0.25">
      <c r="A318" s="542"/>
      <c r="B318" s="542"/>
      <c r="C318" s="106"/>
      <c r="D318" s="128">
        <v>113</v>
      </c>
      <c r="E318" s="124"/>
      <c r="F318" s="125"/>
      <c r="G318" s="138"/>
      <c r="H318" s="140" t="str">
        <f t="shared" si="8"/>
        <v/>
      </c>
      <c r="I318" s="138"/>
      <c r="J318" s="138"/>
      <c r="K318" s="138"/>
      <c r="L318" s="138"/>
      <c r="M318" s="138"/>
      <c r="N318" s="138"/>
      <c r="O318" s="141">
        <f t="shared" si="9"/>
        <v>0</v>
      </c>
    </row>
    <row r="319" spans="1:15" x14ac:dyDescent="0.25">
      <c r="A319" s="542"/>
      <c r="B319" s="542"/>
      <c r="C319" s="106"/>
      <c r="D319" s="128">
        <v>113</v>
      </c>
      <c r="E319" s="124"/>
      <c r="F319" s="125"/>
      <c r="G319" s="138"/>
      <c r="H319" s="140" t="str">
        <f t="shared" si="8"/>
        <v/>
      </c>
      <c r="I319" s="138"/>
      <c r="J319" s="138"/>
      <c r="K319" s="138"/>
      <c r="L319" s="138"/>
      <c r="M319" s="138"/>
      <c r="N319" s="138"/>
      <c r="O319" s="141">
        <f t="shared" si="9"/>
        <v>0</v>
      </c>
    </row>
    <row r="320" spans="1:15" x14ac:dyDescent="0.25">
      <c r="A320" s="542"/>
      <c r="B320" s="542"/>
      <c r="C320" s="106"/>
      <c r="D320" s="128">
        <v>113</v>
      </c>
      <c r="E320" s="124"/>
      <c r="F320" s="125"/>
      <c r="G320" s="138"/>
      <c r="H320" s="140" t="str">
        <f t="shared" si="8"/>
        <v/>
      </c>
      <c r="I320" s="138"/>
      <c r="J320" s="138"/>
      <c r="K320" s="138"/>
      <c r="L320" s="138"/>
      <c r="M320" s="138"/>
      <c r="N320" s="138"/>
      <c r="O320" s="141">
        <f t="shared" si="9"/>
        <v>0</v>
      </c>
    </row>
    <row r="321" spans="1:15" x14ac:dyDescent="0.25">
      <c r="A321" s="542"/>
      <c r="B321" s="542"/>
      <c r="C321" s="106"/>
      <c r="D321" s="128">
        <v>113</v>
      </c>
      <c r="E321" s="124"/>
      <c r="F321" s="125"/>
      <c r="G321" s="138"/>
      <c r="H321" s="140" t="str">
        <f t="shared" si="8"/>
        <v/>
      </c>
      <c r="I321" s="138"/>
      <c r="J321" s="138"/>
      <c r="K321" s="138"/>
      <c r="L321" s="138"/>
      <c r="M321" s="138"/>
      <c r="N321" s="138"/>
      <c r="O321" s="141">
        <f t="shared" si="9"/>
        <v>0</v>
      </c>
    </row>
    <row r="322" spans="1:15" x14ac:dyDescent="0.25">
      <c r="A322" s="542"/>
      <c r="B322" s="542"/>
      <c r="C322" s="106"/>
      <c r="D322" s="128">
        <v>113</v>
      </c>
      <c r="E322" s="124"/>
      <c r="F322" s="125"/>
      <c r="G322" s="138"/>
      <c r="H322" s="140" t="str">
        <f t="shared" si="8"/>
        <v/>
      </c>
      <c r="I322" s="138"/>
      <c r="J322" s="138"/>
      <c r="K322" s="138"/>
      <c r="L322" s="138"/>
      <c r="M322" s="138"/>
      <c r="N322" s="138"/>
      <c r="O322" s="141">
        <f t="shared" si="9"/>
        <v>0</v>
      </c>
    </row>
    <row r="323" spans="1:15" x14ac:dyDescent="0.25">
      <c r="A323" s="542"/>
      <c r="B323" s="542"/>
      <c r="C323" s="106"/>
      <c r="D323" s="128">
        <v>113</v>
      </c>
      <c r="E323" s="124"/>
      <c r="F323" s="125"/>
      <c r="G323" s="138"/>
      <c r="H323" s="140" t="str">
        <f t="shared" si="8"/>
        <v/>
      </c>
      <c r="I323" s="138"/>
      <c r="J323" s="138"/>
      <c r="K323" s="138"/>
      <c r="L323" s="138"/>
      <c r="M323" s="138"/>
      <c r="N323" s="138"/>
      <c r="O323" s="141">
        <f t="shared" si="9"/>
        <v>0</v>
      </c>
    </row>
    <row r="324" spans="1:15" x14ac:dyDescent="0.25">
      <c r="A324" s="542"/>
      <c r="B324" s="542"/>
      <c r="C324" s="106"/>
      <c r="D324" s="128">
        <v>113</v>
      </c>
      <c r="E324" s="124"/>
      <c r="F324" s="125"/>
      <c r="G324" s="137"/>
      <c r="H324" s="140" t="str">
        <f t="shared" si="8"/>
        <v/>
      </c>
      <c r="I324" s="137"/>
      <c r="J324" s="137"/>
      <c r="K324" s="137"/>
      <c r="L324" s="137"/>
      <c r="M324" s="137"/>
      <c r="N324" s="137"/>
      <c r="O324" s="141">
        <f t="shared" si="9"/>
        <v>0</v>
      </c>
    </row>
    <row r="325" spans="1:15" x14ac:dyDescent="0.25">
      <c r="A325" s="542"/>
      <c r="B325" s="542"/>
      <c r="C325" s="106"/>
      <c r="D325" s="128">
        <v>113</v>
      </c>
      <c r="E325" s="124"/>
      <c r="F325" s="125"/>
      <c r="G325" s="138"/>
      <c r="H325" s="140" t="str">
        <f t="shared" si="8"/>
        <v/>
      </c>
      <c r="I325" s="138"/>
      <c r="J325" s="138"/>
      <c r="K325" s="138"/>
      <c r="L325" s="138"/>
      <c r="M325" s="138"/>
      <c r="N325" s="138"/>
      <c r="O325" s="141">
        <f t="shared" si="9"/>
        <v>0</v>
      </c>
    </row>
    <row r="326" spans="1:15" x14ac:dyDescent="0.25">
      <c r="A326" s="542"/>
      <c r="B326" s="542"/>
      <c r="C326" s="106"/>
      <c r="D326" s="128">
        <v>113</v>
      </c>
      <c r="E326" s="124"/>
      <c r="F326" s="125"/>
      <c r="G326" s="138"/>
      <c r="H326" s="140" t="str">
        <f t="shared" si="8"/>
        <v/>
      </c>
      <c r="I326" s="138"/>
      <c r="J326" s="138"/>
      <c r="K326" s="138"/>
      <c r="L326" s="138"/>
      <c r="M326" s="138"/>
      <c r="N326" s="138"/>
      <c r="O326" s="141">
        <f t="shared" si="9"/>
        <v>0</v>
      </c>
    </row>
    <row r="327" spans="1:15" x14ac:dyDescent="0.25">
      <c r="A327" s="542"/>
      <c r="B327" s="542"/>
      <c r="C327" s="106"/>
      <c r="D327" s="128">
        <v>113</v>
      </c>
      <c r="E327" s="124"/>
      <c r="F327" s="125"/>
      <c r="G327" s="138"/>
      <c r="H327" s="140" t="str">
        <f t="shared" si="8"/>
        <v/>
      </c>
      <c r="I327" s="138"/>
      <c r="J327" s="138"/>
      <c r="K327" s="138"/>
      <c r="L327" s="138"/>
      <c r="M327" s="138"/>
      <c r="N327" s="138"/>
      <c r="O327" s="141">
        <f t="shared" si="9"/>
        <v>0</v>
      </c>
    </row>
    <row r="328" spans="1:15" x14ac:dyDescent="0.25">
      <c r="A328" s="542"/>
      <c r="B328" s="542"/>
      <c r="C328" s="106"/>
      <c r="D328" s="128">
        <v>113</v>
      </c>
      <c r="E328" s="124"/>
      <c r="F328" s="125"/>
      <c r="G328" s="138"/>
      <c r="H328" s="140" t="str">
        <f t="shared" si="8"/>
        <v/>
      </c>
      <c r="I328" s="138"/>
      <c r="J328" s="138"/>
      <c r="K328" s="138"/>
      <c r="L328" s="138"/>
      <c r="M328" s="138"/>
      <c r="N328" s="138"/>
      <c r="O328" s="141">
        <f t="shared" si="9"/>
        <v>0</v>
      </c>
    </row>
    <row r="329" spans="1:15" x14ac:dyDescent="0.25">
      <c r="A329" s="542"/>
      <c r="B329" s="542"/>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42"/>
      <c r="B330" s="542"/>
      <c r="C330" s="106"/>
      <c r="D330" s="128">
        <v>113</v>
      </c>
      <c r="E330" s="124"/>
      <c r="F330" s="125"/>
      <c r="G330" s="138"/>
      <c r="H330" s="140" t="str">
        <f t="shared" si="10"/>
        <v/>
      </c>
      <c r="I330" s="138"/>
      <c r="J330" s="138"/>
      <c r="K330" s="138"/>
      <c r="L330" s="138"/>
      <c r="M330" s="138"/>
      <c r="N330" s="138"/>
      <c r="O330" s="141">
        <f t="shared" si="11"/>
        <v>0</v>
      </c>
    </row>
    <row r="331" spans="1:15" x14ac:dyDescent="0.25">
      <c r="A331" s="542"/>
      <c r="B331" s="542"/>
      <c r="C331" s="106"/>
      <c r="D331" s="128">
        <v>113</v>
      </c>
      <c r="E331" s="124"/>
      <c r="F331" s="125"/>
      <c r="G331" s="138"/>
      <c r="H331" s="140" t="str">
        <f t="shared" si="10"/>
        <v/>
      </c>
      <c r="I331" s="138"/>
      <c r="J331" s="138"/>
      <c r="K331" s="138"/>
      <c r="L331" s="138"/>
      <c r="M331" s="138"/>
      <c r="N331" s="138"/>
      <c r="O331" s="141">
        <f t="shared" si="11"/>
        <v>0</v>
      </c>
    </row>
    <row r="332" spans="1:15" x14ac:dyDescent="0.25">
      <c r="A332" s="542"/>
      <c r="B332" s="542"/>
      <c r="C332" s="106"/>
      <c r="D332" s="128">
        <v>113</v>
      </c>
      <c r="E332" s="124"/>
      <c r="F332" s="125"/>
      <c r="G332" s="138"/>
      <c r="H332" s="140" t="str">
        <f t="shared" si="10"/>
        <v/>
      </c>
      <c r="I332" s="138"/>
      <c r="J332" s="138"/>
      <c r="K332" s="138"/>
      <c r="L332" s="138"/>
      <c r="M332" s="138"/>
      <c r="N332" s="138"/>
      <c r="O332" s="141">
        <f t="shared" si="11"/>
        <v>0</v>
      </c>
    </row>
    <row r="333" spans="1:15" x14ac:dyDescent="0.25">
      <c r="A333" s="542"/>
      <c r="B333" s="542"/>
      <c r="C333" s="106"/>
      <c r="D333" s="128">
        <v>113</v>
      </c>
      <c r="E333" s="124"/>
      <c r="F333" s="125"/>
      <c r="G333" s="137"/>
      <c r="H333" s="140" t="str">
        <f t="shared" si="10"/>
        <v/>
      </c>
      <c r="I333" s="137"/>
      <c r="J333" s="137"/>
      <c r="K333" s="137"/>
      <c r="L333" s="137"/>
      <c r="M333" s="137"/>
      <c r="N333" s="137"/>
      <c r="O333" s="141">
        <f t="shared" si="11"/>
        <v>0</v>
      </c>
    </row>
    <row r="334" spans="1:15" x14ac:dyDescent="0.25">
      <c r="A334" s="542"/>
      <c r="B334" s="542"/>
      <c r="C334" s="106"/>
      <c r="D334" s="128">
        <v>113</v>
      </c>
      <c r="E334" s="124"/>
      <c r="F334" s="125"/>
      <c r="G334" s="138"/>
      <c r="H334" s="140" t="str">
        <f t="shared" si="10"/>
        <v/>
      </c>
      <c r="I334" s="138"/>
      <c r="J334" s="138"/>
      <c r="K334" s="138"/>
      <c r="L334" s="138"/>
      <c r="M334" s="138"/>
      <c r="N334" s="138"/>
      <c r="O334" s="141">
        <f t="shared" si="11"/>
        <v>0</v>
      </c>
    </row>
    <row r="335" spans="1:15" x14ac:dyDescent="0.25">
      <c r="A335" s="542"/>
      <c r="B335" s="542"/>
      <c r="C335" s="106"/>
      <c r="D335" s="128">
        <v>113</v>
      </c>
      <c r="E335" s="124"/>
      <c r="F335" s="125"/>
      <c r="G335" s="138"/>
      <c r="H335" s="140" t="str">
        <f t="shared" si="10"/>
        <v/>
      </c>
      <c r="I335" s="138"/>
      <c r="J335" s="138"/>
      <c r="K335" s="138"/>
      <c r="L335" s="138"/>
      <c r="M335" s="138"/>
      <c r="N335" s="138"/>
      <c r="O335" s="141">
        <f t="shared" si="11"/>
        <v>0</v>
      </c>
    </row>
    <row r="336" spans="1:15" x14ac:dyDescent="0.25">
      <c r="A336" s="542"/>
      <c r="B336" s="542"/>
      <c r="C336" s="106"/>
      <c r="D336" s="128">
        <v>113</v>
      </c>
      <c r="E336" s="124"/>
      <c r="F336" s="125"/>
      <c r="G336" s="137"/>
      <c r="H336" s="140" t="str">
        <f t="shared" si="10"/>
        <v/>
      </c>
      <c r="I336" s="137"/>
      <c r="J336" s="137"/>
      <c r="K336" s="137"/>
      <c r="L336" s="137"/>
      <c r="M336" s="137"/>
      <c r="N336" s="137"/>
      <c r="O336" s="141">
        <f t="shared" si="11"/>
        <v>0</v>
      </c>
    </row>
    <row r="337" spans="1:15" x14ac:dyDescent="0.25">
      <c r="A337" s="542"/>
      <c r="B337" s="542"/>
      <c r="C337" s="106"/>
      <c r="D337" s="128">
        <v>113</v>
      </c>
      <c r="E337" s="124"/>
      <c r="F337" s="125"/>
      <c r="G337" s="137"/>
      <c r="H337" s="140" t="str">
        <f t="shared" si="10"/>
        <v/>
      </c>
      <c r="I337" s="137"/>
      <c r="J337" s="137"/>
      <c r="K337" s="137"/>
      <c r="L337" s="137"/>
      <c r="M337" s="137"/>
      <c r="N337" s="137"/>
      <c r="O337" s="141">
        <f t="shared" si="11"/>
        <v>0</v>
      </c>
    </row>
    <row r="338" spans="1:15" x14ac:dyDescent="0.25">
      <c r="A338" s="542"/>
      <c r="B338" s="542"/>
      <c r="C338" s="106"/>
      <c r="D338" s="128">
        <v>113</v>
      </c>
      <c r="E338" s="124"/>
      <c r="F338" s="125"/>
      <c r="G338" s="138"/>
      <c r="H338" s="140" t="str">
        <f t="shared" si="10"/>
        <v/>
      </c>
      <c r="I338" s="138"/>
      <c r="J338" s="138"/>
      <c r="K338" s="138"/>
      <c r="L338" s="138"/>
      <c r="M338" s="138"/>
      <c r="N338" s="138"/>
      <c r="O338" s="141">
        <f t="shared" si="11"/>
        <v>0</v>
      </c>
    </row>
    <row r="339" spans="1:15" x14ac:dyDescent="0.25">
      <c r="A339" s="542"/>
      <c r="B339" s="542"/>
      <c r="C339" s="106"/>
      <c r="D339" s="128">
        <v>113</v>
      </c>
      <c r="E339" s="124"/>
      <c r="F339" s="125"/>
      <c r="G339" s="138"/>
      <c r="H339" s="140" t="str">
        <f t="shared" si="10"/>
        <v/>
      </c>
      <c r="I339" s="138"/>
      <c r="J339" s="138"/>
      <c r="K339" s="138"/>
      <c r="L339" s="138"/>
      <c r="M339" s="138"/>
      <c r="N339" s="138"/>
      <c r="O339" s="141">
        <f t="shared" si="11"/>
        <v>0</v>
      </c>
    </row>
    <row r="340" spans="1:15" x14ac:dyDescent="0.25">
      <c r="A340" s="542"/>
      <c r="B340" s="542"/>
      <c r="C340" s="106"/>
      <c r="D340" s="128">
        <v>113</v>
      </c>
      <c r="E340" s="124"/>
      <c r="F340" s="125"/>
      <c r="G340" s="137"/>
      <c r="H340" s="140" t="str">
        <f t="shared" si="10"/>
        <v/>
      </c>
      <c r="I340" s="137"/>
      <c r="J340" s="137"/>
      <c r="K340" s="137"/>
      <c r="L340" s="137"/>
      <c r="M340" s="137"/>
      <c r="N340" s="137"/>
      <c r="O340" s="141">
        <f t="shared" si="11"/>
        <v>0</v>
      </c>
    </row>
    <row r="341" spans="1:15" x14ac:dyDescent="0.25">
      <c r="A341" s="542"/>
      <c r="B341" s="542"/>
      <c r="C341" s="106"/>
      <c r="D341" s="128">
        <v>113</v>
      </c>
      <c r="E341" s="124"/>
      <c r="F341" s="125"/>
      <c r="G341" s="138"/>
      <c r="H341" s="140" t="str">
        <f t="shared" si="10"/>
        <v/>
      </c>
      <c r="I341" s="138"/>
      <c r="J341" s="138"/>
      <c r="K341" s="138"/>
      <c r="L341" s="138"/>
      <c r="M341" s="138"/>
      <c r="N341" s="138"/>
      <c r="O341" s="141">
        <f t="shared" si="11"/>
        <v>0</v>
      </c>
    </row>
    <row r="342" spans="1:15" x14ac:dyDescent="0.25">
      <c r="A342" s="542"/>
      <c r="B342" s="542"/>
      <c r="C342" s="106"/>
      <c r="D342" s="128">
        <v>113</v>
      </c>
      <c r="E342" s="124"/>
      <c r="F342" s="125"/>
      <c r="G342" s="138"/>
      <c r="H342" s="140" t="str">
        <f t="shared" si="10"/>
        <v/>
      </c>
      <c r="I342" s="138"/>
      <c r="J342" s="138"/>
      <c r="K342" s="138"/>
      <c r="L342" s="138"/>
      <c r="M342" s="138"/>
      <c r="N342" s="138"/>
      <c r="O342" s="141">
        <f t="shared" si="11"/>
        <v>0</v>
      </c>
    </row>
    <row r="343" spans="1:15" x14ac:dyDescent="0.25">
      <c r="A343" s="542"/>
      <c r="B343" s="542"/>
      <c r="C343" s="106"/>
      <c r="D343" s="128">
        <v>113</v>
      </c>
      <c r="E343" s="124"/>
      <c r="F343" s="125"/>
      <c r="G343" s="138"/>
      <c r="H343" s="140" t="str">
        <f t="shared" si="10"/>
        <v/>
      </c>
      <c r="I343" s="138"/>
      <c r="J343" s="138"/>
      <c r="K343" s="138"/>
      <c r="L343" s="138"/>
      <c r="M343" s="138"/>
      <c r="N343" s="138"/>
      <c r="O343" s="141">
        <f t="shared" si="11"/>
        <v>0</v>
      </c>
    </row>
    <row r="344" spans="1:15" x14ac:dyDescent="0.25">
      <c r="A344" s="542"/>
      <c r="B344" s="542"/>
      <c r="C344" s="106"/>
      <c r="D344" s="128">
        <v>113</v>
      </c>
      <c r="E344" s="124"/>
      <c r="F344" s="125"/>
      <c r="G344" s="138"/>
      <c r="H344" s="140" t="str">
        <f t="shared" si="10"/>
        <v/>
      </c>
      <c r="I344" s="138"/>
      <c r="J344" s="138"/>
      <c r="K344" s="138"/>
      <c r="L344" s="138"/>
      <c r="M344" s="138"/>
      <c r="N344" s="138"/>
      <c r="O344" s="141">
        <f t="shared" si="11"/>
        <v>0</v>
      </c>
    </row>
    <row r="345" spans="1:15" x14ac:dyDescent="0.25">
      <c r="A345" s="542"/>
      <c r="B345" s="542"/>
      <c r="C345" s="106"/>
      <c r="D345" s="128">
        <v>113</v>
      </c>
      <c r="E345" s="124"/>
      <c r="F345" s="125"/>
      <c r="G345" s="138"/>
      <c r="H345" s="140" t="str">
        <f t="shared" si="10"/>
        <v/>
      </c>
      <c r="I345" s="138"/>
      <c r="J345" s="138"/>
      <c r="K345" s="138"/>
      <c r="L345" s="138"/>
      <c r="M345" s="138"/>
      <c r="N345" s="138"/>
      <c r="O345" s="141">
        <f t="shared" si="11"/>
        <v>0</v>
      </c>
    </row>
    <row r="346" spans="1:15" x14ac:dyDescent="0.25">
      <c r="A346" s="542"/>
      <c r="B346" s="542"/>
      <c r="C346" s="106"/>
      <c r="D346" s="128">
        <v>113</v>
      </c>
      <c r="E346" s="124"/>
      <c r="F346" s="125"/>
      <c r="G346" s="138"/>
      <c r="H346" s="140" t="str">
        <f t="shared" si="10"/>
        <v/>
      </c>
      <c r="I346" s="138"/>
      <c r="J346" s="138"/>
      <c r="K346" s="138"/>
      <c r="L346" s="138"/>
      <c r="M346" s="138"/>
      <c r="N346" s="138"/>
      <c r="O346" s="141">
        <f t="shared" si="11"/>
        <v>0</v>
      </c>
    </row>
    <row r="347" spans="1:15" x14ac:dyDescent="0.25">
      <c r="A347" s="542"/>
      <c r="B347" s="542"/>
      <c r="C347" s="106"/>
      <c r="D347" s="128">
        <v>113</v>
      </c>
      <c r="E347" s="124"/>
      <c r="F347" s="125"/>
      <c r="G347" s="138"/>
      <c r="H347" s="140" t="str">
        <f t="shared" si="10"/>
        <v/>
      </c>
      <c r="I347" s="138"/>
      <c r="J347" s="138"/>
      <c r="K347" s="138"/>
      <c r="L347" s="138"/>
      <c r="M347" s="138"/>
      <c r="N347" s="138"/>
      <c r="O347" s="141">
        <f t="shared" si="11"/>
        <v>0</v>
      </c>
    </row>
    <row r="348" spans="1:15" x14ac:dyDescent="0.25">
      <c r="A348" s="542"/>
      <c r="B348" s="542"/>
      <c r="C348" s="106"/>
      <c r="D348" s="128">
        <v>113</v>
      </c>
      <c r="E348" s="124"/>
      <c r="F348" s="125"/>
      <c r="G348" s="138"/>
      <c r="H348" s="140" t="str">
        <f t="shared" si="10"/>
        <v/>
      </c>
      <c r="I348" s="138"/>
      <c r="J348" s="138"/>
      <c r="K348" s="138"/>
      <c r="L348" s="138"/>
      <c r="M348" s="138"/>
      <c r="N348" s="138"/>
      <c r="O348" s="141">
        <f t="shared" si="11"/>
        <v>0</v>
      </c>
    </row>
    <row r="349" spans="1:15" x14ac:dyDescent="0.25">
      <c r="A349" s="542"/>
      <c r="B349" s="542"/>
      <c r="C349" s="106"/>
      <c r="D349" s="128">
        <v>113</v>
      </c>
      <c r="E349" s="124"/>
      <c r="F349" s="125"/>
      <c r="G349" s="138"/>
      <c r="H349" s="140" t="str">
        <f t="shared" si="10"/>
        <v/>
      </c>
      <c r="I349" s="138"/>
      <c r="J349" s="138"/>
      <c r="K349" s="138"/>
      <c r="L349" s="138"/>
      <c r="M349" s="138"/>
      <c r="N349" s="138"/>
      <c r="O349" s="141">
        <f t="shared" si="11"/>
        <v>0</v>
      </c>
    </row>
    <row r="350" spans="1:15" x14ac:dyDescent="0.25">
      <c r="A350" s="542"/>
      <c r="B350" s="542"/>
      <c r="C350" s="106"/>
      <c r="D350" s="128">
        <v>113</v>
      </c>
      <c r="E350" s="124"/>
      <c r="F350" s="125"/>
      <c r="G350" s="137"/>
      <c r="H350" s="140" t="str">
        <f t="shared" si="10"/>
        <v/>
      </c>
      <c r="I350" s="137"/>
      <c r="J350" s="137"/>
      <c r="K350" s="137"/>
      <c r="L350" s="137"/>
      <c r="M350" s="137"/>
      <c r="N350" s="137"/>
      <c r="O350" s="141">
        <f t="shared" si="11"/>
        <v>0</v>
      </c>
    </row>
    <row r="351" spans="1:15" x14ac:dyDescent="0.25">
      <c r="A351" s="542"/>
      <c r="B351" s="542"/>
      <c r="C351" s="106"/>
      <c r="D351" s="128">
        <v>113</v>
      </c>
      <c r="E351" s="124"/>
      <c r="F351" s="125"/>
      <c r="G351" s="138"/>
      <c r="H351" s="140" t="str">
        <f t="shared" si="10"/>
        <v/>
      </c>
      <c r="I351" s="138"/>
      <c r="J351" s="138"/>
      <c r="K351" s="138"/>
      <c r="L351" s="138"/>
      <c r="M351" s="138"/>
      <c r="N351" s="138"/>
      <c r="O351" s="141">
        <f t="shared" si="11"/>
        <v>0</v>
      </c>
    </row>
    <row r="352" spans="1:15" x14ac:dyDescent="0.25">
      <c r="A352" s="542"/>
      <c r="B352" s="542"/>
      <c r="C352" s="106"/>
      <c r="D352" s="128">
        <v>113</v>
      </c>
      <c r="E352" s="124"/>
      <c r="F352" s="125"/>
      <c r="G352" s="138"/>
      <c r="H352" s="140" t="str">
        <f t="shared" si="10"/>
        <v/>
      </c>
      <c r="I352" s="138"/>
      <c r="J352" s="138"/>
      <c r="K352" s="138"/>
      <c r="L352" s="138"/>
      <c r="M352" s="138"/>
      <c r="N352" s="138"/>
      <c r="O352" s="141">
        <f t="shared" si="11"/>
        <v>0</v>
      </c>
    </row>
    <row r="353" spans="1:15" x14ac:dyDescent="0.25">
      <c r="A353" s="542"/>
      <c r="B353" s="542"/>
      <c r="C353" s="106"/>
      <c r="D353" s="128">
        <v>113</v>
      </c>
      <c r="E353" s="124"/>
      <c r="F353" s="125"/>
      <c r="G353" s="138"/>
      <c r="H353" s="140" t="str">
        <f t="shared" si="10"/>
        <v/>
      </c>
      <c r="I353" s="138"/>
      <c r="J353" s="138"/>
      <c r="K353" s="138"/>
      <c r="L353" s="138"/>
      <c r="M353" s="138"/>
      <c r="N353" s="138"/>
      <c r="O353" s="141">
        <f t="shared" si="11"/>
        <v>0</v>
      </c>
    </row>
    <row r="354" spans="1:15" x14ac:dyDescent="0.25">
      <c r="A354" s="542"/>
      <c r="B354" s="542"/>
      <c r="C354" s="106"/>
      <c r="D354" s="128">
        <v>113</v>
      </c>
      <c r="E354" s="124"/>
      <c r="F354" s="125"/>
      <c r="G354" s="138"/>
      <c r="H354" s="140" t="str">
        <f t="shared" si="10"/>
        <v/>
      </c>
      <c r="I354" s="138"/>
      <c r="J354" s="138"/>
      <c r="K354" s="138"/>
      <c r="L354" s="138"/>
      <c r="M354" s="138"/>
      <c r="N354" s="138"/>
      <c r="O354" s="141">
        <f t="shared" si="11"/>
        <v>0</v>
      </c>
    </row>
    <row r="355" spans="1:15" x14ac:dyDescent="0.25">
      <c r="A355" s="542"/>
      <c r="B355" s="542"/>
      <c r="C355" s="106"/>
      <c r="D355" s="128">
        <v>113</v>
      </c>
      <c r="E355" s="124"/>
      <c r="F355" s="125"/>
      <c r="G355" s="138"/>
      <c r="H355" s="140" t="str">
        <f t="shared" si="10"/>
        <v/>
      </c>
      <c r="I355" s="138"/>
      <c r="J355" s="138"/>
      <c r="K355" s="138"/>
      <c r="L355" s="138"/>
      <c r="M355" s="138"/>
      <c r="N355" s="138"/>
      <c r="O355" s="141">
        <f t="shared" si="11"/>
        <v>0</v>
      </c>
    </row>
    <row r="356" spans="1:15" x14ac:dyDescent="0.25">
      <c r="A356" s="542"/>
      <c r="B356" s="542"/>
      <c r="C356" s="106"/>
      <c r="D356" s="128">
        <v>113</v>
      </c>
      <c r="E356" s="124"/>
      <c r="F356" s="125"/>
      <c r="G356" s="138"/>
      <c r="H356" s="140" t="str">
        <f t="shared" si="10"/>
        <v/>
      </c>
      <c r="I356" s="138"/>
      <c r="J356" s="138"/>
      <c r="K356" s="138"/>
      <c r="L356" s="138"/>
      <c r="M356" s="138"/>
      <c r="N356" s="138"/>
      <c r="O356" s="141">
        <f t="shared" si="11"/>
        <v>0</v>
      </c>
    </row>
    <row r="357" spans="1:15" x14ac:dyDescent="0.25">
      <c r="A357" s="542"/>
      <c r="B357" s="542"/>
      <c r="C357" s="106"/>
      <c r="D357" s="128">
        <v>113</v>
      </c>
      <c r="E357" s="124"/>
      <c r="F357" s="125"/>
      <c r="G357" s="137"/>
      <c r="H357" s="140" t="str">
        <f t="shared" si="10"/>
        <v/>
      </c>
      <c r="I357" s="137"/>
      <c r="J357" s="137"/>
      <c r="K357" s="137"/>
      <c r="L357" s="137"/>
      <c r="M357" s="137"/>
      <c r="N357" s="137"/>
      <c r="O357" s="141">
        <f t="shared" si="11"/>
        <v>0</v>
      </c>
    </row>
    <row r="358" spans="1:15" x14ac:dyDescent="0.25">
      <c r="A358" s="542"/>
      <c r="B358" s="542"/>
      <c r="C358" s="106"/>
      <c r="D358" s="128">
        <v>113</v>
      </c>
      <c r="E358" s="124"/>
      <c r="F358" s="125"/>
      <c r="G358" s="138"/>
      <c r="H358" s="140" t="str">
        <f t="shared" si="10"/>
        <v/>
      </c>
      <c r="I358" s="138"/>
      <c r="J358" s="138"/>
      <c r="K358" s="138"/>
      <c r="L358" s="138"/>
      <c r="M358" s="138"/>
      <c r="N358" s="138"/>
      <c r="O358" s="141">
        <f t="shared" si="11"/>
        <v>0</v>
      </c>
    </row>
    <row r="359" spans="1:15" x14ac:dyDescent="0.25">
      <c r="A359" s="542"/>
      <c r="B359" s="542"/>
      <c r="C359" s="106"/>
      <c r="D359" s="128">
        <v>113</v>
      </c>
      <c r="E359" s="124"/>
      <c r="F359" s="125"/>
      <c r="G359" s="138"/>
      <c r="H359" s="140" t="str">
        <f t="shared" si="10"/>
        <v/>
      </c>
      <c r="I359" s="138"/>
      <c r="J359" s="138"/>
      <c r="K359" s="138"/>
      <c r="L359" s="138"/>
      <c r="M359" s="138"/>
      <c r="N359" s="138"/>
      <c r="O359" s="141">
        <f t="shared" si="11"/>
        <v>0</v>
      </c>
    </row>
    <row r="360" spans="1:15" x14ac:dyDescent="0.25">
      <c r="A360" s="542"/>
      <c r="B360" s="542"/>
      <c r="C360" s="106"/>
      <c r="D360" s="128">
        <v>113</v>
      </c>
      <c r="E360" s="124"/>
      <c r="F360" s="125"/>
      <c r="G360" s="138"/>
      <c r="H360" s="140" t="str">
        <f t="shared" si="10"/>
        <v/>
      </c>
      <c r="I360" s="138"/>
      <c r="J360" s="138"/>
      <c r="K360" s="138"/>
      <c r="L360" s="138"/>
      <c r="M360" s="138"/>
      <c r="N360" s="138"/>
      <c r="O360" s="141">
        <f t="shared" si="11"/>
        <v>0</v>
      </c>
    </row>
    <row r="361" spans="1:15" x14ac:dyDescent="0.25">
      <c r="A361" s="542"/>
      <c r="B361" s="542"/>
      <c r="C361" s="106"/>
      <c r="D361" s="128">
        <v>113</v>
      </c>
      <c r="E361" s="124"/>
      <c r="F361" s="125"/>
      <c r="G361" s="138"/>
      <c r="H361" s="140" t="str">
        <f t="shared" si="10"/>
        <v/>
      </c>
      <c r="I361" s="138"/>
      <c r="J361" s="138"/>
      <c r="K361" s="138"/>
      <c r="L361" s="138"/>
      <c r="M361" s="138"/>
      <c r="N361" s="138"/>
      <c r="O361" s="141">
        <f t="shared" si="11"/>
        <v>0</v>
      </c>
    </row>
    <row r="362" spans="1:15" x14ac:dyDescent="0.25">
      <c r="A362" s="542"/>
      <c r="B362" s="542"/>
      <c r="C362" s="106"/>
      <c r="D362" s="128">
        <v>113</v>
      </c>
      <c r="E362" s="124"/>
      <c r="F362" s="125"/>
      <c r="G362" s="138"/>
      <c r="H362" s="140" t="str">
        <f t="shared" si="10"/>
        <v/>
      </c>
      <c r="I362" s="138"/>
      <c r="J362" s="138"/>
      <c r="K362" s="138"/>
      <c r="L362" s="138"/>
      <c r="M362" s="138"/>
      <c r="N362" s="138"/>
      <c r="O362" s="141">
        <f t="shared" si="11"/>
        <v>0</v>
      </c>
    </row>
    <row r="363" spans="1:15" x14ac:dyDescent="0.25">
      <c r="A363" s="542"/>
      <c r="B363" s="542"/>
      <c r="C363" s="106"/>
      <c r="D363" s="128">
        <v>113</v>
      </c>
      <c r="E363" s="124"/>
      <c r="F363" s="125"/>
      <c r="G363" s="138"/>
      <c r="H363" s="140" t="str">
        <f t="shared" si="10"/>
        <v/>
      </c>
      <c r="I363" s="138"/>
      <c r="J363" s="138"/>
      <c r="K363" s="138"/>
      <c r="L363" s="138"/>
      <c r="M363" s="138"/>
      <c r="N363" s="138"/>
      <c r="O363" s="141">
        <f t="shared" si="11"/>
        <v>0</v>
      </c>
    </row>
    <row r="364" spans="1:15" x14ac:dyDescent="0.25">
      <c r="A364" s="542"/>
      <c r="B364" s="542"/>
      <c r="C364" s="106"/>
      <c r="D364" s="128">
        <v>113</v>
      </c>
      <c r="E364" s="124"/>
      <c r="F364" s="125"/>
      <c r="G364" s="138"/>
      <c r="H364" s="140" t="str">
        <f t="shared" si="10"/>
        <v/>
      </c>
      <c r="I364" s="138"/>
      <c r="J364" s="138"/>
      <c r="K364" s="138"/>
      <c r="L364" s="138"/>
      <c r="M364" s="138"/>
      <c r="N364" s="138"/>
      <c r="O364" s="141">
        <f t="shared" si="11"/>
        <v>0</v>
      </c>
    </row>
    <row r="365" spans="1:15" x14ac:dyDescent="0.25">
      <c r="A365" s="542"/>
      <c r="B365" s="542"/>
      <c r="C365" s="106"/>
      <c r="D365" s="128">
        <v>113</v>
      </c>
      <c r="E365" s="124"/>
      <c r="F365" s="125"/>
      <c r="G365" s="138"/>
      <c r="H365" s="140" t="str">
        <f t="shared" si="10"/>
        <v/>
      </c>
      <c r="I365" s="138"/>
      <c r="J365" s="138"/>
      <c r="K365" s="138"/>
      <c r="L365" s="138"/>
      <c r="M365" s="138"/>
      <c r="N365" s="138"/>
      <c r="O365" s="141">
        <f t="shared" si="11"/>
        <v>0</v>
      </c>
    </row>
    <row r="366" spans="1:15" x14ac:dyDescent="0.25">
      <c r="A366" s="542"/>
      <c r="B366" s="542"/>
      <c r="C366" s="106"/>
      <c r="D366" s="128">
        <v>113</v>
      </c>
      <c r="E366" s="124"/>
      <c r="F366" s="125"/>
      <c r="G366" s="138"/>
      <c r="H366" s="140" t="str">
        <f t="shared" si="10"/>
        <v/>
      </c>
      <c r="I366" s="138"/>
      <c r="J366" s="138"/>
      <c r="K366" s="138"/>
      <c r="L366" s="138"/>
      <c r="M366" s="138"/>
      <c r="N366" s="138"/>
      <c r="O366" s="141">
        <f t="shared" si="11"/>
        <v>0</v>
      </c>
    </row>
    <row r="367" spans="1:15" x14ac:dyDescent="0.25">
      <c r="A367" s="542"/>
      <c r="B367" s="542"/>
      <c r="C367" s="106"/>
      <c r="D367" s="128">
        <v>113</v>
      </c>
      <c r="E367" s="124"/>
      <c r="F367" s="125"/>
      <c r="G367" s="137"/>
      <c r="H367" s="140" t="str">
        <f t="shared" si="10"/>
        <v/>
      </c>
      <c r="I367" s="137"/>
      <c r="J367" s="137"/>
      <c r="K367" s="137"/>
      <c r="L367" s="137"/>
      <c r="M367" s="137"/>
      <c r="N367" s="137"/>
      <c r="O367" s="141">
        <f t="shared" si="11"/>
        <v>0</v>
      </c>
    </row>
    <row r="368" spans="1:15" x14ac:dyDescent="0.25">
      <c r="A368" s="542"/>
      <c r="B368" s="542"/>
      <c r="C368" s="106"/>
      <c r="D368" s="128">
        <v>113</v>
      </c>
      <c r="E368" s="124"/>
      <c r="F368" s="125"/>
      <c r="G368" s="138"/>
      <c r="H368" s="140" t="str">
        <f t="shared" si="10"/>
        <v/>
      </c>
      <c r="I368" s="138"/>
      <c r="J368" s="138"/>
      <c r="K368" s="138"/>
      <c r="L368" s="138"/>
      <c r="M368" s="138"/>
      <c r="N368" s="138"/>
      <c r="O368" s="141">
        <f t="shared" si="11"/>
        <v>0</v>
      </c>
    </row>
    <row r="369" spans="1:15" x14ac:dyDescent="0.25">
      <c r="A369" s="542"/>
      <c r="B369" s="542"/>
      <c r="C369" s="106"/>
      <c r="D369" s="128">
        <v>113</v>
      </c>
      <c r="E369" s="124"/>
      <c r="F369" s="125"/>
      <c r="G369" s="138"/>
      <c r="H369" s="140" t="str">
        <f t="shared" si="10"/>
        <v/>
      </c>
      <c r="I369" s="138"/>
      <c r="J369" s="138"/>
      <c r="K369" s="138"/>
      <c r="L369" s="138"/>
      <c r="M369" s="138"/>
      <c r="N369" s="138"/>
      <c r="O369" s="141">
        <f t="shared" si="11"/>
        <v>0</v>
      </c>
    </row>
    <row r="370" spans="1:15" x14ac:dyDescent="0.25">
      <c r="A370" s="542"/>
      <c r="B370" s="542"/>
      <c r="C370" s="106"/>
      <c r="D370" s="128">
        <v>113</v>
      </c>
      <c r="E370" s="124"/>
      <c r="F370" s="125"/>
      <c r="G370" s="138"/>
      <c r="H370" s="140" t="str">
        <f t="shared" si="10"/>
        <v/>
      </c>
      <c r="I370" s="138"/>
      <c r="J370" s="138"/>
      <c r="K370" s="138"/>
      <c r="L370" s="138"/>
      <c r="M370" s="138"/>
      <c r="N370" s="138"/>
      <c r="O370" s="141">
        <f t="shared" si="11"/>
        <v>0</v>
      </c>
    </row>
    <row r="371" spans="1:15" x14ac:dyDescent="0.25">
      <c r="A371" s="542"/>
      <c r="B371" s="542"/>
      <c r="C371" s="106"/>
      <c r="D371" s="128">
        <v>113</v>
      </c>
      <c r="E371" s="124"/>
      <c r="F371" s="125"/>
      <c r="G371" s="138"/>
      <c r="H371" s="140" t="str">
        <f t="shared" si="10"/>
        <v/>
      </c>
      <c r="I371" s="138"/>
      <c r="J371" s="138"/>
      <c r="K371" s="138"/>
      <c r="L371" s="138"/>
      <c r="M371" s="138"/>
      <c r="N371" s="138"/>
      <c r="O371" s="141">
        <f t="shared" si="11"/>
        <v>0</v>
      </c>
    </row>
    <row r="372" spans="1:15" x14ac:dyDescent="0.25">
      <c r="A372" s="542"/>
      <c r="B372" s="542"/>
      <c r="C372" s="106"/>
      <c r="D372" s="128">
        <v>113</v>
      </c>
      <c r="E372" s="124"/>
      <c r="F372" s="125"/>
      <c r="G372" s="138"/>
      <c r="H372" s="140" t="str">
        <f t="shared" si="10"/>
        <v/>
      </c>
      <c r="I372" s="138"/>
      <c r="J372" s="138"/>
      <c r="K372" s="138"/>
      <c r="L372" s="138"/>
      <c r="M372" s="138"/>
      <c r="N372" s="138"/>
      <c r="O372" s="141">
        <f t="shared" si="11"/>
        <v>0</v>
      </c>
    </row>
    <row r="373" spans="1:15" x14ac:dyDescent="0.25">
      <c r="A373" s="542"/>
      <c r="B373" s="542"/>
      <c r="C373" s="106"/>
      <c r="D373" s="128">
        <v>113</v>
      </c>
      <c r="E373" s="124"/>
      <c r="F373" s="125"/>
      <c r="G373" s="138"/>
      <c r="H373" s="140" t="str">
        <f t="shared" si="10"/>
        <v/>
      </c>
      <c r="I373" s="138"/>
      <c r="J373" s="138"/>
      <c r="K373" s="138"/>
      <c r="L373" s="138"/>
      <c r="M373" s="138"/>
      <c r="N373" s="138"/>
      <c r="O373" s="141">
        <f t="shared" si="11"/>
        <v>0</v>
      </c>
    </row>
    <row r="374" spans="1:15" x14ac:dyDescent="0.25">
      <c r="A374" s="542"/>
      <c r="B374" s="542"/>
      <c r="C374" s="106"/>
      <c r="D374" s="128">
        <v>113</v>
      </c>
      <c r="E374" s="124"/>
      <c r="F374" s="125"/>
      <c r="G374" s="138"/>
      <c r="H374" s="140" t="str">
        <f t="shared" si="10"/>
        <v/>
      </c>
      <c r="I374" s="138"/>
      <c r="J374" s="138"/>
      <c r="K374" s="138"/>
      <c r="L374" s="138"/>
      <c r="M374" s="138"/>
      <c r="N374" s="138"/>
      <c r="O374" s="141">
        <f t="shared" si="11"/>
        <v>0</v>
      </c>
    </row>
    <row r="375" spans="1:15" x14ac:dyDescent="0.25">
      <c r="A375" s="542"/>
      <c r="B375" s="542"/>
      <c r="C375" s="106"/>
      <c r="D375" s="128">
        <v>113</v>
      </c>
      <c r="E375" s="124"/>
      <c r="F375" s="125"/>
      <c r="G375" s="138"/>
      <c r="H375" s="140" t="str">
        <f t="shared" si="10"/>
        <v/>
      </c>
      <c r="I375" s="138"/>
      <c r="J375" s="138"/>
      <c r="K375" s="138"/>
      <c r="L375" s="138"/>
      <c r="M375" s="138"/>
      <c r="N375" s="138"/>
      <c r="O375" s="141">
        <f t="shared" si="11"/>
        <v>0</v>
      </c>
    </row>
    <row r="376" spans="1:15" x14ac:dyDescent="0.25">
      <c r="A376" s="542"/>
      <c r="B376" s="542"/>
      <c r="C376" s="106"/>
      <c r="D376" s="128">
        <v>113</v>
      </c>
      <c r="E376" s="124"/>
      <c r="F376" s="125"/>
      <c r="G376" s="138"/>
      <c r="H376" s="140" t="str">
        <f t="shared" si="10"/>
        <v/>
      </c>
      <c r="I376" s="138"/>
      <c r="J376" s="138"/>
      <c r="K376" s="138"/>
      <c r="L376" s="138"/>
      <c r="M376" s="138"/>
      <c r="N376" s="138"/>
      <c r="O376" s="141">
        <f t="shared" si="11"/>
        <v>0</v>
      </c>
    </row>
    <row r="377" spans="1:15" x14ac:dyDescent="0.25">
      <c r="A377" s="542"/>
      <c r="B377" s="542"/>
      <c r="C377" s="106"/>
      <c r="D377" s="128">
        <v>113</v>
      </c>
      <c r="E377" s="124"/>
      <c r="F377" s="125"/>
      <c r="G377" s="137"/>
      <c r="H377" s="140" t="str">
        <f t="shared" si="10"/>
        <v/>
      </c>
      <c r="I377" s="137"/>
      <c r="J377" s="137"/>
      <c r="K377" s="137"/>
      <c r="L377" s="137"/>
      <c r="M377" s="137"/>
      <c r="N377" s="137"/>
      <c r="O377" s="141">
        <f t="shared" si="11"/>
        <v>0</v>
      </c>
    </row>
    <row r="378" spans="1:15" x14ac:dyDescent="0.25">
      <c r="A378" s="542"/>
      <c r="B378" s="542"/>
      <c r="C378" s="106"/>
      <c r="D378" s="128">
        <v>113</v>
      </c>
      <c r="E378" s="124"/>
      <c r="F378" s="125"/>
      <c r="G378" s="138"/>
      <c r="H378" s="140" t="str">
        <f t="shared" si="10"/>
        <v/>
      </c>
      <c r="I378" s="138"/>
      <c r="J378" s="138"/>
      <c r="K378" s="138"/>
      <c r="L378" s="138"/>
      <c r="M378" s="138"/>
      <c r="N378" s="138"/>
      <c r="O378" s="141">
        <f t="shared" si="11"/>
        <v>0</v>
      </c>
    </row>
    <row r="379" spans="1:15" x14ac:dyDescent="0.25">
      <c r="A379" s="542"/>
      <c r="B379" s="542"/>
      <c r="C379" s="106"/>
      <c r="D379" s="128">
        <v>113</v>
      </c>
      <c r="E379" s="124"/>
      <c r="F379" s="125"/>
      <c r="G379" s="138"/>
      <c r="H379" s="140" t="str">
        <f t="shared" si="10"/>
        <v/>
      </c>
      <c r="I379" s="138"/>
      <c r="J379" s="138"/>
      <c r="K379" s="138"/>
      <c r="L379" s="138"/>
      <c r="M379" s="138"/>
      <c r="N379" s="138"/>
      <c r="O379" s="141">
        <f t="shared" si="11"/>
        <v>0</v>
      </c>
    </row>
    <row r="380" spans="1:15" x14ac:dyDescent="0.25">
      <c r="A380" s="542"/>
      <c r="B380" s="542"/>
      <c r="C380" s="106"/>
      <c r="D380" s="128">
        <v>113</v>
      </c>
      <c r="E380" s="124"/>
      <c r="F380" s="125"/>
      <c r="G380" s="137"/>
      <c r="H380" s="140" t="str">
        <f t="shared" si="10"/>
        <v/>
      </c>
      <c r="I380" s="137"/>
      <c r="J380" s="137"/>
      <c r="K380" s="137"/>
      <c r="L380" s="137"/>
      <c r="M380" s="137"/>
      <c r="N380" s="137"/>
      <c r="O380" s="141">
        <f t="shared" si="11"/>
        <v>0</v>
      </c>
    </row>
    <row r="381" spans="1:15" x14ac:dyDescent="0.25">
      <c r="A381" s="542"/>
      <c r="B381" s="542"/>
      <c r="C381" s="106"/>
      <c r="D381" s="128">
        <v>113</v>
      </c>
      <c r="E381" s="124"/>
      <c r="F381" s="125"/>
      <c r="G381" s="138"/>
      <c r="H381" s="140" t="str">
        <f t="shared" si="10"/>
        <v/>
      </c>
      <c r="I381" s="138"/>
      <c r="J381" s="138"/>
      <c r="K381" s="138"/>
      <c r="L381" s="138"/>
      <c r="M381" s="138"/>
      <c r="N381" s="138"/>
      <c r="O381" s="141">
        <f t="shared" si="11"/>
        <v>0</v>
      </c>
    </row>
    <row r="382" spans="1:15" x14ac:dyDescent="0.25">
      <c r="A382" s="542"/>
      <c r="B382" s="542"/>
      <c r="C382" s="106"/>
      <c r="D382" s="128">
        <v>113</v>
      </c>
      <c r="E382" s="124"/>
      <c r="F382" s="125"/>
      <c r="G382" s="138"/>
      <c r="H382" s="140" t="str">
        <f t="shared" si="10"/>
        <v/>
      </c>
      <c r="I382" s="138"/>
      <c r="J382" s="138"/>
      <c r="K382" s="138"/>
      <c r="L382" s="138"/>
      <c r="M382" s="138"/>
      <c r="N382" s="138"/>
      <c r="O382" s="141">
        <f t="shared" si="11"/>
        <v>0</v>
      </c>
    </row>
    <row r="383" spans="1:15" x14ac:dyDescent="0.25">
      <c r="A383" s="542"/>
      <c r="B383" s="542"/>
      <c r="C383" s="106"/>
      <c r="D383" s="128">
        <v>113</v>
      </c>
      <c r="E383" s="124"/>
      <c r="F383" s="125"/>
      <c r="G383" s="138"/>
      <c r="H383" s="140" t="str">
        <f t="shared" si="10"/>
        <v/>
      </c>
      <c r="I383" s="138"/>
      <c r="J383" s="138"/>
      <c r="K383" s="138"/>
      <c r="L383" s="138"/>
      <c r="M383" s="138"/>
      <c r="N383" s="138"/>
      <c r="O383" s="141">
        <f t="shared" si="11"/>
        <v>0</v>
      </c>
    </row>
    <row r="384" spans="1:15" x14ac:dyDescent="0.25">
      <c r="A384" s="542"/>
      <c r="B384" s="542"/>
      <c r="C384" s="106"/>
      <c r="D384" s="128">
        <v>113</v>
      </c>
      <c r="E384" s="124"/>
      <c r="F384" s="125"/>
      <c r="G384" s="137"/>
      <c r="H384" s="140" t="str">
        <f t="shared" si="10"/>
        <v/>
      </c>
      <c r="I384" s="137"/>
      <c r="J384" s="137"/>
      <c r="K384" s="137"/>
      <c r="L384" s="137"/>
      <c r="M384" s="137"/>
      <c r="N384" s="137"/>
      <c r="O384" s="141">
        <f t="shared" si="11"/>
        <v>0</v>
      </c>
    </row>
    <row r="385" spans="1:15" x14ac:dyDescent="0.25">
      <c r="A385" s="542"/>
      <c r="B385" s="542"/>
      <c r="C385" s="106"/>
      <c r="D385" s="128">
        <v>113</v>
      </c>
      <c r="E385" s="124"/>
      <c r="F385" s="125"/>
      <c r="G385" s="137"/>
      <c r="H385" s="140" t="str">
        <f t="shared" si="10"/>
        <v/>
      </c>
      <c r="I385" s="137"/>
      <c r="J385" s="137"/>
      <c r="K385" s="137"/>
      <c r="L385" s="137"/>
      <c r="M385" s="137"/>
      <c r="N385" s="137"/>
      <c r="O385" s="141">
        <f t="shared" si="11"/>
        <v>0</v>
      </c>
    </row>
    <row r="386" spans="1:15" x14ac:dyDescent="0.25">
      <c r="A386" s="542"/>
      <c r="B386" s="542"/>
      <c r="C386" s="106"/>
      <c r="D386" s="128">
        <v>113</v>
      </c>
      <c r="E386" s="124"/>
      <c r="F386" s="125"/>
      <c r="G386" s="138"/>
      <c r="H386" s="140" t="str">
        <f t="shared" si="10"/>
        <v/>
      </c>
      <c r="I386" s="138"/>
      <c r="J386" s="138"/>
      <c r="K386" s="138"/>
      <c r="L386" s="138"/>
      <c r="M386" s="138"/>
      <c r="N386" s="138"/>
      <c r="O386" s="141">
        <f t="shared" si="11"/>
        <v>0</v>
      </c>
    </row>
    <row r="387" spans="1:15" x14ac:dyDescent="0.25">
      <c r="A387" s="542"/>
      <c r="B387" s="542"/>
      <c r="C387" s="106"/>
      <c r="D387" s="128">
        <v>113</v>
      </c>
      <c r="E387" s="124"/>
      <c r="F387" s="125"/>
      <c r="G387" s="138"/>
      <c r="H387" s="140" t="str">
        <f t="shared" si="10"/>
        <v/>
      </c>
      <c r="I387" s="138"/>
      <c r="J387" s="138"/>
      <c r="K387" s="138"/>
      <c r="L387" s="138"/>
      <c r="M387" s="138"/>
      <c r="N387" s="138"/>
      <c r="O387" s="141">
        <f t="shared" si="11"/>
        <v>0</v>
      </c>
    </row>
    <row r="388" spans="1:15" x14ac:dyDescent="0.25">
      <c r="A388" s="542"/>
      <c r="B388" s="542"/>
      <c r="C388" s="106"/>
      <c r="D388" s="128">
        <v>113</v>
      </c>
      <c r="E388" s="124"/>
      <c r="F388" s="125"/>
      <c r="G388" s="138"/>
      <c r="H388" s="140" t="str">
        <f t="shared" si="10"/>
        <v/>
      </c>
      <c r="I388" s="138"/>
      <c r="J388" s="138"/>
      <c r="K388" s="138"/>
      <c r="L388" s="138"/>
      <c r="M388" s="138"/>
      <c r="N388" s="138"/>
      <c r="O388" s="141">
        <f t="shared" si="11"/>
        <v>0</v>
      </c>
    </row>
    <row r="389" spans="1:15" x14ac:dyDescent="0.25">
      <c r="A389" s="542"/>
      <c r="B389" s="542"/>
      <c r="C389" s="106"/>
      <c r="D389" s="128">
        <v>113</v>
      </c>
      <c r="E389" s="124"/>
      <c r="F389" s="125"/>
      <c r="G389" s="138"/>
      <c r="H389" s="140" t="str">
        <f t="shared" si="10"/>
        <v/>
      </c>
      <c r="I389" s="138"/>
      <c r="J389" s="138"/>
      <c r="K389" s="138"/>
      <c r="L389" s="138"/>
      <c r="M389" s="138"/>
      <c r="N389" s="138"/>
      <c r="O389" s="141">
        <f t="shared" si="11"/>
        <v>0</v>
      </c>
    </row>
    <row r="390" spans="1:15" x14ac:dyDescent="0.25">
      <c r="A390" s="542"/>
      <c r="B390" s="542"/>
      <c r="C390" s="106"/>
      <c r="D390" s="128">
        <v>113</v>
      </c>
      <c r="E390" s="124"/>
      <c r="F390" s="125"/>
      <c r="G390" s="138"/>
      <c r="H390" s="140" t="str">
        <f t="shared" si="10"/>
        <v/>
      </c>
      <c r="I390" s="138"/>
      <c r="J390" s="138"/>
      <c r="K390" s="138"/>
      <c r="L390" s="138"/>
      <c r="M390" s="138"/>
      <c r="N390" s="138"/>
      <c r="O390" s="141">
        <f t="shared" si="11"/>
        <v>0</v>
      </c>
    </row>
    <row r="391" spans="1:15" x14ac:dyDescent="0.25">
      <c r="A391" s="542"/>
      <c r="B391" s="542"/>
      <c r="C391" s="106"/>
      <c r="D391" s="128">
        <v>113</v>
      </c>
      <c r="E391" s="124"/>
      <c r="F391" s="125"/>
      <c r="G391" s="138"/>
      <c r="H391" s="140" t="str">
        <f t="shared" si="10"/>
        <v/>
      </c>
      <c r="I391" s="138"/>
      <c r="J391" s="138"/>
      <c r="K391" s="138"/>
      <c r="L391" s="138"/>
      <c r="M391" s="138"/>
      <c r="N391" s="138"/>
      <c r="O391" s="141">
        <f t="shared" si="11"/>
        <v>0</v>
      </c>
    </row>
    <row r="392" spans="1:15" x14ac:dyDescent="0.25">
      <c r="A392" s="542"/>
      <c r="B392" s="542"/>
      <c r="C392" s="106"/>
      <c r="D392" s="128">
        <v>113</v>
      </c>
      <c r="E392" s="124"/>
      <c r="F392" s="125"/>
      <c r="G392" s="137"/>
      <c r="H392" s="140" t="str">
        <f t="shared" si="10"/>
        <v/>
      </c>
      <c r="I392" s="137"/>
      <c r="J392" s="137"/>
      <c r="K392" s="137"/>
      <c r="L392" s="137"/>
      <c r="M392" s="137"/>
      <c r="N392" s="137"/>
      <c r="O392" s="141">
        <f t="shared" si="11"/>
        <v>0</v>
      </c>
    </row>
    <row r="393" spans="1:15" x14ac:dyDescent="0.25">
      <c r="A393" s="542"/>
      <c r="B393" s="542"/>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42"/>
      <c r="B394" s="542"/>
      <c r="C394" s="106"/>
      <c r="D394" s="128">
        <v>113</v>
      </c>
      <c r="E394" s="124"/>
      <c r="F394" s="125"/>
      <c r="G394" s="138"/>
      <c r="H394" s="140" t="str">
        <f t="shared" si="12"/>
        <v/>
      </c>
      <c r="I394" s="138"/>
      <c r="J394" s="138"/>
      <c r="K394" s="138"/>
      <c r="L394" s="138"/>
      <c r="M394" s="138"/>
      <c r="N394" s="138"/>
      <c r="O394" s="141">
        <f t="shared" si="13"/>
        <v>0</v>
      </c>
    </row>
    <row r="395" spans="1:15" x14ac:dyDescent="0.25">
      <c r="A395" s="542"/>
      <c r="B395" s="542"/>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42"/>
      <c r="B396" s="542"/>
      <c r="C396" s="106"/>
      <c r="D396" s="128">
        <v>113</v>
      </c>
      <c r="E396" s="124"/>
      <c r="F396" s="125"/>
      <c r="G396" s="138"/>
      <c r="H396" s="140" t="str">
        <f t="shared" si="12"/>
        <v/>
      </c>
      <c r="I396" s="138"/>
      <c r="J396" s="138"/>
      <c r="K396" s="138"/>
      <c r="L396" s="138"/>
      <c r="M396" s="138"/>
      <c r="N396" s="138"/>
      <c r="O396" s="141">
        <f t="shared" si="13"/>
        <v>0</v>
      </c>
    </row>
    <row r="397" spans="1:15" x14ac:dyDescent="0.25">
      <c r="A397" s="542"/>
      <c r="B397" s="542"/>
      <c r="C397" s="106"/>
      <c r="D397" s="128">
        <v>113</v>
      </c>
      <c r="E397" s="124"/>
      <c r="F397" s="125"/>
      <c r="G397" s="138"/>
      <c r="H397" s="140" t="str">
        <f t="shared" si="12"/>
        <v/>
      </c>
      <c r="I397" s="138"/>
      <c r="J397" s="138"/>
      <c r="K397" s="138"/>
      <c r="L397" s="138"/>
      <c r="M397" s="138"/>
      <c r="N397" s="138"/>
      <c r="O397" s="141">
        <f t="shared" si="13"/>
        <v>0</v>
      </c>
    </row>
    <row r="398" spans="1:15" x14ac:dyDescent="0.25">
      <c r="A398" s="542"/>
      <c r="B398" s="542"/>
      <c r="C398" s="106"/>
      <c r="D398" s="128">
        <v>113</v>
      </c>
      <c r="E398" s="124"/>
      <c r="F398" s="125"/>
      <c r="G398" s="137"/>
      <c r="H398" s="140" t="str">
        <f t="shared" si="12"/>
        <v/>
      </c>
      <c r="I398" s="137"/>
      <c r="J398" s="137"/>
      <c r="K398" s="137"/>
      <c r="L398" s="137"/>
      <c r="M398" s="137"/>
      <c r="N398" s="137"/>
      <c r="O398" s="141">
        <f t="shared" si="13"/>
        <v>0</v>
      </c>
    </row>
    <row r="399" spans="1:15" x14ac:dyDescent="0.25">
      <c r="A399" s="542"/>
      <c r="B399" s="542"/>
      <c r="C399" s="106"/>
      <c r="D399" s="128">
        <v>113</v>
      </c>
      <c r="E399" s="124"/>
      <c r="F399" s="125"/>
      <c r="G399" s="138"/>
      <c r="H399" s="140" t="str">
        <f t="shared" si="12"/>
        <v/>
      </c>
      <c r="I399" s="138"/>
      <c r="J399" s="138"/>
      <c r="K399" s="138"/>
      <c r="L399" s="138"/>
      <c r="M399" s="138"/>
      <c r="N399" s="138"/>
      <c r="O399" s="141">
        <f t="shared" si="13"/>
        <v>0</v>
      </c>
    </row>
    <row r="400" spans="1:15" x14ac:dyDescent="0.25">
      <c r="A400" s="542"/>
      <c r="B400" s="542"/>
      <c r="C400" s="106"/>
      <c r="D400" s="128">
        <v>113</v>
      </c>
      <c r="E400" s="124"/>
      <c r="F400" s="125"/>
      <c r="G400" s="138"/>
      <c r="H400" s="140" t="str">
        <f t="shared" si="12"/>
        <v/>
      </c>
      <c r="I400" s="138"/>
      <c r="J400" s="138"/>
      <c r="K400" s="138"/>
      <c r="L400" s="138"/>
      <c r="M400" s="138"/>
      <c r="N400" s="138"/>
      <c r="O400" s="141">
        <f t="shared" si="13"/>
        <v>0</v>
      </c>
    </row>
    <row r="401" spans="1:15" x14ac:dyDescent="0.25">
      <c r="A401" s="542"/>
      <c r="B401" s="542"/>
      <c r="C401" s="106"/>
      <c r="D401" s="128">
        <v>113</v>
      </c>
      <c r="E401" s="124"/>
      <c r="F401" s="125"/>
      <c r="G401" s="138"/>
      <c r="H401" s="140" t="str">
        <f t="shared" si="12"/>
        <v/>
      </c>
      <c r="I401" s="138"/>
      <c r="J401" s="138"/>
      <c r="K401" s="138"/>
      <c r="L401" s="138"/>
      <c r="M401" s="138"/>
      <c r="N401" s="138"/>
      <c r="O401" s="141">
        <f t="shared" si="13"/>
        <v>0</v>
      </c>
    </row>
    <row r="402" spans="1:15" x14ac:dyDescent="0.25">
      <c r="A402" s="542"/>
      <c r="B402" s="542"/>
      <c r="C402" s="106"/>
      <c r="D402" s="128">
        <v>113</v>
      </c>
      <c r="E402" s="124"/>
      <c r="F402" s="125"/>
      <c r="G402" s="137"/>
      <c r="H402" s="140" t="str">
        <f t="shared" si="12"/>
        <v/>
      </c>
      <c r="I402" s="137"/>
      <c r="J402" s="137"/>
      <c r="K402" s="137"/>
      <c r="L402" s="137"/>
      <c r="M402" s="137"/>
      <c r="N402" s="137"/>
      <c r="O402" s="141">
        <f t="shared" si="13"/>
        <v>0</v>
      </c>
    </row>
    <row r="403" spans="1:15" x14ac:dyDescent="0.25">
      <c r="A403" s="542"/>
      <c r="B403" s="542"/>
      <c r="C403" s="106"/>
      <c r="D403" s="128">
        <v>113</v>
      </c>
      <c r="E403" s="124"/>
      <c r="F403" s="125"/>
      <c r="G403" s="137"/>
      <c r="H403" s="140" t="str">
        <f t="shared" si="12"/>
        <v/>
      </c>
      <c r="I403" s="137"/>
      <c r="J403" s="137"/>
      <c r="K403" s="137"/>
      <c r="L403" s="137"/>
      <c r="M403" s="137"/>
      <c r="N403" s="137"/>
      <c r="O403" s="141">
        <f t="shared" si="13"/>
        <v>0</v>
      </c>
    </row>
    <row r="404" spans="1:15" x14ac:dyDescent="0.25">
      <c r="A404" s="542"/>
      <c r="B404" s="542"/>
      <c r="C404" s="106"/>
      <c r="D404" s="128">
        <v>113</v>
      </c>
      <c r="E404" s="124"/>
      <c r="F404" s="125"/>
      <c r="G404" s="138"/>
      <c r="H404" s="140" t="str">
        <f t="shared" si="12"/>
        <v/>
      </c>
      <c r="I404" s="138"/>
      <c r="J404" s="138"/>
      <c r="K404" s="138"/>
      <c r="L404" s="138"/>
      <c r="M404" s="138"/>
      <c r="N404" s="138"/>
      <c r="O404" s="141">
        <f t="shared" si="13"/>
        <v>0</v>
      </c>
    </row>
    <row r="405" spans="1:15" x14ac:dyDescent="0.25">
      <c r="A405" s="542"/>
      <c r="B405" s="542"/>
      <c r="C405" s="106"/>
      <c r="D405" s="128">
        <v>113</v>
      </c>
      <c r="E405" s="124"/>
      <c r="F405" s="125"/>
      <c r="G405" s="138"/>
      <c r="H405" s="140" t="str">
        <f t="shared" si="12"/>
        <v/>
      </c>
      <c r="I405" s="138"/>
      <c r="J405" s="138"/>
      <c r="K405" s="138"/>
      <c r="L405" s="138"/>
      <c r="M405" s="138"/>
      <c r="N405" s="138"/>
      <c r="O405" s="141">
        <f t="shared" si="13"/>
        <v>0</v>
      </c>
    </row>
    <row r="406" spans="1:15" x14ac:dyDescent="0.25">
      <c r="A406" s="542"/>
      <c r="B406" s="542"/>
      <c r="C406" s="106"/>
      <c r="D406" s="128">
        <v>113</v>
      </c>
      <c r="E406" s="124"/>
      <c r="F406" s="125"/>
      <c r="G406" s="138"/>
      <c r="H406" s="140" t="str">
        <f t="shared" si="12"/>
        <v/>
      </c>
      <c r="I406" s="138"/>
      <c r="J406" s="138"/>
      <c r="K406" s="138"/>
      <c r="L406" s="138"/>
      <c r="M406" s="138"/>
      <c r="N406" s="138"/>
      <c r="O406" s="141">
        <f t="shared" si="13"/>
        <v>0</v>
      </c>
    </row>
    <row r="407" spans="1:15" x14ac:dyDescent="0.25">
      <c r="A407" s="542"/>
      <c r="B407" s="542"/>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42"/>
      <c r="B408" s="542"/>
      <c r="C408" s="106"/>
      <c r="D408" s="128">
        <v>113</v>
      </c>
      <c r="E408" s="124"/>
      <c r="F408" s="125"/>
      <c r="G408" s="138"/>
      <c r="H408" s="140" t="str">
        <f t="shared" si="12"/>
        <v/>
      </c>
      <c r="I408" s="138"/>
      <c r="J408" s="138"/>
      <c r="K408" s="138"/>
      <c r="L408" s="138"/>
      <c r="M408" s="138"/>
      <c r="N408" s="138"/>
      <c r="O408" s="141">
        <f t="shared" si="13"/>
        <v>0</v>
      </c>
    </row>
    <row r="409" spans="1:15" x14ac:dyDescent="0.25">
      <c r="A409" s="542"/>
      <c r="B409" s="542"/>
      <c r="C409" s="106"/>
      <c r="D409" s="128">
        <v>113</v>
      </c>
      <c r="E409" s="124"/>
      <c r="F409" s="125"/>
      <c r="G409" s="138"/>
      <c r="H409" s="140" t="str">
        <f t="shared" si="12"/>
        <v/>
      </c>
      <c r="I409" s="138"/>
      <c r="J409" s="138"/>
      <c r="K409" s="138"/>
      <c r="L409" s="138"/>
      <c r="M409" s="138"/>
      <c r="N409" s="138"/>
      <c r="O409" s="141">
        <f t="shared" si="13"/>
        <v>0</v>
      </c>
    </row>
    <row r="410" spans="1:15" x14ac:dyDescent="0.25">
      <c r="A410" s="542"/>
      <c r="B410" s="542"/>
      <c r="C410" s="106"/>
      <c r="D410" s="128">
        <v>113</v>
      </c>
      <c r="E410" s="124"/>
      <c r="F410" s="125"/>
      <c r="G410" s="138"/>
      <c r="H410" s="140" t="str">
        <f t="shared" si="12"/>
        <v/>
      </c>
      <c r="I410" s="138"/>
      <c r="J410" s="138"/>
      <c r="K410" s="138"/>
      <c r="L410" s="138"/>
      <c r="M410" s="138"/>
      <c r="N410" s="138"/>
      <c r="O410" s="141">
        <f t="shared" si="13"/>
        <v>0</v>
      </c>
    </row>
    <row r="411" spans="1:15" x14ac:dyDescent="0.25">
      <c r="A411" s="542"/>
      <c r="B411" s="542"/>
      <c r="C411" s="106"/>
      <c r="D411" s="128">
        <v>113</v>
      </c>
      <c r="E411" s="124"/>
      <c r="F411" s="125"/>
      <c r="G411" s="138"/>
      <c r="H411" s="140" t="str">
        <f t="shared" si="12"/>
        <v/>
      </c>
      <c r="I411" s="138"/>
      <c r="J411" s="138"/>
      <c r="K411" s="138"/>
      <c r="L411" s="138"/>
      <c r="M411" s="138"/>
      <c r="N411" s="138"/>
      <c r="O411" s="141">
        <f t="shared" si="13"/>
        <v>0</v>
      </c>
    </row>
    <row r="412" spans="1:15" x14ac:dyDescent="0.25">
      <c r="A412" s="542"/>
      <c r="B412" s="542"/>
      <c r="C412" s="106"/>
      <c r="D412" s="128">
        <v>113</v>
      </c>
      <c r="E412" s="124"/>
      <c r="F412" s="125"/>
      <c r="G412" s="137"/>
      <c r="H412" s="140" t="str">
        <f t="shared" si="12"/>
        <v/>
      </c>
      <c r="I412" s="137"/>
      <c r="J412" s="137"/>
      <c r="K412" s="137"/>
      <c r="L412" s="137"/>
      <c r="M412" s="137"/>
      <c r="N412" s="137"/>
      <c r="O412" s="141">
        <f t="shared" si="13"/>
        <v>0</v>
      </c>
    </row>
    <row r="413" spans="1:15" x14ac:dyDescent="0.25">
      <c r="A413" s="542"/>
      <c r="B413" s="542"/>
      <c r="C413" s="106"/>
      <c r="D413" s="128">
        <v>113</v>
      </c>
      <c r="E413" s="124"/>
      <c r="F413" s="125"/>
      <c r="G413" s="138"/>
      <c r="H413" s="140" t="str">
        <f t="shared" si="12"/>
        <v/>
      </c>
      <c r="I413" s="138"/>
      <c r="J413" s="138"/>
      <c r="K413" s="138"/>
      <c r="L413" s="138"/>
      <c r="M413" s="138"/>
      <c r="N413" s="138"/>
      <c r="O413" s="141">
        <f t="shared" si="13"/>
        <v>0</v>
      </c>
    </row>
    <row r="414" spans="1:15" x14ac:dyDescent="0.25">
      <c r="A414" s="542"/>
      <c r="B414" s="542"/>
      <c r="C414" s="106"/>
      <c r="D414" s="128">
        <v>113</v>
      </c>
      <c r="E414" s="124"/>
      <c r="F414" s="125"/>
      <c r="G414" s="138"/>
      <c r="H414" s="140" t="str">
        <f t="shared" si="12"/>
        <v/>
      </c>
      <c r="I414" s="138"/>
      <c r="J414" s="138"/>
      <c r="K414" s="138"/>
      <c r="L414" s="138"/>
      <c r="M414" s="138"/>
      <c r="N414" s="138"/>
      <c r="O414" s="141">
        <f t="shared" si="13"/>
        <v>0</v>
      </c>
    </row>
    <row r="415" spans="1:15" x14ac:dyDescent="0.25">
      <c r="A415" s="542"/>
      <c r="B415" s="542"/>
      <c r="C415" s="106"/>
      <c r="D415" s="128">
        <v>113</v>
      </c>
      <c r="E415" s="124"/>
      <c r="F415" s="125"/>
      <c r="G415" s="138"/>
      <c r="H415" s="140" t="str">
        <f t="shared" si="12"/>
        <v/>
      </c>
      <c r="I415" s="138"/>
      <c r="J415" s="138"/>
      <c r="K415" s="138"/>
      <c r="L415" s="138"/>
      <c r="M415" s="138"/>
      <c r="N415" s="138"/>
      <c r="O415" s="141">
        <f t="shared" si="13"/>
        <v>0</v>
      </c>
    </row>
    <row r="416" spans="1:15" x14ac:dyDescent="0.25">
      <c r="A416" s="542"/>
      <c r="B416" s="542"/>
      <c r="C416" s="106"/>
      <c r="D416" s="128">
        <v>113</v>
      </c>
      <c r="E416" s="124"/>
      <c r="F416" s="125"/>
      <c r="G416" s="138"/>
      <c r="H416" s="140" t="str">
        <f t="shared" si="12"/>
        <v/>
      </c>
      <c r="I416" s="138"/>
      <c r="J416" s="138"/>
      <c r="K416" s="138"/>
      <c r="L416" s="138"/>
      <c r="M416" s="138"/>
      <c r="N416" s="138"/>
      <c r="O416" s="141">
        <f t="shared" si="13"/>
        <v>0</v>
      </c>
    </row>
    <row r="417" spans="1:15" x14ac:dyDescent="0.25">
      <c r="A417" s="542"/>
      <c r="B417" s="542"/>
      <c r="C417" s="106"/>
      <c r="D417" s="128">
        <v>113</v>
      </c>
      <c r="E417" s="124"/>
      <c r="F417" s="125"/>
      <c r="G417" s="138"/>
      <c r="H417" s="140" t="str">
        <f t="shared" si="12"/>
        <v/>
      </c>
      <c r="I417" s="138"/>
      <c r="J417" s="138"/>
      <c r="K417" s="138"/>
      <c r="L417" s="138"/>
      <c r="M417" s="138"/>
      <c r="N417" s="138"/>
      <c r="O417" s="141">
        <f t="shared" si="13"/>
        <v>0</v>
      </c>
    </row>
    <row r="418" spans="1:15" x14ac:dyDescent="0.25">
      <c r="A418" s="542"/>
      <c r="B418" s="542"/>
      <c r="C418" s="106"/>
      <c r="D418" s="128">
        <v>113</v>
      </c>
      <c r="E418" s="124"/>
      <c r="F418" s="125"/>
      <c r="G418" s="138"/>
      <c r="H418" s="140" t="str">
        <f t="shared" si="12"/>
        <v/>
      </c>
      <c r="I418" s="138"/>
      <c r="J418" s="138"/>
      <c r="K418" s="138"/>
      <c r="L418" s="138"/>
      <c r="M418" s="138"/>
      <c r="N418" s="138"/>
      <c r="O418" s="141">
        <f t="shared" si="13"/>
        <v>0</v>
      </c>
    </row>
    <row r="419" spans="1:15" x14ac:dyDescent="0.25">
      <c r="A419" s="542"/>
      <c r="B419" s="542"/>
      <c r="C419" s="106"/>
      <c r="D419" s="128">
        <v>113</v>
      </c>
      <c r="E419" s="124"/>
      <c r="F419" s="125"/>
      <c r="G419" s="138"/>
      <c r="H419" s="140" t="str">
        <f t="shared" si="12"/>
        <v/>
      </c>
      <c r="I419" s="138"/>
      <c r="J419" s="138"/>
      <c r="K419" s="138"/>
      <c r="L419" s="138"/>
      <c r="M419" s="138"/>
      <c r="N419" s="138"/>
      <c r="O419" s="141">
        <f t="shared" si="13"/>
        <v>0</v>
      </c>
    </row>
    <row r="420" spans="1:15" x14ac:dyDescent="0.25">
      <c r="A420" s="542"/>
      <c r="B420" s="542"/>
      <c r="C420" s="106"/>
      <c r="D420" s="128">
        <v>113</v>
      </c>
      <c r="E420" s="124"/>
      <c r="F420" s="125"/>
      <c r="G420" s="138"/>
      <c r="H420" s="140" t="str">
        <f t="shared" si="12"/>
        <v/>
      </c>
      <c r="I420" s="138"/>
      <c r="J420" s="138"/>
      <c r="K420" s="138"/>
      <c r="L420" s="138"/>
      <c r="M420" s="138"/>
      <c r="N420" s="138"/>
      <c r="O420" s="141">
        <f t="shared" si="13"/>
        <v>0</v>
      </c>
    </row>
    <row r="421" spans="1:15" x14ac:dyDescent="0.25">
      <c r="A421" s="542"/>
      <c r="B421" s="542"/>
      <c r="C421" s="106"/>
      <c r="D421" s="128">
        <v>113</v>
      </c>
      <c r="E421" s="124"/>
      <c r="F421" s="125"/>
      <c r="G421" s="137"/>
      <c r="H421" s="140" t="str">
        <f t="shared" si="12"/>
        <v/>
      </c>
      <c r="I421" s="137"/>
      <c r="J421" s="137"/>
      <c r="K421" s="137"/>
      <c r="L421" s="137"/>
      <c r="M421" s="137"/>
      <c r="N421" s="137"/>
      <c r="O421" s="141">
        <f t="shared" si="13"/>
        <v>0</v>
      </c>
    </row>
    <row r="422" spans="1:15" x14ac:dyDescent="0.25">
      <c r="A422" s="542"/>
      <c r="B422" s="542"/>
      <c r="C422" s="106"/>
      <c r="D422" s="128">
        <v>113</v>
      </c>
      <c r="E422" s="124"/>
      <c r="F422" s="125"/>
      <c r="G422" s="138"/>
      <c r="H422" s="140" t="str">
        <f t="shared" si="12"/>
        <v/>
      </c>
      <c r="I422" s="138"/>
      <c r="J422" s="138"/>
      <c r="K422" s="138"/>
      <c r="L422" s="138"/>
      <c r="M422" s="138"/>
      <c r="N422" s="138"/>
      <c r="O422" s="141">
        <f t="shared" si="13"/>
        <v>0</v>
      </c>
    </row>
    <row r="423" spans="1:15" x14ac:dyDescent="0.25">
      <c r="A423" s="542"/>
      <c r="B423" s="542"/>
      <c r="C423" s="106"/>
      <c r="D423" s="128">
        <v>113</v>
      </c>
      <c r="E423" s="124"/>
      <c r="F423" s="125"/>
      <c r="G423" s="138"/>
      <c r="H423" s="140" t="str">
        <f t="shared" si="12"/>
        <v/>
      </c>
      <c r="I423" s="138"/>
      <c r="J423" s="138"/>
      <c r="K423" s="138"/>
      <c r="L423" s="138"/>
      <c r="M423" s="138"/>
      <c r="N423" s="138"/>
      <c r="O423" s="141">
        <f t="shared" si="13"/>
        <v>0</v>
      </c>
    </row>
    <row r="424" spans="1:15" x14ac:dyDescent="0.25">
      <c r="A424" s="542"/>
      <c r="B424" s="542"/>
      <c r="C424" s="106"/>
      <c r="D424" s="128">
        <v>113</v>
      </c>
      <c r="E424" s="124"/>
      <c r="F424" s="125"/>
      <c r="G424" s="137"/>
      <c r="H424" s="140" t="str">
        <f t="shared" si="12"/>
        <v/>
      </c>
      <c r="I424" s="137"/>
      <c r="J424" s="137"/>
      <c r="K424" s="137"/>
      <c r="L424" s="137"/>
      <c r="M424" s="137"/>
      <c r="N424" s="137"/>
      <c r="O424" s="141">
        <f t="shared" si="13"/>
        <v>0</v>
      </c>
    </row>
    <row r="425" spans="1:15" x14ac:dyDescent="0.25">
      <c r="A425" s="542"/>
      <c r="B425" s="542"/>
      <c r="C425" s="106"/>
      <c r="D425" s="128">
        <v>113</v>
      </c>
      <c r="E425" s="124"/>
      <c r="F425" s="125"/>
      <c r="G425" s="138"/>
      <c r="H425" s="140" t="str">
        <f t="shared" si="12"/>
        <v/>
      </c>
      <c r="I425" s="138"/>
      <c r="J425" s="138"/>
      <c r="K425" s="138"/>
      <c r="L425" s="138"/>
      <c r="M425" s="138"/>
      <c r="N425" s="138"/>
      <c r="O425" s="141">
        <f t="shared" si="13"/>
        <v>0</v>
      </c>
    </row>
    <row r="426" spans="1:15" x14ac:dyDescent="0.25">
      <c r="A426" s="542"/>
      <c r="B426" s="542"/>
      <c r="C426" s="106"/>
      <c r="D426" s="128">
        <v>113</v>
      </c>
      <c r="E426" s="124"/>
      <c r="F426" s="125"/>
      <c r="G426" s="138"/>
      <c r="H426" s="140" t="str">
        <f t="shared" si="12"/>
        <v/>
      </c>
      <c r="I426" s="138"/>
      <c r="J426" s="138"/>
      <c r="K426" s="138"/>
      <c r="L426" s="138"/>
      <c r="M426" s="138"/>
      <c r="N426" s="138"/>
      <c r="O426" s="141">
        <f t="shared" si="13"/>
        <v>0</v>
      </c>
    </row>
    <row r="427" spans="1:15" x14ac:dyDescent="0.25">
      <c r="A427" s="542"/>
      <c r="B427" s="542"/>
      <c r="C427" s="106"/>
      <c r="D427" s="128">
        <v>113</v>
      </c>
      <c r="E427" s="124"/>
      <c r="F427" s="125"/>
      <c r="G427" s="137"/>
      <c r="H427" s="140" t="str">
        <f t="shared" si="12"/>
        <v/>
      </c>
      <c r="I427" s="137"/>
      <c r="J427" s="137"/>
      <c r="K427" s="137"/>
      <c r="L427" s="137"/>
      <c r="M427" s="137"/>
      <c r="N427" s="137"/>
      <c r="O427" s="141">
        <f t="shared" si="13"/>
        <v>0</v>
      </c>
    </row>
    <row r="428" spans="1:15" x14ac:dyDescent="0.25">
      <c r="A428" s="542"/>
      <c r="B428" s="542"/>
      <c r="C428" s="106"/>
      <c r="D428" s="128">
        <v>113</v>
      </c>
      <c r="E428" s="124"/>
      <c r="F428" s="125"/>
      <c r="G428" s="138"/>
      <c r="H428" s="140" t="str">
        <f t="shared" si="12"/>
        <v/>
      </c>
      <c r="I428" s="138"/>
      <c r="J428" s="138"/>
      <c r="K428" s="138"/>
      <c r="L428" s="138"/>
      <c r="M428" s="138"/>
      <c r="N428" s="138"/>
      <c r="O428" s="141">
        <f t="shared" si="13"/>
        <v>0</v>
      </c>
    </row>
    <row r="429" spans="1:15" x14ac:dyDescent="0.25">
      <c r="A429" s="542"/>
      <c r="B429" s="542"/>
      <c r="C429" s="106"/>
      <c r="D429" s="128">
        <v>113</v>
      </c>
      <c r="E429" s="124"/>
      <c r="F429" s="125"/>
      <c r="G429" s="137"/>
      <c r="H429" s="140" t="str">
        <f t="shared" si="12"/>
        <v/>
      </c>
      <c r="I429" s="137"/>
      <c r="J429" s="137"/>
      <c r="K429" s="137"/>
      <c r="L429" s="137"/>
      <c r="M429" s="137"/>
      <c r="N429" s="137"/>
      <c r="O429" s="141">
        <f t="shared" si="13"/>
        <v>0</v>
      </c>
    </row>
    <row r="430" spans="1:15" x14ac:dyDescent="0.25">
      <c r="A430" s="542"/>
      <c r="B430" s="542"/>
      <c r="C430" s="106"/>
      <c r="D430" s="128">
        <v>113</v>
      </c>
      <c r="E430" s="124"/>
      <c r="F430" s="125"/>
      <c r="G430" s="138"/>
      <c r="H430" s="140" t="str">
        <f t="shared" si="12"/>
        <v/>
      </c>
      <c r="I430" s="138"/>
      <c r="J430" s="138"/>
      <c r="K430" s="138"/>
      <c r="L430" s="138"/>
      <c r="M430" s="138"/>
      <c r="N430" s="138"/>
      <c r="O430" s="141">
        <f t="shared" si="13"/>
        <v>0</v>
      </c>
    </row>
    <row r="431" spans="1:15" x14ac:dyDescent="0.25">
      <c r="A431" s="542"/>
      <c r="B431" s="542"/>
      <c r="C431" s="106"/>
      <c r="D431" s="128">
        <v>113</v>
      </c>
      <c r="E431" s="124"/>
      <c r="F431" s="125"/>
      <c r="G431" s="138"/>
      <c r="H431" s="140" t="str">
        <f t="shared" si="12"/>
        <v/>
      </c>
      <c r="I431" s="138"/>
      <c r="J431" s="138"/>
      <c r="K431" s="138"/>
      <c r="L431" s="138"/>
      <c r="M431" s="138"/>
      <c r="N431" s="138"/>
      <c r="O431" s="141">
        <f t="shared" si="13"/>
        <v>0</v>
      </c>
    </row>
    <row r="432" spans="1:15" x14ac:dyDescent="0.25">
      <c r="A432" s="542"/>
      <c r="B432" s="542"/>
      <c r="C432" s="106"/>
      <c r="D432" s="128">
        <v>113</v>
      </c>
      <c r="E432" s="124"/>
      <c r="F432" s="125"/>
      <c r="G432" s="137"/>
      <c r="H432" s="140" t="str">
        <f t="shared" si="12"/>
        <v/>
      </c>
      <c r="I432" s="137"/>
      <c r="J432" s="137"/>
      <c r="K432" s="137"/>
      <c r="L432" s="137"/>
      <c r="M432" s="137"/>
      <c r="N432" s="137"/>
      <c r="O432" s="141">
        <f t="shared" si="13"/>
        <v>0</v>
      </c>
    </row>
    <row r="433" spans="1:15" x14ac:dyDescent="0.25">
      <c r="A433" s="542"/>
      <c r="B433" s="542"/>
      <c r="C433" s="106"/>
      <c r="D433" s="128">
        <v>113</v>
      </c>
      <c r="E433" s="124"/>
      <c r="F433" s="125"/>
      <c r="G433" s="138"/>
      <c r="H433" s="140" t="str">
        <f t="shared" si="12"/>
        <v/>
      </c>
      <c r="I433" s="138"/>
      <c r="J433" s="138"/>
      <c r="K433" s="138"/>
      <c r="L433" s="138"/>
      <c r="M433" s="138"/>
      <c r="N433" s="138"/>
      <c r="O433" s="141">
        <f t="shared" si="13"/>
        <v>0</v>
      </c>
    </row>
    <row r="434" spans="1:15" x14ac:dyDescent="0.25">
      <c r="B434" s="549" t="s">
        <v>722</v>
      </c>
      <c r="C434" s="549"/>
      <c r="D434" s="549"/>
      <c r="E434" s="550"/>
      <c r="F434" s="129">
        <f t="shared" ref="F434:H434" si="14">SUM(F8:F433)</f>
        <v>121</v>
      </c>
      <c r="G434" s="141">
        <f t="shared" si="14"/>
        <v>1062379</v>
      </c>
      <c r="H434" s="141">
        <f t="shared" si="14"/>
        <v>23020980</v>
      </c>
      <c r="I434" s="141">
        <f t="shared" ref="I434:N434" si="15">SUM(I8:I433)</f>
        <v>0</v>
      </c>
      <c r="J434" s="141">
        <f t="shared" si="15"/>
        <v>317997</v>
      </c>
      <c r="K434" s="141">
        <f t="shared" si="15"/>
        <v>3206239</v>
      </c>
      <c r="L434" s="141">
        <f t="shared" si="15"/>
        <v>0</v>
      </c>
      <c r="M434" s="141">
        <f t="shared" si="15"/>
        <v>0</v>
      </c>
      <c r="N434" s="141">
        <f t="shared" si="15"/>
        <v>0</v>
      </c>
      <c r="O434" s="141">
        <f>SUM(O8:O433)</f>
        <v>26545216</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scale="53" fitToHeight="0" orientation="landscape" horizontalDpi="4294967294"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D7" activePane="bottomRight" state="frozen"/>
      <selection pane="topRight" activeCell="D1" sqref="D1"/>
      <selection pane="bottomLeft" activeCell="A2" sqref="A2"/>
      <selection pane="bottomRight" activeCell="J1651" sqref="J1651"/>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2534</v>
      </c>
    </row>
    <row r="3" spans="1:16" ht="21" x14ac:dyDescent="0.35">
      <c r="A3" s="300" t="str">
        <f>Inconsistencias!$B$6&amp;IF(LOOKUP(Inconsistencias!$B$6,EF!$C$2:$C$1001,EF!$I$2:I$1001)="Dependencia",", Jalisco","")</f>
        <v>San Cristóbal de la Barranca, Jalisco</v>
      </c>
    </row>
    <row r="4" spans="1:16" ht="18.75" x14ac:dyDescent="0.3">
      <c r="A4" s="301" t="str">
        <f>"Ejercicio Fiscal "&amp;Inconsistencias!U2</f>
        <v>Ejercicio Fiscal 2025</v>
      </c>
    </row>
    <row r="6" spans="1:16" ht="15" customHeight="1" x14ac:dyDescent="0.25">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x14ac:dyDescent="0.25">
      <c r="A7" s="111">
        <v>1000</v>
      </c>
      <c r="B7" s="554" t="s">
        <v>2276</v>
      </c>
      <c r="C7" s="555"/>
      <c r="D7" s="61">
        <f t="shared" ref="D7:O7" si="0">D8+D40+D72+D135+D176+D237+D248</f>
        <v>2433059</v>
      </c>
      <c r="E7" s="52">
        <f t="shared" si="0"/>
        <v>2284931</v>
      </c>
      <c r="F7" s="52">
        <f t="shared" si="0"/>
        <v>2271914</v>
      </c>
      <c r="G7" s="52">
        <f t="shared" si="0"/>
        <v>2330371</v>
      </c>
      <c r="H7" s="52">
        <f t="shared" si="0"/>
        <v>2311206</v>
      </c>
      <c r="I7" s="52">
        <f t="shared" si="0"/>
        <v>2162537</v>
      </c>
      <c r="J7" s="52">
        <f t="shared" si="0"/>
        <v>2189054</v>
      </c>
      <c r="K7" s="52">
        <f t="shared" si="0"/>
        <v>2196031</v>
      </c>
      <c r="L7" s="52">
        <f t="shared" si="0"/>
        <v>2197219</v>
      </c>
      <c r="M7" s="52">
        <f t="shared" si="0"/>
        <v>2216095</v>
      </c>
      <c r="N7" s="52">
        <f t="shared" si="0"/>
        <v>2220161</v>
      </c>
      <c r="O7" s="52">
        <f t="shared" si="0"/>
        <v>6086521</v>
      </c>
      <c r="P7" s="52">
        <f>P8+P40+P72+P135+P176+P237+P248</f>
        <v>30899099</v>
      </c>
    </row>
    <row r="8" spans="1:16" x14ac:dyDescent="0.25">
      <c r="A8" s="113">
        <v>1100</v>
      </c>
      <c r="B8" s="556" t="s">
        <v>2277</v>
      </c>
      <c r="C8" s="557"/>
      <c r="D8" s="63">
        <f>SUM(D9:D39)</f>
        <v>1918415</v>
      </c>
      <c r="E8" s="63">
        <f t="shared" ref="E8:N8" si="1">SUM(E9:E39)</f>
        <v>1918415</v>
      </c>
      <c r="F8" s="63">
        <f t="shared" si="1"/>
        <v>1918415</v>
      </c>
      <c r="G8" s="63">
        <f t="shared" si="1"/>
        <v>1918415</v>
      </c>
      <c r="H8" s="63">
        <f t="shared" si="1"/>
        <v>1918415</v>
      </c>
      <c r="I8" s="63">
        <f t="shared" si="1"/>
        <v>1918415</v>
      </c>
      <c r="J8" s="63">
        <f t="shared" si="1"/>
        <v>1918415</v>
      </c>
      <c r="K8" s="63">
        <f t="shared" si="1"/>
        <v>1918415</v>
      </c>
      <c r="L8" s="63">
        <f t="shared" si="1"/>
        <v>1918415</v>
      </c>
      <c r="M8" s="63">
        <f t="shared" si="1"/>
        <v>1918415</v>
      </c>
      <c r="N8" s="63">
        <f t="shared" si="1"/>
        <v>1918415</v>
      </c>
      <c r="O8" s="63">
        <f>SUM(O9:O39)</f>
        <v>1918415</v>
      </c>
      <c r="P8" s="63">
        <f>SUM(P9:P39)</f>
        <v>23020980</v>
      </c>
    </row>
    <row r="9" spans="1:16" x14ac:dyDescent="0.25">
      <c r="A9" s="560">
        <v>111</v>
      </c>
      <c r="B9" s="558"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1"/>
      <c r="B10" s="559"/>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1"/>
      <c r="B11" s="559"/>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1"/>
      <c r="B12" s="559"/>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1"/>
      <c r="B13" s="559"/>
      <c r="C13" s="110">
        <v>15</v>
      </c>
      <c r="D13" s="54">
        <f>(SUMIF(Plantilla!$E$8:$E$9,C13,Plantilla!$H$8:$H$9))/12</f>
        <v>208986</v>
      </c>
      <c r="E13" s="54">
        <f t="shared" si="3"/>
        <v>208986</v>
      </c>
      <c r="F13" s="54">
        <f t="shared" si="3"/>
        <v>208986</v>
      </c>
      <c r="G13" s="54">
        <f t="shared" si="3"/>
        <v>208986</v>
      </c>
      <c r="H13" s="54">
        <f t="shared" si="3"/>
        <v>208986</v>
      </c>
      <c r="I13" s="54">
        <f t="shared" si="3"/>
        <v>208986</v>
      </c>
      <c r="J13" s="54">
        <f t="shared" si="3"/>
        <v>208986</v>
      </c>
      <c r="K13" s="54">
        <f t="shared" si="3"/>
        <v>208986</v>
      </c>
      <c r="L13" s="54">
        <f t="shared" si="3"/>
        <v>208986</v>
      </c>
      <c r="M13" s="54">
        <f t="shared" si="3"/>
        <v>208986</v>
      </c>
      <c r="N13" s="54">
        <f t="shared" si="3"/>
        <v>208986</v>
      </c>
      <c r="O13" s="54">
        <f t="shared" si="3"/>
        <v>208986</v>
      </c>
      <c r="P13" s="54">
        <f t="shared" ref="P13:P18" si="5">SUM(D13:O13)</f>
        <v>2507832</v>
      </c>
    </row>
    <row r="14" spans="1:16" x14ac:dyDescent="0.25">
      <c r="A14" s="561"/>
      <c r="B14" s="559"/>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61"/>
      <c r="B15" s="559"/>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1"/>
      <c r="B16" s="559"/>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1"/>
      <c r="B17" s="559"/>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1"/>
      <c r="B18" s="559"/>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0">
        <v>113</v>
      </c>
      <c r="B20" s="558"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1"/>
      <c r="B21" s="559"/>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1"/>
      <c r="B22" s="559"/>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1"/>
      <c r="B23" s="559"/>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1"/>
      <c r="B24" s="559"/>
      <c r="C24" s="110">
        <v>15</v>
      </c>
      <c r="D24" s="54">
        <f>(SUMIF(Plantilla!$E$10:$E$433,'COG-M'!C24,Plantilla!$H$10:$H$433))/12</f>
        <v>1709429</v>
      </c>
      <c r="E24" s="54">
        <f t="shared" si="7"/>
        <v>1709429</v>
      </c>
      <c r="F24" s="54">
        <f t="shared" si="7"/>
        <v>1709429</v>
      </c>
      <c r="G24" s="54">
        <f t="shared" si="7"/>
        <v>1709429</v>
      </c>
      <c r="H24" s="54">
        <f t="shared" si="7"/>
        <v>1709429</v>
      </c>
      <c r="I24" s="54">
        <f t="shared" si="7"/>
        <v>1709429</v>
      </c>
      <c r="J24" s="54">
        <f t="shared" si="7"/>
        <v>1709429</v>
      </c>
      <c r="K24" s="54">
        <f t="shared" si="7"/>
        <v>1709429</v>
      </c>
      <c r="L24" s="54">
        <f t="shared" si="7"/>
        <v>1709429</v>
      </c>
      <c r="M24" s="54">
        <f t="shared" si="7"/>
        <v>1709429</v>
      </c>
      <c r="N24" s="54">
        <f t="shared" si="7"/>
        <v>1709429</v>
      </c>
      <c r="O24" s="54">
        <f t="shared" si="7"/>
        <v>1709429</v>
      </c>
      <c r="P24" s="54">
        <f t="shared" si="8"/>
        <v>20513148</v>
      </c>
    </row>
    <row r="25" spans="1:16" ht="15" customHeight="1" x14ac:dyDescent="0.25">
      <c r="A25" s="561"/>
      <c r="B25" s="559"/>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1"/>
      <c r="B26" s="559"/>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1"/>
      <c r="B27" s="559"/>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61"/>
      <c r="B28" s="559"/>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1"/>
      <c r="B29" s="559"/>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1">
        <v>114</v>
      </c>
      <c r="B30" s="558" t="s">
        <v>23</v>
      </c>
      <c r="C30" s="110">
        <v>11</v>
      </c>
      <c r="D30" s="12"/>
      <c r="E30" s="12"/>
      <c r="F30" s="12"/>
      <c r="G30" s="12"/>
      <c r="H30" s="12"/>
      <c r="I30" s="12"/>
      <c r="J30" s="12"/>
      <c r="K30" s="12"/>
      <c r="L30" s="12"/>
      <c r="M30" s="12"/>
      <c r="N30" s="12"/>
      <c r="O30" s="12"/>
      <c r="P30" s="54">
        <f>SUM(D30:O30)</f>
        <v>0</v>
      </c>
    </row>
    <row r="31" spans="1:16" ht="15" customHeight="1" x14ac:dyDescent="0.25">
      <c r="A31" s="552"/>
      <c r="B31" s="559"/>
      <c r="C31" s="110">
        <v>12</v>
      </c>
      <c r="D31" s="12"/>
      <c r="E31" s="12"/>
      <c r="F31" s="12"/>
      <c r="G31" s="12"/>
      <c r="H31" s="12"/>
      <c r="I31" s="12"/>
      <c r="J31" s="12"/>
      <c r="K31" s="12"/>
      <c r="L31" s="12"/>
      <c r="M31" s="12"/>
      <c r="N31" s="12"/>
      <c r="O31" s="12"/>
      <c r="P31" s="54">
        <f t="shared" ref="P31:P39" si="9">SUM(D31:O31)</f>
        <v>0</v>
      </c>
    </row>
    <row r="32" spans="1:16" ht="15" customHeight="1" x14ac:dyDescent="0.25">
      <c r="A32" s="552"/>
      <c r="B32" s="559"/>
      <c r="C32" s="110">
        <v>13</v>
      </c>
      <c r="D32" s="12"/>
      <c r="E32" s="12"/>
      <c r="F32" s="12"/>
      <c r="G32" s="12"/>
      <c r="H32" s="12"/>
      <c r="I32" s="12"/>
      <c r="J32" s="12"/>
      <c r="K32" s="12"/>
      <c r="L32" s="12"/>
      <c r="M32" s="12"/>
      <c r="N32" s="12"/>
      <c r="O32" s="12"/>
      <c r="P32" s="54">
        <f t="shared" si="9"/>
        <v>0</v>
      </c>
    </row>
    <row r="33" spans="1:16" ht="15" customHeight="1" x14ac:dyDescent="0.25">
      <c r="A33" s="552"/>
      <c r="B33" s="559"/>
      <c r="C33" s="110">
        <v>14</v>
      </c>
      <c r="D33" s="12"/>
      <c r="E33" s="12"/>
      <c r="F33" s="12"/>
      <c r="G33" s="12"/>
      <c r="H33" s="12"/>
      <c r="I33" s="12"/>
      <c r="J33" s="12"/>
      <c r="K33" s="12"/>
      <c r="L33" s="12"/>
      <c r="M33" s="12"/>
      <c r="N33" s="12"/>
      <c r="O33" s="12"/>
      <c r="P33" s="54">
        <f t="shared" si="9"/>
        <v>0</v>
      </c>
    </row>
    <row r="34" spans="1:16" ht="15" customHeight="1" x14ac:dyDescent="0.25">
      <c r="A34" s="552"/>
      <c r="B34" s="559"/>
      <c r="C34" s="110">
        <v>15</v>
      </c>
      <c r="D34" s="12"/>
      <c r="E34" s="12"/>
      <c r="F34" s="12"/>
      <c r="G34" s="12"/>
      <c r="H34" s="12"/>
      <c r="I34" s="12"/>
      <c r="J34" s="12"/>
      <c r="K34" s="12"/>
      <c r="L34" s="12"/>
      <c r="M34" s="12"/>
      <c r="N34" s="12"/>
      <c r="O34" s="12"/>
      <c r="P34" s="54">
        <f t="shared" si="9"/>
        <v>0</v>
      </c>
    </row>
    <row r="35" spans="1:16" ht="15" customHeight="1" x14ac:dyDescent="0.25">
      <c r="A35" s="552"/>
      <c r="B35" s="559"/>
      <c r="C35" s="110">
        <v>16</v>
      </c>
      <c r="D35" s="12"/>
      <c r="E35" s="12"/>
      <c r="F35" s="12"/>
      <c r="G35" s="12"/>
      <c r="H35" s="12"/>
      <c r="I35" s="12"/>
      <c r="J35" s="12"/>
      <c r="K35" s="12"/>
      <c r="L35" s="12"/>
      <c r="M35" s="12"/>
      <c r="N35" s="12"/>
      <c r="O35" s="12"/>
      <c r="P35" s="54">
        <f t="shared" si="9"/>
        <v>0</v>
      </c>
    </row>
    <row r="36" spans="1:16" ht="15" customHeight="1" x14ac:dyDescent="0.25">
      <c r="A36" s="552"/>
      <c r="B36" s="559"/>
      <c r="C36" s="110">
        <v>17</v>
      </c>
      <c r="D36" s="12"/>
      <c r="E36" s="12"/>
      <c r="F36" s="12"/>
      <c r="G36" s="12"/>
      <c r="H36" s="12"/>
      <c r="I36" s="12"/>
      <c r="J36" s="12"/>
      <c r="K36" s="12"/>
      <c r="L36" s="12"/>
      <c r="M36" s="12"/>
      <c r="N36" s="12"/>
      <c r="O36" s="12"/>
      <c r="P36" s="54">
        <f t="shared" si="9"/>
        <v>0</v>
      </c>
    </row>
    <row r="37" spans="1:16" ht="15" customHeight="1" x14ac:dyDescent="0.25">
      <c r="A37" s="552"/>
      <c r="B37" s="559"/>
      <c r="C37" s="110">
        <v>25</v>
      </c>
      <c r="D37" s="66"/>
      <c r="E37" s="66"/>
      <c r="F37" s="66"/>
      <c r="G37" s="66"/>
      <c r="H37" s="66"/>
      <c r="I37" s="66"/>
      <c r="J37" s="66"/>
      <c r="K37" s="66"/>
      <c r="L37" s="66"/>
      <c r="M37" s="66"/>
      <c r="N37" s="66"/>
      <c r="O37" s="66"/>
      <c r="P37" s="54">
        <f t="shared" si="9"/>
        <v>0</v>
      </c>
    </row>
    <row r="38" spans="1:16" ht="15" customHeight="1" x14ac:dyDescent="0.25">
      <c r="A38" s="552"/>
      <c r="B38" s="559"/>
      <c r="C38" s="110">
        <v>26</v>
      </c>
      <c r="D38" s="66"/>
      <c r="E38" s="66"/>
      <c r="F38" s="66"/>
      <c r="G38" s="66"/>
      <c r="H38" s="66"/>
      <c r="I38" s="66"/>
      <c r="J38" s="66"/>
      <c r="K38" s="66"/>
      <c r="L38" s="66"/>
      <c r="M38" s="66"/>
      <c r="N38" s="66"/>
      <c r="O38" s="66"/>
      <c r="P38" s="54">
        <f t="shared" si="9"/>
        <v>0</v>
      </c>
    </row>
    <row r="39" spans="1:16" ht="15" customHeight="1" x14ac:dyDescent="0.25">
      <c r="A39" s="553"/>
      <c r="B39" s="559"/>
      <c r="C39" s="110">
        <v>27</v>
      </c>
      <c r="D39" s="66"/>
      <c r="E39" s="66"/>
      <c r="F39" s="66"/>
      <c r="G39" s="66"/>
      <c r="H39" s="66"/>
      <c r="I39" s="66"/>
      <c r="J39" s="66"/>
      <c r="K39" s="66"/>
      <c r="L39" s="66"/>
      <c r="M39" s="66"/>
      <c r="N39" s="66"/>
      <c r="O39" s="66"/>
      <c r="P39" s="54">
        <f t="shared" si="9"/>
        <v>0</v>
      </c>
    </row>
    <row r="40" spans="1:16" x14ac:dyDescent="0.25">
      <c r="A40" s="62">
        <v>1200</v>
      </c>
      <c r="B40" s="307" t="s">
        <v>2279</v>
      </c>
      <c r="C40" s="308"/>
      <c r="D40" s="63">
        <f>SUM(D41:D71)</f>
        <v>221319</v>
      </c>
      <c r="E40" s="63">
        <f t="shared" ref="E40:N40" si="10">SUM(E41:E71)</f>
        <v>187496</v>
      </c>
      <c r="F40" s="63">
        <f t="shared" si="10"/>
        <v>176853</v>
      </c>
      <c r="G40" s="63">
        <f t="shared" si="10"/>
        <v>255685</v>
      </c>
      <c r="H40" s="63">
        <f t="shared" si="10"/>
        <v>244184</v>
      </c>
      <c r="I40" s="63">
        <f t="shared" si="10"/>
        <v>185840</v>
      </c>
      <c r="J40" s="63">
        <f t="shared" si="10"/>
        <v>183904</v>
      </c>
      <c r="K40" s="63">
        <f t="shared" si="10"/>
        <v>187060</v>
      </c>
      <c r="L40" s="63">
        <f t="shared" si="10"/>
        <v>192480</v>
      </c>
      <c r="M40" s="63">
        <f t="shared" si="10"/>
        <v>244335</v>
      </c>
      <c r="N40" s="63">
        <f t="shared" si="10"/>
        <v>186593</v>
      </c>
      <c r="O40" s="63">
        <f>SUM(O41:O71)</f>
        <v>209804</v>
      </c>
      <c r="P40" s="38">
        <f>SUM(P41:P71)</f>
        <v>2475553</v>
      </c>
    </row>
    <row r="41" spans="1:16" ht="15" customHeight="1" x14ac:dyDescent="0.25">
      <c r="A41" s="551">
        <v>121</v>
      </c>
      <c r="B41" s="558" t="s">
        <v>25</v>
      </c>
      <c r="C41" s="110">
        <v>11</v>
      </c>
      <c r="D41" s="12"/>
      <c r="E41" s="12"/>
      <c r="F41" s="12"/>
      <c r="G41" s="12"/>
      <c r="H41" s="12"/>
      <c r="I41" s="12"/>
      <c r="J41" s="12"/>
      <c r="K41" s="12"/>
      <c r="L41" s="12"/>
      <c r="M41" s="12"/>
      <c r="N41" s="12"/>
      <c r="O41" s="12"/>
      <c r="P41" s="54">
        <f>SUM(D41:O41)</f>
        <v>0</v>
      </c>
    </row>
    <row r="42" spans="1:16" ht="15" customHeight="1" x14ac:dyDescent="0.25">
      <c r="A42" s="552"/>
      <c r="B42" s="559"/>
      <c r="C42" s="110">
        <v>12</v>
      </c>
      <c r="D42" s="12"/>
      <c r="E42" s="12"/>
      <c r="F42" s="12"/>
      <c r="G42" s="12"/>
      <c r="H42" s="12"/>
      <c r="I42" s="12"/>
      <c r="J42" s="12"/>
      <c r="K42" s="12"/>
      <c r="L42" s="12"/>
      <c r="M42" s="12"/>
      <c r="N42" s="12"/>
      <c r="O42" s="12"/>
      <c r="P42" s="54">
        <f t="shared" ref="P42:P70" si="11">SUM(D42:O42)</f>
        <v>0</v>
      </c>
    </row>
    <row r="43" spans="1:16" ht="15" customHeight="1" x14ac:dyDescent="0.25">
      <c r="A43" s="552"/>
      <c r="B43" s="559"/>
      <c r="C43" s="110">
        <v>13</v>
      </c>
      <c r="D43" s="12"/>
      <c r="E43" s="12"/>
      <c r="F43" s="12"/>
      <c r="G43" s="12"/>
      <c r="H43" s="12"/>
      <c r="I43" s="12"/>
      <c r="J43" s="12"/>
      <c r="K43" s="12"/>
      <c r="L43" s="12"/>
      <c r="M43" s="12"/>
      <c r="N43" s="12"/>
      <c r="O43" s="12"/>
      <c r="P43" s="54">
        <f t="shared" si="11"/>
        <v>0</v>
      </c>
    </row>
    <row r="44" spans="1:16" ht="15" customHeight="1" x14ac:dyDescent="0.25">
      <c r="A44" s="552"/>
      <c r="B44" s="559"/>
      <c r="C44" s="110">
        <v>14</v>
      </c>
      <c r="D44" s="12"/>
      <c r="E44" s="12"/>
      <c r="F44" s="12"/>
      <c r="G44" s="12"/>
      <c r="H44" s="12"/>
      <c r="I44" s="12"/>
      <c r="J44" s="12"/>
      <c r="K44" s="12"/>
      <c r="L44" s="12"/>
      <c r="M44" s="12"/>
      <c r="N44" s="12"/>
      <c r="O44" s="12"/>
      <c r="P44" s="54">
        <f t="shared" si="11"/>
        <v>0</v>
      </c>
    </row>
    <row r="45" spans="1:16" ht="15" customHeight="1" x14ac:dyDescent="0.25">
      <c r="A45" s="552"/>
      <c r="B45" s="559"/>
      <c r="C45" s="110">
        <v>15</v>
      </c>
      <c r="D45" s="12"/>
      <c r="E45" s="12"/>
      <c r="F45" s="12"/>
      <c r="G45" s="12"/>
      <c r="H45" s="12"/>
      <c r="I45" s="12"/>
      <c r="J45" s="12"/>
      <c r="K45" s="12"/>
      <c r="L45" s="12"/>
      <c r="M45" s="12"/>
      <c r="N45" s="12"/>
      <c r="O45" s="12"/>
      <c r="P45" s="54">
        <f t="shared" si="11"/>
        <v>0</v>
      </c>
    </row>
    <row r="46" spans="1:16" ht="15" customHeight="1" x14ac:dyDescent="0.25">
      <c r="A46" s="552"/>
      <c r="B46" s="559"/>
      <c r="C46" s="110">
        <v>16</v>
      </c>
      <c r="D46" s="12"/>
      <c r="E46" s="12"/>
      <c r="F46" s="12"/>
      <c r="G46" s="12"/>
      <c r="H46" s="12"/>
      <c r="I46" s="12"/>
      <c r="J46" s="12"/>
      <c r="K46" s="12"/>
      <c r="L46" s="12"/>
      <c r="M46" s="12"/>
      <c r="N46" s="12"/>
      <c r="O46" s="12"/>
      <c r="P46" s="54">
        <f t="shared" si="11"/>
        <v>0</v>
      </c>
    </row>
    <row r="47" spans="1:16" ht="15" customHeight="1" x14ac:dyDescent="0.25">
      <c r="A47" s="552"/>
      <c r="B47" s="559"/>
      <c r="C47" s="110">
        <v>17</v>
      </c>
      <c r="D47" s="12"/>
      <c r="E47" s="12"/>
      <c r="F47" s="12"/>
      <c r="G47" s="12"/>
      <c r="H47" s="12"/>
      <c r="I47" s="12"/>
      <c r="J47" s="12"/>
      <c r="K47" s="12"/>
      <c r="L47" s="12"/>
      <c r="M47" s="12"/>
      <c r="N47" s="12"/>
      <c r="O47" s="12"/>
      <c r="P47" s="54">
        <f t="shared" si="11"/>
        <v>0</v>
      </c>
    </row>
    <row r="48" spans="1:16" ht="15" customHeight="1" x14ac:dyDescent="0.25">
      <c r="A48" s="552"/>
      <c r="B48" s="559"/>
      <c r="C48" s="110">
        <v>25</v>
      </c>
      <c r="D48" s="12"/>
      <c r="E48" s="12"/>
      <c r="F48" s="12"/>
      <c r="G48" s="12"/>
      <c r="H48" s="12"/>
      <c r="I48" s="12"/>
      <c r="J48" s="12"/>
      <c r="K48" s="12"/>
      <c r="L48" s="12"/>
      <c r="M48" s="12"/>
      <c r="N48" s="12"/>
      <c r="O48" s="12"/>
      <c r="P48" s="54">
        <f t="shared" si="11"/>
        <v>0</v>
      </c>
    </row>
    <row r="49" spans="1:16" ht="15" customHeight="1" x14ac:dyDescent="0.25">
      <c r="A49" s="552"/>
      <c r="B49" s="559"/>
      <c r="C49" s="110">
        <v>26</v>
      </c>
      <c r="D49" s="12"/>
      <c r="E49" s="12"/>
      <c r="F49" s="12"/>
      <c r="G49" s="12"/>
      <c r="H49" s="12"/>
      <c r="I49" s="12"/>
      <c r="J49" s="12"/>
      <c r="K49" s="12"/>
      <c r="L49" s="12"/>
      <c r="M49" s="12"/>
      <c r="N49" s="12"/>
      <c r="O49" s="12"/>
      <c r="P49" s="54">
        <f t="shared" si="11"/>
        <v>0</v>
      </c>
    </row>
    <row r="50" spans="1:16" ht="15" customHeight="1" x14ac:dyDescent="0.25">
      <c r="A50" s="553"/>
      <c r="B50" s="559"/>
      <c r="C50" s="110">
        <v>27</v>
      </c>
      <c r="D50" s="12"/>
      <c r="E50" s="12"/>
      <c r="F50" s="12"/>
      <c r="G50" s="12"/>
      <c r="H50" s="12"/>
      <c r="I50" s="12"/>
      <c r="J50" s="12"/>
      <c r="K50" s="12"/>
      <c r="L50" s="12"/>
      <c r="M50" s="12"/>
      <c r="N50" s="12"/>
      <c r="O50" s="12"/>
      <c r="P50" s="54">
        <f t="shared" si="11"/>
        <v>0</v>
      </c>
    </row>
    <row r="51" spans="1:16" ht="15" customHeight="1" x14ac:dyDescent="0.25">
      <c r="A51" s="551">
        <v>122</v>
      </c>
      <c r="B51" s="558" t="s">
        <v>26</v>
      </c>
      <c r="C51" s="110">
        <v>11</v>
      </c>
      <c r="D51" s="12">
        <v>55850</v>
      </c>
      <c r="E51" s="12">
        <v>24012</v>
      </c>
      <c r="F51" s="12">
        <v>40003</v>
      </c>
      <c r="G51" s="12">
        <v>35420</v>
      </c>
      <c r="H51" s="12">
        <v>81324</v>
      </c>
      <c r="I51" s="12">
        <v>29690</v>
      </c>
      <c r="J51" s="12">
        <v>136432</v>
      </c>
      <c r="K51" s="12">
        <v>31424</v>
      </c>
      <c r="L51" s="12">
        <v>36874</v>
      </c>
      <c r="M51" s="12">
        <v>78401</v>
      </c>
      <c r="N51" s="12">
        <v>39575</v>
      </c>
      <c r="O51" s="12">
        <v>59645</v>
      </c>
      <c r="P51" s="54">
        <f t="shared" si="11"/>
        <v>648650</v>
      </c>
    </row>
    <row r="52" spans="1:16" ht="15" customHeight="1" x14ac:dyDescent="0.25">
      <c r="A52" s="552"/>
      <c r="B52" s="559"/>
      <c r="C52" s="110">
        <v>12</v>
      </c>
      <c r="D52" s="12"/>
      <c r="E52" s="12"/>
      <c r="F52" s="12"/>
      <c r="G52" s="12"/>
      <c r="H52" s="12"/>
      <c r="I52" s="12"/>
      <c r="J52" s="12"/>
      <c r="K52" s="12"/>
      <c r="L52" s="12"/>
      <c r="M52" s="12"/>
      <c r="N52" s="12"/>
      <c r="O52" s="12"/>
      <c r="P52" s="54">
        <f t="shared" si="11"/>
        <v>0</v>
      </c>
    </row>
    <row r="53" spans="1:16" ht="15" customHeight="1" x14ac:dyDescent="0.25">
      <c r="A53" s="552"/>
      <c r="B53" s="559"/>
      <c r="C53" s="110">
        <v>13</v>
      </c>
      <c r="D53" s="12"/>
      <c r="E53" s="12"/>
      <c r="F53" s="12"/>
      <c r="G53" s="12"/>
      <c r="H53" s="12"/>
      <c r="I53" s="12"/>
      <c r="J53" s="12"/>
      <c r="K53" s="12"/>
      <c r="L53" s="12"/>
      <c r="M53" s="12"/>
      <c r="N53" s="12"/>
      <c r="O53" s="12"/>
      <c r="P53" s="54">
        <f t="shared" si="11"/>
        <v>0</v>
      </c>
    </row>
    <row r="54" spans="1:16" ht="15" customHeight="1" x14ac:dyDescent="0.25">
      <c r="A54" s="552"/>
      <c r="B54" s="559"/>
      <c r="C54" s="110">
        <v>14</v>
      </c>
      <c r="D54" s="12"/>
      <c r="E54" s="12"/>
      <c r="F54" s="12"/>
      <c r="G54" s="12"/>
      <c r="H54" s="12"/>
      <c r="I54" s="12"/>
      <c r="J54" s="12"/>
      <c r="K54" s="12"/>
      <c r="L54" s="12"/>
      <c r="M54" s="12"/>
      <c r="N54" s="12"/>
      <c r="O54" s="12"/>
      <c r="P54" s="54">
        <f t="shared" si="11"/>
        <v>0</v>
      </c>
    </row>
    <row r="55" spans="1:16" ht="15" customHeight="1" x14ac:dyDescent="0.25">
      <c r="A55" s="552"/>
      <c r="B55" s="559"/>
      <c r="C55" s="110">
        <v>15</v>
      </c>
      <c r="D55" s="12">
        <v>165469</v>
      </c>
      <c r="E55" s="12">
        <v>163484</v>
      </c>
      <c r="F55" s="12">
        <v>136850</v>
      </c>
      <c r="G55" s="12">
        <v>220265</v>
      </c>
      <c r="H55" s="12">
        <v>162860</v>
      </c>
      <c r="I55" s="12">
        <v>156150</v>
      </c>
      <c r="J55" s="12">
        <v>47472</v>
      </c>
      <c r="K55" s="12">
        <v>155636</v>
      </c>
      <c r="L55" s="12">
        <v>155606</v>
      </c>
      <c r="M55" s="12">
        <v>165934</v>
      </c>
      <c r="N55" s="12">
        <v>147018</v>
      </c>
      <c r="O55" s="12">
        <v>150159</v>
      </c>
      <c r="P55" s="54">
        <f t="shared" si="11"/>
        <v>1826903</v>
      </c>
    </row>
    <row r="56" spans="1:16" ht="15" customHeight="1" x14ac:dyDescent="0.25">
      <c r="A56" s="552"/>
      <c r="B56" s="559"/>
      <c r="C56" s="110">
        <v>16</v>
      </c>
      <c r="D56" s="12"/>
      <c r="E56" s="12"/>
      <c r="F56" s="12"/>
      <c r="G56" s="12"/>
      <c r="H56" s="12"/>
      <c r="I56" s="12"/>
      <c r="J56" s="12"/>
      <c r="K56" s="12"/>
      <c r="L56" s="12"/>
      <c r="M56" s="12"/>
      <c r="N56" s="12"/>
      <c r="O56" s="12"/>
      <c r="P56" s="54">
        <f t="shared" si="11"/>
        <v>0</v>
      </c>
    </row>
    <row r="57" spans="1:16" ht="15" customHeight="1" x14ac:dyDescent="0.25">
      <c r="A57" s="552"/>
      <c r="B57" s="559"/>
      <c r="C57" s="110">
        <v>17</v>
      </c>
      <c r="D57" s="12"/>
      <c r="E57" s="12"/>
      <c r="F57" s="12"/>
      <c r="G57" s="12"/>
      <c r="H57" s="12"/>
      <c r="I57" s="12"/>
      <c r="J57" s="12"/>
      <c r="K57" s="12"/>
      <c r="L57" s="12"/>
      <c r="M57" s="12"/>
      <c r="N57" s="12"/>
      <c r="O57" s="12"/>
      <c r="P57" s="54">
        <f t="shared" si="11"/>
        <v>0</v>
      </c>
    </row>
    <row r="58" spans="1:16" ht="15" customHeight="1" x14ac:dyDescent="0.25">
      <c r="A58" s="552"/>
      <c r="B58" s="559"/>
      <c r="C58" s="110">
        <v>25</v>
      </c>
      <c r="D58" s="12"/>
      <c r="E58" s="12"/>
      <c r="F58" s="12"/>
      <c r="G58" s="12"/>
      <c r="H58" s="12"/>
      <c r="I58" s="12"/>
      <c r="J58" s="12"/>
      <c r="K58" s="12"/>
      <c r="L58" s="12"/>
      <c r="M58" s="12"/>
      <c r="N58" s="12"/>
      <c r="O58" s="12"/>
      <c r="P58" s="54">
        <f t="shared" si="11"/>
        <v>0</v>
      </c>
    </row>
    <row r="59" spans="1:16" ht="15" customHeight="1" x14ac:dyDescent="0.25">
      <c r="A59" s="552"/>
      <c r="B59" s="559"/>
      <c r="C59" s="110">
        <v>26</v>
      </c>
      <c r="D59" s="12"/>
      <c r="E59" s="12"/>
      <c r="F59" s="12"/>
      <c r="G59" s="12"/>
      <c r="H59" s="12"/>
      <c r="I59" s="12"/>
      <c r="J59" s="12"/>
      <c r="K59" s="12"/>
      <c r="L59" s="12"/>
      <c r="M59" s="12"/>
      <c r="N59" s="12"/>
      <c r="O59" s="12"/>
      <c r="P59" s="54">
        <f t="shared" si="11"/>
        <v>0</v>
      </c>
    </row>
    <row r="60" spans="1:16" ht="15" customHeight="1" x14ac:dyDescent="0.25">
      <c r="A60" s="553"/>
      <c r="B60" s="559"/>
      <c r="C60" s="110">
        <v>27</v>
      </c>
      <c r="D60" s="12"/>
      <c r="E60" s="12"/>
      <c r="F60" s="12"/>
      <c r="G60" s="12"/>
      <c r="H60" s="12"/>
      <c r="I60" s="12"/>
      <c r="J60" s="12"/>
      <c r="K60" s="12"/>
      <c r="L60" s="12"/>
      <c r="M60" s="12"/>
      <c r="N60" s="12"/>
      <c r="O60" s="12"/>
      <c r="P60" s="54">
        <f t="shared" si="11"/>
        <v>0</v>
      </c>
    </row>
    <row r="61" spans="1:16" ht="15" customHeight="1" x14ac:dyDescent="0.25">
      <c r="A61" s="551">
        <v>123</v>
      </c>
      <c r="B61" s="558" t="s">
        <v>27</v>
      </c>
      <c r="C61" s="110">
        <v>11</v>
      </c>
      <c r="D61" s="12"/>
      <c r="E61" s="12"/>
      <c r="F61" s="12"/>
      <c r="G61" s="12"/>
      <c r="H61" s="12"/>
      <c r="I61" s="12"/>
      <c r="J61" s="12"/>
      <c r="K61" s="12"/>
      <c r="L61" s="12"/>
      <c r="M61" s="12"/>
      <c r="N61" s="12"/>
      <c r="O61" s="12"/>
      <c r="P61" s="54">
        <f t="shared" si="11"/>
        <v>0</v>
      </c>
    </row>
    <row r="62" spans="1:16" ht="15" customHeight="1" x14ac:dyDescent="0.25">
      <c r="A62" s="552"/>
      <c r="B62" s="559"/>
      <c r="C62" s="110">
        <v>12</v>
      </c>
      <c r="D62" s="12"/>
      <c r="E62" s="12"/>
      <c r="F62" s="12"/>
      <c r="G62" s="12"/>
      <c r="H62" s="12"/>
      <c r="I62" s="12"/>
      <c r="J62" s="12"/>
      <c r="K62" s="12"/>
      <c r="L62" s="12"/>
      <c r="M62" s="12"/>
      <c r="N62" s="12"/>
      <c r="O62" s="12"/>
      <c r="P62" s="54">
        <f t="shared" si="11"/>
        <v>0</v>
      </c>
    </row>
    <row r="63" spans="1:16" ht="15" customHeight="1" x14ac:dyDescent="0.25">
      <c r="A63" s="552"/>
      <c r="B63" s="559"/>
      <c r="C63" s="110">
        <v>13</v>
      </c>
      <c r="D63" s="12"/>
      <c r="E63" s="12"/>
      <c r="F63" s="12"/>
      <c r="G63" s="12"/>
      <c r="H63" s="12"/>
      <c r="I63" s="12"/>
      <c r="J63" s="12"/>
      <c r="K63" s="12"/>
      <c r="L63" s="12"/>
      <c r="M63" s="12"/>
      <c r="N63" s="12"/>
      <c r="O63" s="12"/>
      <c r="P63" s="54">
        <f t="shared" si="11"/>
        <v>0</v>
      </c>
    </row>
    <row r="64" spans="1:16" ht="15" customHeight="1" x14ac:dyDescent="0.25">
      <c r="A64" s="552"/>
      <c r="B64" s="559"/>
      <c r="C64" s="110">
        <v>14</v>
      </c>
      <c r="D64" s="12"/>
      <c r="E64" s="12"/>
      <c r="F64" s="12"/>
      <c r="G64" s="12"/>
      <c r="H64" s="12"/>
      <c r="I64" s="12"/>
      <c r="J64" s="12"/>
      <c r="K64" s="12"/>
      <c r="L64" s="12"/>
      <c r="M64" s="12"/>
      <c r="N64" s="12"/>
      <c r="O64" s="12"/>
      <c r="P64" s="54">
        <f t="shared" si="11"/>
        <v>0</v>
      </c>
    </row>
    <row r="65" spans="1:16" ht="15" customHeight="1" x14ac:dyDescent="0.25">
      <c r="A65" s="552"/>
      <c r="B65" s="559"/>
      <c r="C65" s="110">
        <v>15</v>
      </c>
      <c r="D65" s="12"/>
      <c r="E65" s="12"/>
      <c r="F65" s="12"/>
      <c r="G65" s="12"/>
      <c r="H65" s="12"/>
      <c r="I65" s="12"/>
      <c r="J65" s="12"/>
      <c r="K65" s="12"/>
      <c r="L65" s="12"/>
      <c r="M65" s="12"/>
      <c r="N65" s="12"/>
      <c r="O65" s="12"/>
      <c r="P65" s="54">
        <f t="shared" si="11"/>
        <v>0</v>
      </c>
    </row>
    <row r="66" spans="1:16" ht="15" customHeight="1" x14ac:dyDescent="0.25">
      <c r="A66" s="552"/>
      <c r="B66" s="559"/>
      <c r="C66" s="110">
        <v>16</v>
      </c>
      <c r="D66" s="12"/>
      <c r="E66" s="12"/>
      <c r="F66" s="12"/>
      <c r="G66" s="12"/>
      <c r="H66" s="12"/>
      <c r="I66" s="12"/>
      <c r="J66" s="12"/>
      <c r="K66" s="12"/>
      <c r="L66" s="12"/>
      <c r="M66" s="12"/>
      <c r="N66" s="12"/>
      <c r="O66" s="12"/>
      <c r="P66" s="54">
        <f t="shared" si="11"/>
        <v>0</v>
      </c>
    </row>
    <row r="67" spans="1:16" ht="15" customHeight="1" x14ac:dyDescent="0.25">
      <c r="A67" s="552"/>
      <c r="B67" s="559"/>
      <c r="C67" s="110">
        <v>17</v>
      </c>
      <c r="D67" s="12"/>
      <c r="E67" s="12"/>
      <c r="F67" s="12"/>
      <c r="G67" s="12"/>
      <c r="H67" s="12"/>
      <c r="I67" s="12"/>
      <c r="J67" s="12"/>
      <c r="K67" s="12"/>
      <c r="L67" s="12"/>
      <c r="M67" s="12"/>
      <c r="N67" s="12"/>
      <c r="O67" s="12"/>
      <c r="P67" s="54">
        <f t="shared" si="11"/>
        <v>0</v>
      </c>
    </row>
    <row r="68" spans="1:16" ht="15" customHeight="1" x14ac:dyDescent="0.25">
      <c r="A68" s="552"/>
      <c r="B68" s="559"/>
      <c r="C68" s="110">
        <v>25</v>
      </c>
      <c r="D68" s="12"/>
      <c r="E68" s="12"/>
      <c r="F68" s="12"/>
      <c r="G68" s="12"/>
      <c r="H68" s="12"/>
      <c r="I68" s="12"/>
      <c r="J68" s="12"/>
      <c r="K68" s="12"/>
      <c r="L68" s="12"/>
      <c r="M68" s="12"/>
      <c r="N68" s="12"/>
      <c r="O68" s="12"/>
      <c r="P68" s="54">
        <f t="shared" si="11"/>
        <v>0</v>
      </c>
    </row>
    <row r="69" spans="1:16" ht="15" customHeight="1" x14ac:dyDescent="0.25">
      <c r="A69" s="552"/>
      <c r="B69" s="559"/>
      <c r="C69" s="110">
        <v>26</v>
      </c>
      <c r="D69" s="12"/>
      <c r="E69" s="12"/>
      <c r="F69" s="12"/>
      <c r="G69" s="12"/>
      <c r="H69" s="12"/>
      <c r="I69" s="12"/>
      <c r="J69" s="12"/>
      <c r="K69" s="12"/>
      <c r="L69" s="12"/>
      <c r="M69" s="12"/>
      <c r="N69" s="12"/>
      <c r="O69" s="12"/>
      <c r="P69" s="54">
        <f t="shared" si="11"/>
        <v>0</v>
      </c>
    </row>
    <row r="70" spans="1:16" ht="15" customHeight="1" x14ac:dyDescent="0.25">
      <c r="A70" s="553"/>
      <c r="B70" s="559"/>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2280</v>
      </c>
      <c r="C72" s="308"/>
      <c r="D72" s="63">
        <f>SUM(D73:D134)</f>
        <v>28569</v>
      </c>
      <c r="E72" s="63">
        <f t="shared" ref="E72:O72" si="12">SUM(E73:E134)</f>
        <v>18317</v>
      </c>
      <c r="F72" s="63">
        <f t="shared" si="12"/>
        <v>950</v>
      </c>
      <c r="G72" s="63">
        <f t="shared" si="12"/>
        <v>22489</v>
      </c>
      <c r="H72" s="63">
        <f t="shared" si="12"/>
        <v>17112</v>
      </c>
      <c r="I72" s="63">
        <f t="shared" si="12"/>
        <v>10078</v>
      </c>
      <c r="J72" s="63">
        <f t="shared" si="12"/>
        <v>1382</v>
      </c>
      <c r="K72" s="63">
        <f t="shared" si="12"/>
        <v>3712</v>
      </c>
      <c r="L72" s="63">
        <f t="shared" si="12"/>
        <v>22843</v>
      </c>
      <c r="M72" s="63">
        <f t="shared" si="12"/>
        <v>10459</v>
      </c>
      <c r="N72" s="63">
        <f t="shared" si="12"/>
        <v>14569</v>
      </c>
      <c r="O72" s="63">
        <f t="shared" si="12"/>
        <v>3846695</v>
      </c>
      <c r="P72" s="63">
        <f>SUM(P73:P134)</f>
        <v>3997175</v>
      </c>
    </row>
    <row r="73" spans="1:16" ht="15" customHeight="1" x14ac:dyDescent="0.25">
      <c r="A73" s="551">
        <v>131</v>
      </c>
      <c r="B73" s="558"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2"/>
      <c r="B74" s="559"/>
      <c r="C74" s="110">
        <v>12</v>
      </c>
      <c r="D74" s="12"/>
      <c r="E74" s="12"/>
      <c r="F74" s="12"/>
      <c r="G74" s="12"/>
      <c r="H74" s="12"/>
      <c r="I74" s="12"/>
      <c r="J74" s="12"/>
      <c r="K74" s="12"/>
      <c r="L74" s="12"/>
      <c r="M74" s="12"/>
      <c r="N74" s="12"/>
      <c r="O74" s="12"/>
      <c r="P74" s="54">
        <f t="shared" si="13"/>
        <v>0</v>
      </c>
    </row>
    <row r="75" spans="1:16" ht="15" customHeight="1" x14ac:dyDescent="0.25">
      <c r="A75" s="552"/>
      <c r="B75" s="559"/>
      <c r="C75" s="110">
        <v>13</v>
      </c>
      <c r="D75" s="12"/>
      <c r="E75" s="12"/>
      <c r="F75" s="12"/>
      <c r="G75" s="12"/>
      <c r="H75" s="12"/>
      <c r="I75" s="12"/>
      <c r="J75" s="12"/>
      <c r="K75" s="12"/>
      <c r="L75" s="12"/>
      <c r="M75" s="12"/>
      <c r="N75" s="12"/>
      <c r="O75" s="12"/>
      <c r="P75" s="54">
        <f t="shared" si="13"/>
        <v>0</v>
      </c>
    </row>
    <row r="76" spans="1:16" ht="15" customHeight="1" x14ac:dyDescent="0.25">
      <c r="A76" s="552"/>
      <c r="B76" s="559"/>
      <c r="C76" s="110">
        <v>14</v>
      </c>
      <c r="D76" s="12"/>
      <c r="E76" s="12"/>
      <c r="F76" s="12"/>
      <c r="G76" s="12"/>
      <c r="H76" s="12"/>
      <c r="I76" s="12"/>
      <c r="J76" s="12"/>
      <c r="K76" s="12"/>
      <c r="L76" s="12"/>
      <c r="M76" s="12"/>
      <c r="N76" s="12"/>
      <c r="O76" s="12"/>
      <c r="P76" s="54">
        <f t="shared" si="13"/>
        <v>0</v>
      </c>
    </row>
    <row r="77" spans="1:16" ht="15" customHeight="1" x14ac:dyDescent="0.25">
      <c r="A77" s="552"/>
      <c r="B77" s="559"/>
      <c r="C77" s="110">
        <v>15</v>
      </c>
      <c r="D77" s="12"/>
      <c r="E77" s="12"/>
      <c r="F77" s="12"/>
      <c r="G77" s="12"/>
      <c r="H77" s="12"/>
      <c r="I77" s="12"/>
      <c r="J77" s="12"/>
      <c r="K77" s="12"/>
      <c r="L77" s="12"/>
      <c r="M77" s="12"/>
      <c r="N77" s="12"/>
      <c r="O77" s="12"/>
      <c r="P77" s="54">
        <f t="shared" si="13"/>
        <v>0</v>
      </c>
    </row>
    <row r="78" spans="1:16" ht="15" customHeight="1" x14ac:dyDescent="0.25">
      <c r="A78" s="552"/>
      <c r="B78" s="559"/>
      <c r="C78" s="110">
        <v>16</v>
      </c>
      <c r="D78" s="12"/>
      <c r="E78" s="12"/>
      <c r="F78" s="12"/>
      <c r="G78" s="12"/>
      <c r="H78" s="12"/>
      <c r="I78" s="12"/>
      <c r="J78" s="12"/>
      <c r="K78" s="12"/>
      <c r="L78" s="12"/>
      <c r="M78" s="12"/>
      <c r="N78" s="12"/>
      <c r="O78" s="12"/>
      <c r="P78" s="54">
        <f t="shared" si="13"/>
        <v>0</v>
      </c>
    </row>
    <row r="79" spans="1:16" ht="15" customHeight="1" x14ac:dyDescent="0.25">
      <c r="A79" s="552"/>
      <c r="B79" s="559"/>
      <c r="C79" s="110">
        <v>17</v>
      </c>
      <c r="D79" s="12"/>
      <c r="E79" s="12"/>
      <c r="F79" s="12"/>
      <c r="G79" s="12"/>
      <c r="H79" s="12"/>
      <c r="I79" s="12"/>
      <c r="J79" s="12"/>
      <c r="K79" s="12"/>
      <c r="L79" s="12"/>
      <c r="M79" s="12"/>
      <c r="N79" s="12"/>
      <c r="O79" s="12"/>
      <c r="P79" s="54">
        <f t="shared" si="13"/>
        <v>0</v>
      </c>
    </row>
    <row r="80" spans="1:16" ht="15" customHeight="1" x14ac:dyDescent="0.25">
      <c r="A80" s="552"/>
      <c r="B80" s="559"/>
      <c r="C80" s="110">
        <v>25</v>
      </c>
      <c r="D80" s="12"/>
      <c r="E80" s="12"/>
      <c r="F80" s="12"/>
      <c r="G80" s="12"/>
      <c r="H80" s="12"/>
      <c r="I80" s="12"/>
      <c r="J80" s="12"/>
      <c r="K80" s="12"/>
      <c r="L80" s="12"/>
      <c r="M80" s="12"/>
      <c r="N80" s="12"/>
      <c r="O80" s="12"/>
      <c r="P80" s="54">
        <f t="shared" si="13"/>
        <v>0</v>
      </c>
    </row>
    <row r="81" spans="1:16" ht="15" customHeight="1" x14ac:dyDescent="0.25">
      <c r="A81" s="552"/>
      <c r="B81" s="559"/>
      <c r="C81" s="110">
        <v>26</v>
      </c>
      <c r="D81" s="12"/>
      <c r="E81" s="12"/>
      <c r="F81" s="12"/>
      <c r="G81" s="12"/>
      <c r="H81" s="12"/>
      <c r="I81" s="12"/>
      <c r="J81" s="12"/>
      <c r="K81" s="12"/>
      <c r="L81" s="12"/>
      <c r="M81" s="12"/>
      <c r="N81" s="12"/>
      <c r="O81" s="12"/>
      <c r="P81" s="54">
        <f t="shared" si="13"/>
        <v>0</v>
      </c>
    </row>
    <row r="82" spans="1:16" ht="15" customHeight="1" x14ac:dyDescent="0.25">
      <c r="A82" s="553"/>
      <c r="B82" s="559"/>
      <c r="C82" s="110">
        <v>27</v>
      </c>
      <c r="D82" s="12"/>
      <c r="E82" s="12"/>
      <c r="F82" s="12"/>
      <c r="G82" s="12"/>
      <c r="H82" s="12"/>
      <c r="I82" s="12"/>
      <c r="J82" s="12"/>
      <c r="K82" s="12"/>
      <c r="L82" s="12"/>
      <c r="M82" s="12"/>
      <c r="N82" s="12"/>
      <c r="O82" s="12"/>
      <c r="P82" s="54">
        <f t="shared" si="13"/>
        <v>0</v>
      </c>
    </row>
    <row r="83" spans="1:16" ht="15" customHeight="1" x14ac:dyDescent="0.25">
      <c r="A83" s="551">
        <v>132</v>
      </c>
      <c r="B83" s="558" t="s">
        <v>31</v>
      </c>
      <c r="C83" s="110">
        <v>11</v>
      </c>
      <c r="D83" s="12"/>
      <c r="E83" s="12"/>
      <c r="F83" s="12"/>
      <c r="G83" s="12"/>
      <c r="H83" s="12"/>
      <c r="I83" s="12"/>
      <c r="J83" s="12"/>
      <c r="K83" s="12"/>
      <c r="L83" s="12"/>
      <c r="M83" s="12"/>
      <c r="N83" s="12"/>
      <c r="O83" s="12"/>
      <c r="P83" s="54">
        <f t="shared" si="13"/>
        <v>0</v>
      </c>
    </row>
    <row r="84" spans="1:16" ht="15" customHeight="1" x14ac:dyDescent="0.25">
      <c r="A84" s="552"/>
      <c r="B84" s="559"/>
      <c r="C84" s="110">
        <v>12</v>
      </c>
      <c r="D84" s="12"/>
      <c r="E84" s="12"/>
      <c r="F84" s="12"/>
      <c r="G84" s="12"/>
      <c r="H84" s="12"/>
      <c r="I84" s="12"/>
      <c r="J84" s="12"/>
      <c r="K84" s="12"/>
      <c r="L84" s="12"/>
      <c r="M84" s="12"/>
      <c r="N84" s="12"/>
      <c r="O84" s="12"/>
      <c r="P84" s="54">
        <f t="shared" si="13"/>
        <v>0</v>
      </c>
    </row>
    <row r="85" spans="1:16" ht="15" customHeight="1" x14ac:dyDescent="0.25">
      <c r="A85" s="552"/>
      <c r="B85" s="559"/>
      <c r="C85" s="110">
        <v>13</v>
      </c>
      <c r="D85" s="12"/>
      <c r="E85" s="12"/>
      <c r="F85" s="12"/>
      <c r="G85" s="12"/>
      <c r="H85" s="12"/>
      <c r="I85" s="12"/>
      <c r="J85" s="12"/>
      <c r="K85" s="12"/>
      <c r="L85" s="12"/>
      <c r="M85" s="12"/>
      <c r="N85" s="12"/>
      <c r="O85" s="12"/>
      <c r="P85" s="54">
        <f t="shared" si="13"/>
        <v>0</v>
      </c>
    </row>
    <row r="86" spans="1:16" ht="15" customHeight="1" x14ac:dyDescent="0.25">
      <c r="A86" s="552"/>
      <c r="B86" s="559"/>
      <c r="C86" s="110">
        <v>14</v>
      </c>
      <c r="D86" s="12"/>
      <c r="E86" s="12"/>
      <c r="F86" s="12"/>
      <c r="G86" s="12"/>
      <c r="H86" s="12"/>
      <c r="I86" s="12"/>
      <c r="J86" s="12"/>
      <c r="K86" s="12"/>
      <c r="L86" s="12"/>
      <c r="M86" s="12"/>
      <c r="N86" s="12"/>
      <c r="O86" s="12"/>
      <c r="P86" s="54">
        <f t="shared" si="13"/>
        <v>0</v>
      </c>
    </row>
    <row r="87" spans="1:16" ht="15" customHeight="1" x14ac:dyDescent="0.25">
      <c r="A87" s="552"/>
      <c r="B87" s="559"/>
      <c r="C87" s="110">
        <v>15</v>
      </c>
      <c r="D87" s="12"/>
      <c r="E87" s="12"/>
      <c r="F87" s="12"/>
      <c r="G87" s="12"/>
      <c r="H87" s="12"/>
      <c r="I87" s="12"/>
      <c r="J87" s="12"/>
      <c r="K87" s="12"/>
      <c r="L87" s="12"/>
      <c r="M87" s="12"/>
      <c r="N87" s="12"/>
      <c r="O87" s="12">
        <v>3824236</v>
      </c>
      <c r="P87" s="54">
        <f t="shared" si="13"/>
        <v>3824236</v>
      </c>
    </row>
    <row r="88" spans="1:16" ht="15" customHeight="1" x14ac:dyDescent="0.25">
      <c r="A88" s="552"/>
      <c r="B88" s="559"/>
      <c r="C88" s="110">
        <v>16</v>
      </c>
      <c r="D88" s="12"/>
      <c r="E88" s="12"/>
      <c r="F88" s="12"/>
      <c r="G88" s="12"/>
      <c r="H88" s="12"/>
      <c r="I88" s="12"/>
      <c r="J88" s="12"/>
      <c r="K88" s="12"/>
      <c r="L88" s="12"/>
      <c r="M88" s="12"/>
      <c r="N88" s="12"/>
      <c r="O88" s="12"/>
      <c r="P88" s="54">
        <f t="shared" si="13"/>
        <v>0</v>
      </c>
    </row>
    <row r="89" spans="1:16" ht="15" customHeight="1" x14ac:dyDescent="0.25">
      <c r="A89" s="552"/>
      <c r="B89" s="559"/>
      <c r="C89" s="110">
        <v>17</v>
      </c>
      <c r="D89" s="12"/>
      <c r="E89" s="12"/>
      <c r="F89" s="12"/>
      <c r="G89" s="12"/>
      <c r="H89" s="12"/>
      <c r="I89" s="12"/>
      <c r="J89" s="12"/>
      <c r="K89" s="12"/>
      <c r="L89" s="12"/>
      <c r="M89" s="12"/>
      <c r="N89" s="12"/>
      <c r="O89" s="12"/>
      <c r="P89" s="54">
        <f t="shared" si="13"/>
        <v>0</v>
      </c>
    </row>
    <row r="90" spans="1:16" ht="15" customHeight="1" x14ac:dyDescent="0.25">
      <c r="A90" s="552"/>
      <c r="B90" s="559"/>
      <c r="C90" s="110">
        <v>25</v>
      </c>
      <c r="D90" s="12"/>
      <c r="E90" s="12"/>
      <c r="F90" s="12"/>
      <c r="G90" s="12"/>
      <c r="H90" s="12"/>
      <c r="I90" s="12"/>
      <c r="J90" s="12"/>
      <c r="K90" s="12"/>
      <c r="L90" s="12"/>
      <c r="M90" s="12"/>
      <c r="N90" s="12"/>
      <c r="O90" s="12"/>
      <c r="P90" s="54">
        <f t="shared" si="13"/>
        <v>0</v>
      </c>
    </row>
    <row r="91" spans="1:16" ht="15" customHeight="1" x14ac:dyDescent="0.25">
      <c r="A91" s="552"/>
      <c r="B91" s="559"/>
      <c r="C91" s="110">
        <v>26</v>
      </c>
      <c r="D91" s="12"/>
      <c r="E91" s="12"/>
      <c r="F91" s="12"/>
      <c r="G91" s="12"/>
      <c r="H91" s="12"/>
      <c r="I91" s="12"/>
      <c r="J91" s="12"/>
      <c r="K91" s="12"/>
      <c r="L91" s="12"/>
      <c r="M91" s="12"/>
      <c r="N91" s="12"/>
      <c r="O91" s="12"/>
      <c r="P91" s="54">
        <f t="shared" si="13"/>
        <v>0</v>
      </c>
    </row>
    <row r="92" spans="1:16" ht="15" customHeight="1" x14ac:dyDescent="0.25">
      <c r="A92" s="553"/>
      <c r="B92" s="559"/>
      <c r="C92" s="110">
        <v>27</v>
      </c>
      <c r="D92" s="12"/>
      <c r="E92" s="12"/>
      <c r="F92" s="12"/>
      <c r="G92" s="12"/>
      <c r="H92" s="12"/>
      <c r="I92" s="12"/>
      <c r="J92" s="12"/>
      <c r="K92" s="12"/>
      <c r="L92" s="12"/>
      <c r="M92" s="12"/>
      <c r="N92" s="12"/>
      <c r="O92" s="12"/>
      <c r="P92" s="54">
        <f t="shared" si="13"/>
        <v>0</v>
      </c>
    </row>
    <row r="93" spans="1:16" ht="15" customHeight="1" x14ac:dyDescent="0.25">
      <c r="A93" s="551">
        <v>133</v>
      </c>
      <c r="B93" s="558" t="s">
        <v>32</v>
      </c>
      <c r="C93" s="110">
        <v>11</v>
      </c>
      <c r="D93" s="12"/>
      <c r="E93" s="12"/>
      <c r="F93" s="12"/>
      <c r="G93" s="12"/>
      <c r="H93" s="12"/>
      <c r="I93" s="12"/>
      <c r="J93" s="12"/>
      <c r="K93" s="12"/>
      <c r="L93" s="12"/>
      <c r="M93" s="12"/>
      <c r="N93" s="12"/>
      <c r="O93" s="12"/>
      <c r="P93" s="54">
        <f t="shared" si="13"/>
        <v>0</v>
      </c>
    </row>
    <row r="94" spans="1:16" ht="15" customHeight="1" x14ac:dyDescent="0.25">
      <c r="A94" s="552"/>
      <c r="B94" s="559"/>
      <c r="C94" s="110">
        <v>12</v>
      </c>
      <c r="D94" s="12"/>
      <c r="E94" s="12"/>
      <c r="F94" s="12"/>
      <c r="G94" s="12"/>
      <c r="H94" s="12"/>
      <c r="I94" s="12"/>
      <c r="J94" s="12"/>
      <c r="K94" s="12"/>
      <c r="L94" s="12"/>
      <c r="M94" s="12"/>
      <c r="N94" s="12"/>
      <c r="O94" s="12"/>
      <c r="P94" s="54">
        <f t="shared" si="13"/>
        <v>0</v>
      </c>
    </row>
    <row r="95" spans="1:16" ht="15" customHeight="1" x14ac:dyDescent="0.25">
      <c r="A95" s="552"/>
      <c r="B95" s="559"/>
      <c r="C95" s="110">
        <v>13</v>
      </c>
      <c r="D95" s="12"/>
      <c r="E95" s="12"/>
      <c r="F95" s="12"/>
      <c r="G95" s="12"/>
      <c r="H95" s="12"/>
      <c r="I95" s="12"/>
      <c r="J95" s="12"/>
      <c r="K95" s="12"/>
      <c r="L95" s="12"/>
      <c r="M95" s="12"/>
      <c r="N95" s="12"/>
      <c r="O95" s="12"/>
      <c r="P95" s="54">
        <f t="shared" si="13"/>
        <v>0</v>
      </c>
    </row>
    <row r="96" spans="1:16" ht="15" customHeight="1" x14ac:dyDescent="0.25">
      <c r="A96" s="552"/>
      <c r="B96" s="559"/>
      <c r="C96" s="110">
        <v>14</v>
      </c>
      <c r="D96" s="12"/>
      <c r="E96" s="12"/>
      <c r="F96" s="12"/>
      <c r="G96" s="12"/>
      <c r="H96" s="12"/>
      <c r="I96" s="12"/>
      <c r="J96" s="12"/>
      <c r="K96" s="12"/>
      <c r="L96" s="12"/>
      <c r="M96" s="12"/>
      <c r="N96" s="12"/>
      <c r="O96" s="12"/>
      <c r="P96" s="54">
        <f t="shared" si="13"/>
        <v>0</v>
      </c>
    </row>
    <row r="97" spans="1:16" ht="15" customHeight="1" x14ac:dyDescent="0.25">
      <c r="A97" s="552"/>
      <c r="B97" s="559"/>
      <c r="C97" s="110">
        <v>15</v>
      </c>
      <c r="D97" s="12">
        <v>28569</v>
      </c>
      <c r="E97" s="12">
        <v>18317</v>
      </c>
      <c r="F97" s="12">
        <v>950</v>
      </c>
      <c r="G97" s="12">
        <v>22489</v>
      </c>
      <c r="H97" s="12">
        <v>17112</v>
      </c>
      <c r="I97" s="12">
        <v>10078</v>
      </c>
      <c r="J97" s="12">
        <v>1382</v>
      </c>
      <c r="K97" s="12">
        <v>3712</v>
      </c>
      <c r="L97" s="12">
        <v>22843</v>
      </c>
      <c r="M97" s="12">
        <v>10459</v>
      </c>
      <c r="N97" s="12">
        <v>14569</v>
      </c>
      <c r="O97" s="12">
        <v>22459</v>
      </c>
      <c r="P97" s="54">
        <f t="shared" si="13"/>
        <v>172939</v>
      </c>
    </row>
    <row r="98" spans="1:16" ht="15" customHeight="1" x14ac:dyDescent="0.25">
      <c r="A98" s="552"/>
      <c r="B98" s="559"/>
      <c r="C98" s="110">
        <v>16</v>
      </c>
      <c r="D98" s="12"/>
      <c r="E98" s="12"/>
      <c r="F98" s="12"/>
      <c r="G98" s="12"/>
      <c r="H98" s="12"/>
      <c r="I98" s="12"/>
      <c r="J98" s="12"/>
      <c r="K98" s="12"/>
      <c r="L98" s="12"/>
      <c r="M98" s="12"/>
      <c r="N98" s="12"/>
      <c r="O98" s="12"/>
      <c r="P98" s="54">
        <f t="shared" si="13"/>
        <v>0</v>
      </c>
    </row>
    <row r="99" spans="1:16" ht="15" customHeight="1" x14ac:dyDescent="0.25">
      <c r="A99" s="552"/>
      <c r="B99" s="559"/>
      <c r="C99" s="110">
        <v>17</v>
      </c>
      <c r="D99" s="12"/>
      <c r="E99" s="12"/>
      <c r="F99" s="12"/>
      <c r="G99" s="12"/>
      <c r="H99" s="12"/>
      <c r="I99" s="12"/>
      <c r="J99" s="12"/>
      <c r="K99" s="12"/>
      <c r="L99" s="12"/>
      <c r="M99" s="12"/>
      <c r="N99" s="12"/>
      <c r="O99" s="12"/>
      <c r="P99" s="54">
        <f t="shared" si="13"/>
        <v>0</v>
      </c>
    </row>
    <row r="100" spans="1:16" ht="15" customHeight="1" x14ac:dyDescent="0.25">
      <c r="A100" s="552"/>
      <c r="B100" s="559"/>
      <c r="C100" s="110">
        <v>25</v>
      </c>
      <c r="D100" s="12"/>
      <c r="E100" s="12"/>
      <c r="F100" s="12"/>
      <c r="G100" s="12"/>
      <c r="H100" s="12"/>
      <c r="I100" s="12"/>
      <c r="J100" s="12"/>
      <c r="K100" s="12"/>
      <c r="L100" s="12"/>
      <c r="M100" s="12"/>
      <c r="N100" s="12"/>
      <c r="O100" s="12"/>
      <c r="P100" s="54">
        <f t="shared" si="13"/>
        <v>0</v>
      </c>
    </row>
    <row r="101" spans="1:16" ht="15" customHeight="1" x14ac:dyDescent="0.25">
      <c r="A101" s="552"/>
      <c r="B101" s="559"/>
      <c r="C101" s="110">
        <v>26</v>
      </c>
      <c r="D101" s="12"/>
      <c r="E101" s="12"/>
      <c r="F101" s="12"/>
      <c r="G101" s="12"/>
      <c r="H101" s="12"/>
      <c r="I101" s="12"/>
      <c r="J101" s="12"/>
      <c r="K101" s="12"/>
      <c r="L101" s="12"/>
      <c r="M101" s="12"/>
      <c r="N101" s="12"/>
      <c r="O101" s="12"/>
      <c r="P101" s="54">
        <f t="shared" si="13"/>
        <v>0</v>
      </c>
    </row>
    <row r="102" spans="1:16" ht="15" customHeight="1" x14ac:dyDescent="0.25">
      <c r="A102" s="553"/>
      <c r="B102" s="559"/>
      <c r="C102" s="110">
        <v>27</v>
      </c>
      <c r="D102" s="12"/>
      <c r="E102" s="12"/>
      <c r="F102" s="12"/>
      <c r="G102" s="12"/>
      <c r="H102" s="12"/>
      <c r="I102" s="12"/>
      <c r="J102" s="12"/>
      <c r="K102" s="12"/>
      <c r="L102" s="12"/>
      <c r="M102" s="12"/>
      <c r="N102" s="12"/>
      <c r="O102" s="12"/>
      <c r="P102" s="54">
        <f t="shared" si="13"/>
        <v>0</v>
      </c>
    </row>
    <row r="103" spans="1:16" ht="15" customHeight="1" x14ac:dyDescent="0.25">
      <c r="A103" s="551">
        <v>134</v>
      </c>
      <c r="B103" s="558" t="s">
        <v>33</v>
      </c>
      <c r="C103" s="110">
        <v>11</v>
      </c>
      <c r="D103" s="12"/>
      <c r="E103" s="12"/>
      <c r="F103" s="12"/>
      <c r="G103" s="12"/>
      <c r="H103" s="12"/>
      <c r="I103" s="12"/>
      <c r="J103" s="12"/>
      <c r="K103" s="12"/>
      <c r="L103" s="12"/>
      <c r="M103" s="12"/>
      <c r="N103" s="12"/>
      <c r="O103" s="12"/>
      <c r="P103" s="54">
        <f t="shared" si="13"/>
        <v>0</v>
      </c>
    </row>
    <row r="104" spans="1:16" ht="15" customHeight="1" x14ac:dyDescent="0.25">
      <c r="A104" s="552"/>
      <c r="B104" s="559"/>
      <c r="C104" s="110">
        <v>12</v>
      </c>
      <c r="D104" s="12"/>
      <c r="E104" s="12"/>
      <c r="F104" s="12"/>
      <c r="G104" s="12"/>
      <c r="H104" s="12"/>
      <c r="I104" s="12"/>
      <c r="J104" s="12"/>
      <c r="K104" s="12"/>
      <c r="L104" s="12"/>
      <c r="M104" s="12"/>
      <c r="N104" s="12"/>
      <c r="O104" s="12"/>
      <c r="P104" s="54">
        <f t="shared" si="13"/>
        <v>0</v>
      </c>
    </row>
    <row r="105" spans="1:16" ht="15" customHeight="1" x14ac:dyDescent="0.25">
      <c r="A105" s="552"/>
      <c r="B105" s="559"/>
      <c r="C105" s="110">
        <v>13</v>
      </c>
      <c r="D105" s="12"/>
      <c r="E105" s="12"/>
      <c r="F105" s="12"/>
      <c r="G105" s="12"/>
      <c r="H105" s="12"/>
      <c r="I105" s="12"/>
      <c r="J105" s="12"/>
      <c r="K105" s="12"/>
      <c r="L105" s="12"/>
      <c r="M105" s="12"/>
      <c r="N105" s="12"/>
      <c r="O105" s="12"/>
      <c r="P105" s="54">
        <f t="shared" si="13"/>
        <v>0</v>
      </c>
    </row>
    <row r="106" spans="1:16" ht="15" customHeight="1" x14ac:dyDescent="0.25">
      <c r="A106" s="552"/>
      <c r="B106" s="559"/>
      <c r="C106" s="110">
        <v>14</v>
      </c>
      <c r="D106" s="12"/>
      <c r="E106" s="12"/>
      <c r="F106" s="12"/>
      <c r="G106" s="12"/>
      <c r="H106" s="12"/>
      <c r="I106" s="12"/>
      <c r="J106" s="12"/>
      <c r="K106" s="12"/>
      <c r="L106" s="12"/>
      <c r="M106" s="12"/>
      <c r="N106" s="12"/>
      <c r="O106" s="12"/>
      <c r="P106" s="54">
        <f t="shared" si="13"/>
        <v>0</v>
      </c>
    </row>
    <row r="107" spans="1:16" ht="15" customHeight="1" x14ac:dyDescent="0.25">
      <c r="A107" s="552"/>
      <c r="B107" s="559"/>
      <c r="C107" s="110">
        <v>15</v>
      </c>
      <c r="D107" s="12"/>
      <c r="E107" s="12"/>
      <c r="F107" s="12"/>
      <c r="G107" s="12"/>
      <c r="H107" s="12"/>
      <c r="I107" s="12"/>
      <c r="J107" s="12"/>
      <c r="K107" s="12"/>
      <c r="L107" s="12"/>
      <c r="M107" s="12"/>
      <c r="N107" s="12"/>
      <c r="O107" s="12"/>
      <c r="P107" s="54">
        <f t="shared" si="13"/>
        <v>0</v>
      </c>
    </row>
    <row r="108" spans="1:16" ht="15" customHeight="1" x14ac:dyDescent="0.25">
      <c r="A108" s="552"/>
      <c r="B108" s="559"/>
      <c r="C108" s="110">
        <v>16</v>
      </c>
      <c r="D108" s="12"/>
      <c r="E108" s="12"/>
      <c r="F108" s="12"/>
      <c r="G108" s="12"/>
      <c r="H108" s="12"/>
      <c r="I108" s="12"/>
      <c r="J108" s="12"/>
      <c r="K108" s="12"/>
      <c r="L108" s="12"/>
      <c r="M108" s="12"/>
      <c r="N108" s="12"/>
      <c r="O108" s="12"/>
      <c r="P108" s="54">
        <f t="shared" si="13"/>
        <v>0</v>
      </c>
    </row>
    <row r="109" spans="1:16" ht="15" customHeight="1" x14ac:dyDescent="0.25">
      <c r="A109" s="552"/>
      <c r="B109" s="559"/>
      <c r="C109" s="110">
        <v>17</v>
      </c>
      <c r="D109" s="12"/>
      <c r="E109" s="12"/>
      <c r="F109" s="12"/>
      <c r="G109" s="12"/>
      <c r="H109" s="12"/>
      <c r="I109" s="12"/>
      <c r="J109" s="12"/>
      <c r="K109" s="12"/>
      <c r="L109" s="12"/>
      <c r="M109" s="12"/>
      <c r="N109" s="12"/>
      <c r="O109" s="12"/>
      <c r="P109" s="54">
        <f t="shared" si="13"/>
        <v>0</v>
      </c>
    </row>
    <row r="110" spans="1:16" ht="15" customHeight="1" x14ac:dyDescent="0.25">
      <c r="A110" s="552"/>
      <c r="B110" s="559"/>
      <c r="C110" s="110">
        <v>25</v>
      </c>
      <c r="D110" s="12"/>
      <c r="E110" s="12"/>
      <c r="F110" s="12"/>
      <c r="G110" s="12"/>
      <c r="H110" s="12"/>
      <c r="I110" s="12"/>
      <c r="J110" s="12"/>
      <c r="K110" s="12"/>
      <c r="L110" s="12"/>
      <c r="M110" s="12"/>
      <c r="N110" s="12"/>
      <c r="O110" s="12"/>
      <c r="P110" s="54">
        <f t="shared" si="13"/>
        <v>0</v>
      </c>
    </row>
    <row r="111" spans="1:16" ht="15" customHeight="1" x14ac:dyDescent="0.25">
      <c r="A111" s="552"/>
      <c r="B111" s="559"/>
      <c r="C111" s="110">
        <v>26</v>
      </c>
      <c r="D111" s="12"/>
      <c r="E111" s="12"/>
      <c r="F111" s="12"/>
      <c r="G111" s="12"/>
      <c r="H111" s="12"/>
      <c r="I111" s="12"/>
      <c r="J111" s="12"/>
      <c r="K111" s="12"/>
      <c r="L111" s="12"/>
      <c r="M111" s="12"/>
      <c r="N111" s="12"/>
      <c r="O111" s="12"/>
      <c r="P111" s="54">
        <f t="shared" si="13"/>
        <v>0</v>
      </c>
    </row>
    <row r="112" spans="1:16" ht="15" customHeight="1" x14ac:dyDescent="0.25">
      <c r="A112" s="553"/>
      <c r="B112" s="559"/>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1">
        <v>137</v>
      </c>
      <c r="B115" s="558" t="s">
        <v>36</v>
      </c>
      <c r="C115" s="110">
        <v>11</v>
      </c>
      <c r="D115" s="12"/>
      <c r="E115" s="12"/>
      <c r="F115" s="12"/>
      <c r="G115" s="12"/>
      <c r="H115" s="12"/>
      <c r="I115" s="12"/>
      <c r="J115" s="12"/>
      <c r="K115" s="12"/>
      <c r="L115" s="12"/>
      <c r="M115" s="12"/>
      <c r="N115" s="12"/>
      <c r="O115" s="12"/>
      <c r="P115" s="54">
        <f t="shared" si="13"/>
        <v>0</v>
      </c>
    </row>
    <row r="116" spans="1:16" ht="15" customHeight="1" x14ac:dyDescent="0.25">
      <c r="A116" s="552"/>
      <c r="B116" s="559"/>
      <c r="C116" s="110">
        <v>12</v>
      </c>
      <c r="D116" s="12"/>
      <c r="E116" s="12"/>
      <c r="F116" s="12"/>
      <c r="G116" s="12"/>
      <c r="H116" s="12"/>
      <c r="I116" s="12"/>
      <c r="J116" s="12"/>
      <c r="K116" s="12"/>
      <c r="L116" s="12"/>
      <c r="M116" s="12"/>
      <c r="N116" s="12"/>
      <c r="O116" s="12"/>
      <c r="P116" s="54">
        <f t="shared" si="13"/>
        <v>0</v>
      </c>
    </row>
    <row r="117" spans="1:16" ht="15" customHeight="1" x14ac:dyDescent="0.25">
      <c r="A117" s="552"/>
      <c r="B117" s="559"/>
      <c r="C117" s="110">
        <v>13</v>
      </c>
      <c r="D117" s="12"/>
      <c r="E117" s="12"/>
      <c r="F117" s="12"/>
      <c r="G117" s="12"/>
      <c r="H117" s="12"/>
      <c r="I117" s="12"/>
      <c r="J117" s="12"/>
      <c r="K117" s="12"/>
      <c r="L117" s="12"/>
      <c r="M117" s="12"/>
      <c r="N117" s="12"/>
      <c r="O117" s="12"/>
      <c r="P117" s="54">
        <f t="shared" si="13"/>
        <v>0</v>
      </c>
    </row>
    <row r="118" spans="1:16" ht="15" customHeight="1" x14ac:dyDescent="0.25">
      <c r="A118" s="552"/>
      <c r="B118" s="559"/>
      <c r="C118" s="110">
        <v>14</v>
      </c>
      <c r="D118" s="12"/>
      <c r="E118" s="12"/>
      <c r="F118" s="12"/>
      <c r="G118" s="12"/>
      <c r="H118" s="12"/>
      <c r="I118" s="12"/>
      <c r="J118" s="12"/>
      <c r="K118" s="12"/>
      <c r="L118" s="12"/>
      <c r="M118" s="12"/>
      <c r="N118" s="12"/>
      <c r="O118" s="12"/>
      <c r="P118" s="54">
        <f t="shared" si="13"/>
        <v>0</v>
      </c>
    </row>
    <row r="119" spans="1:16" ht="15" customHeight="1" x14ac:dyDescent="0.25">
      <c r="A119" s="552"/>
      <c r="B119" s="559"/>
      <c r="C119" s="110">
        <v>15</v>
      </c>
      <c r="D119" s="12"/>
      <c r="E119" s="12"/>
      <c r="F119" s="12"/>
      <c r="G119" s="12"/>
      <c r="H119" s="12"/>
      <c r="I119" s="12"/>
      <c r="J119" s="12"/>
      <c r="K119" s="12"/>
      <c r="L119" s="12"/>
      <c r="M119" s="12"/>
      <c r="N119" s="12"/>
      <c r="O119" s="12"/>
      <c r="P119" s="54">
        <f t="shared" si="13"/>
        <v>0</v>
      </c>
    </row>
    <row r="120" spans="1:16" ht="15" customHeight="1" x14ac:dyDescent="0.25">
      <c r="A120" s="552"/>
      <c r="B120" s="559"/>
      <c r="C120" s="110">
        <v>16</v>
      </c>
      <c r="D120" s="12"/>
      <c r="E120" s="12"/>
      <c r="F120" s="12"/>
      <c r="G120" s="12"/>
      <c r="H120" s="12"/>
      <c r="I120" s="12"/>
      <c r="J120" s="12"/>
      <c r="K120" s="12"/>
      <c r="L120" s="12"/>
      <c r="M120" s="12"/>
      <c r="N120" s="12"/>
      <c r="O120" s="12"/>
      <c r="P120" s="54">
        <f t="shared" si="13"/>
        <v>0</v>
      </c>
    </row>
    <row r="121" spans="1:16" ht="15" customHeight="1" x14ac:dyDescent="0.25">
      <c r="A121" s="552"/>
      <c r="B121" s="559"/>
      <c r="C121" s="110">
        <v>17</v>
      </c>
      <c r="D121" s="12"/>
      <c r="E121" s="12"/>
      <c r="F121" s="12"/>
      <c r="G121" s="12"/>
      <c r="H121" s="12"/>
      <c r="I121" s="12"/>
      <c r="J121" s="12"/>
      <c r="K121" s="12"/>
      <c r="L121" s="12"/>
      <c r="M121" s="12"/>
      <c r="N121" s="12"/>
      <c r="O121" s="12"/>
      <c r="P121" s="54">
        <f t="shared" si="13"/>
        <v>0</v>
      </c>
    </row>
    <row r="122" spans="1:16" ht="15" customHeight="1" x14ac:dyDescent="0.25">
      <c r="A122" s="552"/>
      <c r="B122" s="559"/>
      <c r="C122" s="110">
        <v>25</v>
      </c>
      <c r="D122" s="12"/>
      <c r="E122" s="12"/>
      <c r="F122" s="12"/>
      <c r="G122" s="12"/>
      <c r="H122" s="12"/>
      <c r="I122" s="12"/>
      <c r="J122" s="12"/>
      <c r="K122" s="12"/>
      <c r="L122" s="12"/>
      <c r="M122" s="12"/>
      <c r="N122" s="12"/>
      <c r="O122" s="12"/>
      <c r="P122" s="54">
        <f t="shared" si="13"/>
        <v>0</v>
      </c>
    </row>
    <row r="123" spans="1:16" ht="15" customHeight="1" x14ac:dyDescent="0.25">
      <c r="A123" s="552"/>
      <c r="B123" s="559"/>
      <c r="C123" s="110">
        <v>26</v>
      </c>
      <c r="D123" s="12"/>
      <c r="E123" s="12"/>
      <c r="F123" s="12"/>
      <c r="G123" s="12"/>
      <c r="H123" s="12"/>
      <c r="I123" s="12"/>
      <c r="J123" s="12"/>
      <c r="K123" s="12"/>
      <c r="L123" s="12"/>
      <c r="M123" s="12"/>
      <c r="N123" s="12"/>
      <c r="O123" s="12"/>
      <c r="P123" s="54">
        <f t="shared" si="13"/>
        <v>0</v>
      </c>
    </row>
    <row r="124" spans="1:16" ht="15" customHeight="1" x14ac:dyDescent="0.25">
      <c r="A124" s="553"/>
      <c r="B124" s="559"/>
      <c r="C124" s="110">
        <v>27</v>
      </c>
      <c r="D124" s="12"/>
      <c r="E124" s="12"/>
      <c r="F124" s="12"/>
      <c r="G124" s="12"/>
      <c r="H124" s="12"/>
      <c r="I124" s="12"/>
      <c r="J124" s="12"/>
      <c r="K124" s="12"/>
      <c r="L124" s="12"/>
      <c r="M124" s="12"/>
      <c r="N124" s="12"/>
      <c r="O124" s="12"/>
      <c r="P124" s="54">
        <f t="shared" si="13"/>
        <v>0</v>
      </c>
    </row>
    <row r="125" spans="1:16" ht="15" customHeight="1" x14ac:dyDescent="0.25">
      <c r="A125" s="551">
        <v>138</v>
      </c>
      <c r="B125" s="558" t="s">
        <v>37</v>
      </c>
      <c r="C125" s="110">
        <v>11</v>
      </c>
      <c r="D125" s="12"/>
      <c r="E125" s="12"/>
      <c r="F125" s="12"/>
      <c r="G125" s="12"/>
      <c r="H125" s="12"/>
      <c r="I125" s="12"/>
      <c r="J125" s="12"/>
      <c r="K125" s="12"/>
      <c r="L125" s="12"/>
      <c r="M125" s="12"/>
      <c r="N125" s="12"/>
      <c r="O125" s="12"/>
      <c r="P125" s="54">
        <f t="shared" si="13"/>
        <v>0</v>
      </c>
    </row>
    <row r="126" spans="1:16" ht="15" customHeight="1" x14ac:dyDescent="0.25">
      <c r="A126" s="552"/>
      <c r="B126" s="559"/>
      <c r="C126" s="110">
        <v>12</v>
      </c>
      <c r="D126" s="12"/>
      <c r="E126" s="12"/>
      <c r="F126" s="12"/>
      <c r="G126" s="12"/>
      <c r="H126" s="12"/>
      <c r="I126" s="12"/>
      <c r="J126" s="12"/>
      <c r="K126" s="12"/>
      <c r="L126" s="12"/>
      <c r="M126" s="12"/>
      <c r="N126" s="12"/>
      <c r="O126" s="12"/>
      <c r="P126" s="54">
        <f t="shared" si="13"/>
        <v>0</v>
      </c>
    </row>
    <row r="127" spans="1:16" ht="15" customHeight="1" x14ac:dyDescent="0.25">
      <c r="A127" s="552"/>
      <c r="B127" s="559"/>
      <c r="C127" s="110">
        <v>13</v>
      </c>
      <c r="D127" s="12"/>
      <c r="E127" s="12"/>
      <c r="F127" s="12"/>
      <c r="G127" s="12"/>
      <c r="H127" s="12"/>
      <c r="I127" s="12"/>
      <c r="J127" s="12"/>
      <c r="K127" s="12"/>
      <c r="L127" s="12"/>
      <c r="M127" s="12"/>
      <c r="N127" s="12"/>
      <c r="O127" s="12"/>
      <c r="P127" s="54">
        <f t="shared" si="13"/>
        <v>0</v>
      </c>
    </row>
    <row r="128" spans="1:16" ht="15" customHeight="1" x14ac:dyDescent="0.25">
      <c r="A128" s="552"/>
      <c r="B128" s="559"/>
      <c r="C128" s="110">
        <v>14</v>
      </c>
      <c r="D128" s="12"/>
      <c r="E128" s="12"/>
      <c r="F128" s="12"/>
      <c r="G128" s="12"/>
      <c r="H128" s="12"/>
      <c r="I128" s="12"/>
      <c r="J128" s="12"/>
      <c r="K128" s="12"/>
      <c r="L128" s="12"/>
      <c r="M128" s="12"/>
      <c r="N128" s="12"/>
      <c r="O128" s="12"/>
      <c r="P128" s="54">
        <f t="shared" si="13"/>
        <v>0</v>
      </c>
    </row>
    <row r="129" spans="1:16" ht="15" customHeight="1" x14ac:dyDescent="0.25">
      <c r="A129" s="552"/>
      <c r="B129" s="559"/>
      <c r="C129" s="110">
        <v>15</v>
      </c>
      <c r="D129" s="12"/>
      <c r="E129" s="12"/>
      <c r="F129" s="12"/>
      <c r="G129" s="12"/>
      <c r="H129" s="12"/>
      <c r="I129" s="12"/>
      <c r="J129" s="12"/>
      <c r="K129" s="12"/>
      <c r="L129" s="12"/>
      <c r="M129" s="12"/>
      <c r="N129" s="12"/>
      <c r="O129" s="12"/>
      <c r="P129" s="54">
        <f t="shared" si="13"/>
        <v>0</v>
      </c>
    </row>
    <row r="130" spans="1:16" ht="15" customHeight="1" x14ac:dyDescent="0.25">
      <c r="A130" s="552"/>
      <c r="B130" s="559"/>
      <c r="C130" s="110">
        <v>16</v>
      </c>
      <c r="D130" s="12"/>
      <c r="E130" s="12"/>
      <c r="F130" s="12"/>
      <c r="G130" s="12"/>
      <c r="H130" s="12"/>
      <c r="I130" s="12"/>
      <c r="J130" s="12"/>
      <c r="K130" s="12"/>
      <c r="L130" s="12"/>
      <c r="M130" s="12"/>
      <c r="N130" s="12"/>
      <c r="O130" s="12"/>
      <c r="P130" s="54">
        <f t="shared" si="13"/>
        <v>0</v>
      </c>
    </row>
    <row r="131" spans="1:16" ht="15" customHeight="1" x14ac:dyDescent="0.25">
      <c r="A131" s="552"/>
      <c r="B131" s="559"/>
      <c r="C131" s="110">
        <v>17</v>
      </c>
      <c r="D131" s="12"/>
      <c r="E131" s="12"/>
      <c r="F131" s="12"/>
      <c r="G131" s="12"/>
      <c r="H131" s="12"/>
      <c r="I131" s="12"/>
      <c r="J131" s="12"/>
      <c r="K131" s="12"/>
      <c r="L131" s="12"/>
      <c r="M131" s="12"/>
      <c r="N131" s="12"/>
      <c r="O131" s="12"/>
      <c r="P131" s="54">
        <f t="shared" si="13"/>
        <v>0</v>
      </c>
    </row>
    <row r="132" spans="1:16" ht="15" customHeight="1" x14ac:dyDescent="0.25">
      <c r="A132" s="552"/>
      <c r="B132" s="559"/>
      <c r="C132" s="110">
        <v>25</v>
      </c>
      <c r="D132" s="66"/>
      <c r="E132" s="66"/>
      <c r="F132" s="66"/>
      <c r="G132" s="66"/>
      <c r="H132" s="66"/>
      <c r="I132" s="66"/>
      <c r="J132" s="66"/>
      <c r="K132" s="66"/>
      <c r="L132" s="66"/>
      <c r="M132" s="66"/>
      <c r="N132" s="66"/>
      <c r="O132" s="66"/>
      <c r="P132" s="54">
        <f t="shared" si="13"/>
        <v>0</v>
      </c>
    </row>
    <row r="133" spans="1:16" ht="15" customHeight="1" x14ac:dyDescent="0.25">
      <c r="A133" s="552"/>
      <c r="B133" s="559"/>
      <c r="C133" s="110">
        <v>26</v>
      </c>
      <c r="D133" s="66"/>
      <c r="E133" s="66"/>
      <c r="F133" s="66"/>
      <c r="G133" s="66"/>
      <c r="H133" s="66"/>
      <c r="I133" s="66"/>
      <c r="J133" s="66"/>
      <c r="K133" s="66"/>
      <c r="L133" s="66"/>
      <c r="M133" s="66"/>
      <c r="N133" s="66"/>
      <c r="O133" s="66"/>
      <c r="P133" s="54">
        <f t="shared" si="13"/>
        <v>0</v>
      </c>
    </row>
    <row r="134" spans="1:16" ht="15" customHeight="1" x14ac:dyDescent="0.25">
      <c r="A134" s="553"/>
      <c r="B134" s="559"/>
      <c r="C134" s="110">
        <v>27</v>
      </c>
      <c r="D134" s="66"/>
      <c r="E134" s="66"/>
      <c r="F134" s="66"/>
      <c r="G134" s="66"/>
      <c r="H134" s="66"/>
      <c r="I134" s="66"/>
      <c r="J134" s="66"/>
      <c r="K134" s="66"/>
      <c r="L134" s="66"/>
      <c r="M134" s="66"/>
      <c r="N134" s="66"/>
      <c r="O134" s="66"/>
      <c r="P134" s="54">
        <f t="shared" si="13"/>
        <v>0</v>
      </c>
    </row>
    <row r="135" spans="1:16" x14ac:dyDescent="0.25">
      <c r="A135" s="62">
        <v>1400</v>
      </c>
      <c r="B135" s="307" t="s">
        <v>2281</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x14ac:dyDescent="0.25">
      <c r="A136" s="551">
        <v>141</v>
      </c>
      <c r="B136" s="558" t="s">
        <v>39</v>
      </c>
      <c r="C136" s="110">
        <v>11</v>
      </c>
      <c r="D136" s="12"/>
      <c r="E136" s="12"/>
      <c r="F136" s="12"/>
      <c r="G136" s="12"/>
      <c r="H136" s="12"/>
      <c r="I136" s="12"/>
      <c r="J136" s="12"/>
      <c r="K136" s="12"/>
      <c r="L136" s="12"/>
      <c r="M136" s="12"/>
      <c r="N136" s="12"/>
      <c r="O136" s="12"/>
      <c r="P136" s="54">
        <f>SUM(D136:O136)</f>
        <v>0</v>
      </c>
    </row>
    <row r="137" spans="1:16" ht="15" customHeight="1" x14ac:dyDescent="0.25">
      <c r="A137" s="552"/>
      <c r="B137" s="559"/>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2"/>
      <c r="B138" s="559"/>
      <c r="C138" s="110">
        <v>13</v>
      </c>
      <c r="D138" s="12"/>
      <c r="E138" s="12"/>
      <c r="F138" s="12"/>
      <c r="G138" s="12"/>
      <c r="H138" s="12"/>
      <c r="I138" s="12"/>
      <c r="J138" s="12"/>
      <c r="K138" s="12"/>
      <c r="L138" s="12"/>
      <c r="M138" s="12"/>
      <c r="N138" s="12"/>
      <c r="O138" s="12"/>
      <c r="P138" s="54">
        <f t="shared" si="15"/>
        <v>0</v>
      </c>
    </row>
    <row r="139" spans="1:16" ht="15" customHeight="1" x14ac:dyDescent="0.25">
      <c r="A139" s="552"/>
      <c r="B139" s="559"/>
      <c r="C139" s="110">
        <v>14</v>
      </c>
      <c r="D139" s="12"/>
      <c r="E139" s="12"/>
      <c r="F139" s="12"/>
      <c r="G139" s="12"/>
      <c r="H139" s="12"/>
      <c r="I139" s="12"/>
      <c r="J139" s="12"/>
      <c r="K139" s="12"/>
      <c r="L139" s="12"/>
      <c r="M139" s="12"/>
      <c r="N139" s="12"/>
      <c r="O139" s="12"/>
      <c r="P139" s="54">
        <f t="shared" si="15"/>
        <v>0</v>
      </c>
    </row>
    <row r="140" spans="1:16" ht="15" customHeight="1" x14ac:dyDescent="0.25">
      <c r="A140" s="552"/>
      <c r="B140" s="559"/>
      <c r="C140" s="110">
        <v>15</v>
      </c>
      <c r="D140" s="12"/>
      <c r="E140" s="12"/>
      <c r="F140" s="12"/>
      <c r="G140" s="12"/>
      <c r="H140" s="12"/>
      <c r="I140" s="12"/>
      <c r="J140" s="12"/>
      <c r="K140" s="12"/>
      <c r="L140" s="12"/>
      <c r="M140" s="12"/>
      <c r="N140" s="12"/>
      <c r="O140" s="12"/>
      <c r="P140" s="54">
        <f t="shared" si="15"/>
        <v>0</v>
      </c>
    </row>
    <row r="141" spans="1:16" ht="15" customHeight="1" x14ac:dyDescent="0.25">
      <c r="A141" s="552"/>
      <c r="B141" s="559"/>
      <c r="C141" s="110">
        <v>16</v>
      </c>
      <c r="D141" s="12"/>
      <c r="E141" s="12"/>
      <c r="F141" s="12"/>
      <c r="G141" s="12"/>
      <c r="H141" s="12"/>
      <c r="I141" s="12"/>
      <c r="J141" s="12"/>
      <c r="K141" s="12"/>
      <c r="L141" s="12"/>
      <c r="M141" s="12"/>
      <c r="N141" s="12"/>
      <c r="O141" s="12"/>
      <c r="P141" s="54">
        <f t="shared" si="15"/>
        <v>0</v>
      </c>
    </row>
    <row r="142" spans="1:16" ht="15" customHeight="1" x14ac:dyDescent="0.25">
      <c r="A142" s="552"/>
      <c r="B142" s="559"/>
      <c r="C142" s="110">
        <v>17</v>
      </c>
      <c r="D142" s="12"/>
      <c r="E142" s="12"/>
      <c r="F142" s="12"/>
      <c r="G142" s="12"/>
      <c r="H142" s="12"/>
      <c r="I142" s="12"/>
      <c r="J142" s="12"/>
      <c r="K142" s="12"/>
      <c r="L142" s="12"/>
      <c r="M142" s="12"/>
      <c r="N142" s="12"/>
      <c r="O142" s="12"/>
      <c r="P142" s="54">
        <f t="shared" si="15"/>
        <v>0</v>
      </c>
    </row>
    <row r="143" spans="1:16" ht="15" customHeight="1" x14ac:dyDescent="0.25">
      <c r="A143" s="552"/>
      <c r="B143" s="559"/>
      <c r="C143" s="110">
        <v>25</v>
      </c>
      <c r="D143" s="12"/>
      <c r="E143" s="12"/>
      <c r="F143" s="12"/>
      <c r="G143" s="12"/>
      <c r="H143" s="12"/>
      <c r="I143" s="12"/>
      <c r="J143" s="12"/>
      <c r="K143" s="12"/>
      <c r="L143" s="12"/>
      <c r="M143" s="12"/>
      <c r="N143" s="12"/>
      <c r="O143" s="12"/>
      <c r="P143" s="54">
        <f t="shared" si="15"/>
        <v>0</v>
      </c>
    </row>
    <row r="144" spans="1:16" ht="15" customHeight="1" x14ac:dyDescent="0.25">
      <c r="A144" s="552"/>
      <c r="B144" s="559"/>
      <c r="C144" s="110">
        <v>26</v>
      </c>
      <c r="D144" s="12"/>
      <c r="E144" s="12"/>
      <c r="F144" s="12"/>
      <c r="G144" s="12"/>
      <c r="H144" s="12"/>
      <c r="I144" s="12"/>
      <c r="J144" s="12"/>
      <c r="K144" s="12"/>
      <c r="L144" s="12"/>
      <c r="M144" s="12"/>
      <c r="N144" s="12"/>
      <c r="O144" s="12"/>
      <c r="P144" s="54">
        <f t="shared" si="15"/>
        <v>0</v>
      </c>
    </row>
    <row r="145" spans="1:16" ht="15" customHeight="1" x14ac:dyDescent="0.25">
      <c r="A145" s="553"/>
      <c r="B145" s="559"/>
      <c r="C145" s="110">
        <v>27</v>
      </c>
      <c r="D145" s="12"/>
      <c r="E145" s="12"/>
      <c r="F145" s="12"/>
      <c r="G145" s="12"/>
      <c r="H145" s="12"/>
      <c r="I145" s="12"/>
      <c r="J145" s="12"/>
      <c r="K145" s="12"/>
      <c r="L145" s="12"/>
      <c r="M145" s="12"/>
      <c r="N145" s="12"/>
      <c r="O145" s="12"/>
      <c r="P145" s="54">
        <f t="shared" si="15"/>
        <v>0</v>
      </c>
    </row>
    <row r="146" spans="1:16" ht="15" customHeight="1" x14ac:dyDescent="0.25">
      <c r="A146" s="551">
        <v>142</v>
      </c>
      <c r="B146" s="558" t="s">
        <v>40</v>
      </c>
      <c r="C146" s="110">
        <v>11</v>
      </c>
      <c r="D146" s="12"/>
      <c r="E146" s="12"/>
      <c r="F146" s="12"/>
      <c r="G146" s="12"/>
      <c r="H146" s="12"/>
      <c r="I146" s="12"/>
      <c r="J146" s="12"/>
      <c r="K146" s="12"/>
      <c r="L146" s="12"/>
      <c r="M146" s="12"/>
      <c r="N146" s="12"/>
      <c r="O146" s="12"/>
      <c r="P146" s="54">
        <f t="shared" si="15"/>
        <v>0</v>
      </c>
    </row>
    <row r="147" spans="1:16" ht="15" customHeight="1" x14ac:dyDescent="0.25">
      <c r="A147" s="552"/>
      <c r="B147" s="559"/>
      <c r="C147" s="110">
        <v>12</v>
      </c>
      <c r="D147" s="12"/>
      <c r="E147" s="12"/>
      <c r="F147" s="12"/>
      <c r="G147" s="12"/>
      <c r="H147" s="12"/>
      <c r="I147" s="12"/>
      <c r="J147" s="12"/>
      <c r="K147" s="12"/>
      <c r="L147" s="12"/>
      <c r="M147" s="12"/>
      <c r="N147" s="12"/>
      <c r="O147" s="12"/>
      <c r="P147" s="54">
        <f t="shared" si="15"/>
        <v>0</v>
      </c>
    </row>
    <row r="148" spans="1:16" ht="15" customHeight="1" x14ac:dyDescent="0.25">
      <c r="A148" s="552"/>
      <c r="B148" s="559"/>
      <c r="C148" s="110">
        <v>13</v>
      </c>
      <c r="D148" s="12"/>
      <c r="E148" s="12"/>
      <c r="F148" s="12"/>
      <c r="G148" s="12"/>
      <c r="H148" s="12"/>
      <c r="I148" s="12"/>
      <c r="J148" s="12"/>
      <c r="K148" s="12"/>
      <c r="L148" s="12"/>
      <c r="M148" s="12"/>
      <c r="N148" s="12"/>
      <c r="O148" s="12"/>
      <c r="P148" s="54">
        <f t="shared" si="15"/>
        <v>0</v>
      </c>
    </row>
    <row r="149" spans="1:16" ht="15" customHeight="1" x14ac:dyDescent="0.25">
      <c r="A149" s="552"/>
      <c r="B149" s="559"/>
      <c r="C149" s="110">
        <v>14</v>
      </c>
      <c r="D149" s="12"/>
      <c r="E149" s="12"/>
      <c r="F149" s="12"/>
      <c r="G149" s="12"/>
      <c r="H149" s="12"/>
      <c r="I149" s="12"/>
      <c r="J149" s="12"/>
      <c r="K149" s="12"/>
      <c r="L149" s="12"/>
      <c r="M149" s="12"/>
      <c r="N149" s="12"/>
      <c r="O149" s="12"/>
      <c r="P149" s="54">
        <f t="shared" si="15"/>
        <v>0</v>
      </c>
    </row>
    <row r="150" spans="1:16" ht="15" customHeight="1" x14ac:dyDescent="0.25">
      <c r="A150" s="552"/>
      <c r="B150" s="559"/>
      <c r="C150" s="110">
        <v>15</v>
      </c>
      <c r="D150" s="12"/>
      <c r="E150" s="12"/>
      <c r="F150" s="12"/>
      <c r="G150" s="12"/>
      <c r="H150" s="12"/>
      <c r="I150" s="12"/>
      <c r="J150" s="12"/>
      <c r="K150" s="12"/>
      <c r="L150" s="12"/>
      <c r="M150" s="12"/>
      <c r="N150" s="12"/>
      <c r="O150" s="12"/>
      <c r="P150" s="54">
        <f t="shared" si="15"/>
        <v>0</v>
      </c>
    </row>
    <row r="151" spans="1:16" ht="15" customHeight="1" x14ac:dyDescent="0.25">
      <c r="A151" s="552"/>
      <c r="B151" s="559"/>
      <c r="C151" s="110">
        <v>16</v>
      </c>
      <c r="D151" s="12"/>
      <c r="E151" s="12"/>
      <c r="F151" s="12"/>
      <c r="G151" s="12"/>
      <c r="H151" s="12"/>
      <c r="I151" s="12"/>
      <c r="J151" s="12"/>
      <c r="K151" s="12"/>
      <c r="L151" s="12"/>
      <c r="M151" s="12"/>
      <c r="N151" s="12"/>
      <c r="O151" s="12"/>
      <c r="P151" s="54">
        <f t="shared" si="15"/>
        <v>0</v>
      </c>
    </row>
    <row r="152" spans="1:16" ht="15" customHeight="1" x14ac:dyDescent="0.25">
      <c r="A152" s="552"/>
      <c r="B152" s="559"/>
      <c r="C152" s="110">
        <v>17</v>
      </c>
      <c r="D152" s="12"/>
      <c r="E152" s="12"/>
      <c r="F152" s="12"/>
      <c r="G152" s="12"/>
      <c r="H152" s="12"/>
      <c r="I152" s="12"/>
      <c r="J152" s="12"/>
      <c r="K152" s="12"/>
      <c r="L152" s="12"/>
      <c r="M152" s="12"/>
      <c r="N152" s="12"/>
      <c r="O152" s="12"/>
      <c r="P152" s="54">
        <f t="shared" si="15"/>
        <v>0</v>
      </c>
    </row>
    <row r="153" spans="1:16" ht="15" customHeight="1" x14ac:dyDescent="0.25">
      <c r="A153" s="552"/>
      <c r="B153" s="559"/>
      <c r="C153" s="110">
        <v>25</v>
      </c>
      <c r="D153" s="12"/>
      <c r="E153" s="12"/>
      <c r="F153" s="12"/>
      <c r="G153" s="12"/>
      <c r="H153" s="12"/>
      <c r="I153" s="12"/>
      <c r="J153" s="12"/>
      <c r="K153" s="12"/>
      <c r="L153" s="12"/>
      <c r="M153" s="12"/>
      <c r="N153" s="12"/>
      <c r="O153" s="12"/>
      <c r="P153" s="54">
        <f t="shared" si="15"/>
        <v>0</v>
      </c>
    </row>
    <row r="154" spans="1:16" ht="15" customHeight="1" x14ac:dyDescent="0.25">
      <c r="A154" s="552"/>
      <c r="B154" s="559"/>
      <c r="C154" s="110">
        <v>26</v>
      </c>
      <c r="D154" s="12"/>
      <c r="E154" s="12"/>
      <c r="F154" s="12"/>
      <c r="G154" s="12"/>
      <c r="H154" s="12"/>
      <c r="I154" s="12"/>
      <c r="J154" s="12"/>
      <c r="K154" s="12"/>
      <c r="L154" s="12"/>
      <c r="M154" s="12"/>
      <c r="N154" s="12"/>
      <c r="O154" s="12"/>
      <c r="P154" s="54">
        <f t="shared" si="15"/>
        <v>0</v>
      </c>
    </row>
    <row r="155" spans="1:16" ht="15" customHeight="1" x14ac:dyDescent="0.25">
      <c r="A155" s="553"/>
      <c r="B155" s="559"/>
      <c r="C155" s="110">
        <v>27</v>
      </c>
      <c r="D155" s="12"/>
      <c r="E155" s="12"/>
      <c r="F155" s="12"/>
      <c r="G155" s="12"/>
      <c r="H155" s="12"/>
      <c r="I155" s="12"/>
      <c r="J155" s="12"/>
      <c r="K155" s="12"/>
      <c r="L155" s="12"/>
      <c r="M155" s="12"/>
      <c r="N155" s="12"/>
      <c r="O155" s="12"/>
      <c r="P155" s="54">
        <f t="shared" si="15"/>
        <v>0</v>
      </c>
    </row>
    <row r="156" spans="1:16" ht="15" customHeight="1" x14ac:dyDescent="0.25">
      <c r="A156" s="551">
        <v>143</v>
      </c>
      <c r="B156" s="558" t="s">
        <v>41</v>
      </c>
      <c r="C156" s="110">
        <v>11</v>
      </c>
      <c r="D156" s="12"/>
      <c r="E156" s="12"/>
      <c r="F156" s="12"/>
      <c r="G156" s="12"/>
      <c r="H156" s="12"/>
      <c r="I156" s="12"/>
      <c r="J156" s="12"/>
      <c r="K156" s="12"/>
      <c r="L156" s="12"/>
      <c r="M156" s="12"/>
      <c r="N156" s="12"/>
      <c r="O156" s="12"/>
      <c r="P156" s="54">
        <f t="shared" si="15"/>
        <v>0</v>
      </c>
    </row>
    <row r="157" spans="1:16" ht="15" customHeight="1" x14ac:dyDescent="0.25">
      <c r="A157" s="552"/>
      <c r="B157" s="559"/>
      <c r="C157" s="110">
        <v>12</v>
      </c>
      <c r="D157" s="12"/>
      <c r="E157" s="12"/>
      <c r="F157" s="12"/>
      <c r="G157" s="12"/>
      <c r="H157" s="12"/>
      <c r="I157" s="12"/>
      <c r="J157" s="12"/>
      <c r="K157" s="12"/>
      <c r="L157" s="12"/>
      <c r="M157" s="12"/>
      <c r="N157" s="12"/>
      <c r="O157" s="12"/>
      <c r="P157" s="54">
        <f t="shared" si="15"/>
        <v>0</v>
      </c>
    </row>
    <row r="158" spans="1:16" ht="15" customHeight="1" x14ac:dyDescent="0.25">
      <c r="A158" s="552"/>
      <c r="B158" s="559"/>
      <c r="C158" s="110">
        <v>13</v>
      </c>
      <c r="D158" s="12"/>
      <c r="E158" s="12"/>
      <c r="F158" s="12"/>
      <c r="G158" s="12"/>
      <c r="H158" s="12"/>
      <c r="I158" s="12"/>
      <c r="J158" s="12"/>
      <c r="K158" s="12"/>
      <c r="L158" s="12"/>
      <c r="M158" s="12"/>
      <c r="N158" s="12"/>
      <c r="O158" s="12"/>
      <c r="P158" s="54">
        <f t="shared" si="15"/>
        <v>0</v>
      </c>
    </row>
    <row r="159" spans="1:16" ht="15" customHeight="1" x14ac:dyDescent="0.25">
      <c r="A159" s="552"/>
      <c r="B159" s="559"/>
      <c r="C159" s="110">
        <v>14</v>
      </c>
      <c r="D159" s="12"/>
      <c r="E159" s="12"/>
      <c r="F159" s="12"/>
      <c r="G159" s="12"/>
      <c r="H159" s="12"/>
      <c r="I159" s="12"/>
      <c r="J159" s="12"/>
      <c r="K159" s="12"/>
      <c r="L159" s="12"/>
      <c r="M159" s="12"/>
      <c r="N159" s="12"/>
      <c r="O159" s="12"/>
      <c r="P159" s="54">
        <f t="shared" si="15"/>
        <v>0</v>
      </c>
    </row>
    <row r="160" spans="1:16" ht="15" customHeight="1" x14ac:dyDescent="0.25">
      <c r="A160" s="552"/>
      <c r="B160" s="559"/>
      <c r="C160" s="110">
        <v>15</v>
      </c>
      <c r="D160" s="12"/>
      <c r="E160" s="12"/>
      <c r="F160" s="12"/>
      <c r="G160" s="12"/>
      <c r="H160" s="12"/>
      <c r="I160" s="12"/>
      <c r="J160" s="12"/>
      <c r="K160" s="12"/>
      <c r="L160" s="12"/>
      <c r="M160" s="12"/>
      <c r="N160" s="12"/>
      <c r="O160" s="12"/>
      <c r="P160" s="54">
        <f t="shared" si="15"/>
        <v>0</v>
      </c>
    </row>
    <row r="161" spans="1:16" ht="15" customHeight="1" x14ac:dyDescent="0.25">
      <c r="A161" s="552"/>
      <c r="B161" s="559"/>
      <c r="C161" s="110">
        <v>16</v>
      </c>
      <c r="D161" s="12"/>
      <c r="E161" s="12"/>
      <c r="F161" s="12"/>
      <c r="G161" s="12"/>
      <c r="H161" s="12"/>
      <c r="I161" s="12"/>
      <c r="J161" s="12"/>
      <c r="K161" s="12"/>
      <c r="L161" s="12"/>
      <c r="M161" s="12"/>
      <c r="N161" s="12"/>
      <c r="O161" s="12"/>
      <c r="P161" s="54">
        <f t="shared" si="15"/>
        <v>0</v>
      </c>
    </row>
    <row r="162" spans="1:16" ht="15" customHeight="1" x14ac:dyDescent="0.25">
      <c r="A162" s="552"/>
      <c r="B162" s="559"/>
      <c r="C162" s="110">
        <v>17</v>
      </c>
      <c r="D162" s="12"/>
      <c r="E162" s="12"/>
      <c r="F162" s="12"/>
      <c r="G162" s="12"/>
      <c r="H162" s="12"/>
      <c r="I162" s="12"/>
      <c r="J162" s="12"/>
      <c r="K162" s="12"/>
      <c r="L162" s="12"/>
      <c r="M162" s="12"/>
      <c r="N162" s="12"/>
      <c r="O162" s="12"/>
      <c r="P162" s="54">
        <f t="shared" si="15"/>
        <v>0</v>
      </c>
    </row>
    <row r="163" spans="1:16" ht="15" customHeight="1" x14ac:dyDescent="0.25">
      <c r="A163" s="552"/>
      <c r="B163" s="559"/>
      <c r="C163" s="110">
        <v>25</v>
      </c>
      <c r="D163" s="12"/>
      <c r="E163" s="12"/>
      <c r="F163" s="12"/>
      <c r="G163" s="12"/>
      <c r="H163" s="12"/>
      <c r="I163" s="12"/>
      <c r="J163" s="12"/>
      <c r="K163" s="12"/>
      <c r="L163" s="12"/>
      <c r="M163" s="12"/>
      <c r="N163" s="12"/>
      <c r="O163" s="12"/>
      <c r="P163" s="54">
        <f t="shared" si="15"/>
        <v>0</v>
      </c>
    </row>
    <row r="164" spans="1:16" ht="15" customHeight="1" x14ac:dyDescent="0.25">
      <c r="A164" s="552"/>
      <c r="B164" s="559"/>
      <c r="C164" s="110">
        <v>26</v>
      </c>
      <c r="D164" s="12"/>
      <c r="E164" s="12"/>
      <c r="F164" s="12"/>
      <c r="G164" s="12"/>
      <c r="H164" s="12"/>
      <c r="I164" s="12"/>
      <c r="J164" s="12"/>
      <c r="K164" s="12"/>
      <c r="L164" s="12"/>
      <c r="M164" s="12"/>
      <c r="N164" s="12"/>
      <c r="O164" s="12"/>
      <c r="P164" s="54">
        <f t="shared" si="15"/>
        <v>0</v>
      </c>
    </row>
    <row r="165" spans="1:16" ht="15" customHeight="1" x14ac:dyDescent="0.25">
      <c r="A165" s="553"/>
      <c r="B165" s="559"/>
      <c r="C165" s="110">
        <v>27</v>
      </c>
      <c r="D165" s="12"/>
      <c r="E165" s="12"/>
      <c r="F165" s="12"/>
      <c r="G165" s="12"/>
      <c r="H165" s="12"/>
      <c r="I165" s="12"/>
      <c r="J165" s="12"/>
      <c r="K165" s="12"/>
      <c r="L165" s="12"/>
      <c r="M165" s="12"/>
      <c r="N165" s="12"/>
      <c r="O165" s="12"/>
      <c r="P165" s="54">
        <f t="shared" si="15"/>
        <v>0</v>
      </c>
    </row>
    <row r="166" spans="1:16" ht="15" customHeight="1" x14ac:dyDescent="0.25">
      <c r="A166" s="551">
        <v>144</v>
      </c>
      <c r="B166" s="558" t="s">
        <v>42</v>
      </c>
      <c r="C166" s="110">
        <v>11</v>
      </c>
      <c r="D166" s="12"/>
      <c r="E166" s="12"/>
      <c r="F166" s="12"/>
      <c r="G166" s="12"/>
      <c r="H166" s="12"/>
      <c r="I166" s="12"/>
      <c r="J166" s="12"/>
      <c r="K166" s="12"/>
      <c r="L166" s="12"/>
      <c r="M166" s="12"/>
      <c r="N166" s="12"/>
      <c r="O166" s="12"/>
      <c r="P166" s="54">
        <f t="shared" si="15"/>
        <v>0</v>
      </c>
    </row>
    <row r="167" spans="1:16" ht="15" customHeight="1" x14ac:dyDescent="0.25">
      <c r="A167" s="552"/>
      <c r="B167" s="559"/>
      <c r="C167" s="110">
        <v>12</v>
      </c>
      <c r="D167" s="12"/>
      <c r="E167" s="12"/>
      <c r="F167" s="12"/>
      <c r="G167" s="12"/>
      <c r="H167" s="12"/>
      <c r="I167" s="12"/>
      <c r="J167" s="12"/>
      <c r="K167" s="12"/>
      <c r="L167" s="12"/>
      <c r="M167" s="12"/>
      <c r="N167" s="12"/>
      <c r="O167" s="12"/>
      <c r="P167" s="54">
        <f t="shared" si="15"/>
        <v>0</v>
      </c>
    </row>
    <row r="168" spans="1:16" ht="15" customHeight="1" x14ac:dyDescent="0.25">
      <c r="A168" s="552"/>
      <c r="B168" s="559"/>
      <c r="C168" s="110">
        <v>13</v>
      </c>
      <c r="D168" s="12"/>
      <c r="E168" s="12"/>
      <c r="F168" s="12"/>
      <c r="G168" s="12"/>
      <c r="H168" s="12"/>
      <c r="I168" s="12"/>
      <c r="J168" s="12"/>
      <c r="K168" s="12"/>
      <c r="L168" s="12"/>
      <c r="M168" s="12"/>
      <c r="N168" s="12"/>
      <c r="O168" s="12"/>
      <c r="P168" s="54">
        <f t="shared" si="15"/>
        <v>0</v>
      </c>
    </row>
    <row r="169" spans="1:16" ht="15" customHeight="1" x14ac:dyDescent="0.25">
      <c r="A169" s="552"/>
      <c r="B169" s="559"/>
      <c r="C169" s="110">
        <v>14</v>
      </c>
      <c r="D169" s="12"/>
      <c r="E169" s="12"/>
      <c r="F169" s="12"/>
      <c r="G169" s="12"/>
      <c r="H169" s="12"/>
      <c r="I169" s="12"/>
      <c r="J169" s="12"/>
      <c r="K169" s="12"/>
      <c r="L169" s="12"/>
      <c r="M169" s="12"/>
      <c r="N169" s="12"/>
      <c r="O169" s="12"/>
      <c r="P169" s="54">
        <f t="shared" si="15"/>
        <v>0</v>
      </c>
    </row>
    <row r="170" spans="1:16" ht="15" customHeight="1" x14ac:dyDescent="0.25">
      <c r="A170" s="552"/>
      <c r="B170" s="559"/>
      <c r="C170" s="110">
        <v>15</v>
      </c>
      <c r="D170" s="12"/>
      <c r="E170" s="12"/>
      <c r="F170" s="12"/>
      <c r="G170" s="12"/>
      <c r="H170" s="12"/>
      <c r="I170" s="12"/>
      <c r="J170" s="12"/>
      <c r="K170" s="12"/>
      <c r="L170" s="12"/>
      <c r="M170" s="12"/>
      <c r="N170" s="12"/>
      <c r="O170" s="12"/>
      <c r="P170" s="54">
        <f t="shared" si="15"/>
        <v>0</v>
      </c>
    </row>
    <row r="171" spans="1:16" ht="15" customHeight="1" x14ac:dyDescent="0.25">
      <c r="A171" s="552"/>
      <c r="B171" s="559"/>
      <c r="C171" s="110">
        <v>16</v>
      </c>
      <c r="D171" s="12"/>
      <c r="E171" s="12"/>
      <c r="F171" s="12"/>
      <c r="G171" s="12"/>
      <c r="H171" s="12"/>
      <c r="I171" s="12"/>
      <c r="J171" s="12"/>
      <c r="K171" s="12"/>
      <c r="L171" s="12"/>
      <c r="M171" s="12"/>
      <c r="N171" s="12"/>
      <c r="O171" s="12"/>
      <c r="P171" s="54">
        <f t="shared" si="15"/>
        <v>0</v>
      </c>
    </row>
    <row r="172" spans="1:16" ht="15" customHeight="1" x14ac:dyDescent="0.25">
      <c r="A172" s="552"/>
      <c r="B172" s="559"/>
      <c r="C172" s="110">
        <v>17</v>
      </c>
      <c r="D172" s="12"/>
      <c r="E172" s="12"/>
      <c r="F172" s="12"/>
      <c r="G172" s="12"/>
      <c r="H172" s="12"/>
      <c r="I172" s="12"/>
      <c r="J172" s="12"/>
      <c r="K172" s="12"/>
      <c r="L172" s="12"/>
      <c r="M172" s="12"/>
      <c r="N172" s="12"/>
      <c r="O172" s="12"/>
      <c r="P172" s="54">
        <f t="shared" si="15"/>
        <v>0</v>
      </c>
    </row>
    <row r="173" spans="1:16" ht="15" customHeight="1" x14ac:dyDescent="0.25">
      <c r="A173" s="552"/>
      <c r="B173" s="559"/>
      <c r="C173" s="110">
        <v>25</v>
      </c>
      <c r="D173" s="66"/>
      <c r="E173" s="66"/>
      <c r="F173" s="66"/>
      <c r="G173" s="66"/>
      <c r="H173" s="66"/>
      <c r="I173" s="66"/>
      <c r="J173" s="66"/>
      <c r="K173" s="66"/>
      <c r="L173" s="66"/>
      <c r="M173" s="66"/>
      <c r="N173" s="66"/>
      <c r="O173" s="66"/>
      <c r="P173" s="54">
        <f t="shared" si="15"/>
        <v>0</v>
      </c>
    </row>
    <row r="174" spans="1:16" ht="15" customHeight="1" x14ac:dyDescent="0.25">
      <c r="A174" s="552"/>
      <c r="B174" s="559"/>
      <c r="C174" s="110">
        <v>26</v>
      </c>
      <c r="D174" s="66"/>
      <c r="E174" s="66"/>
      <c r="F174" s="66"/>
      <c r="G174" s="66"/>
      <c r="H174" s="66"/>
      <c r="I174" s="66"/>
      <c r="J174" s="66"/>
      <c r="K174" s="66"/>
      <c r="L174" s="66"/>
      <c r="M174" s="66"/>
      <c r="N174" s="66"/>
      <c r="O174" s="66"/>
      <c r="P174" s="54">
        <f t="shared" si="15"/>
        <v>0</v>
      </c>
    </row>
    <row r="175" spans="1:16" ht="15" customHeight="1" x14ac:dyDescent="0.25">
      <c r="A175" s="553"/>
      <c r="B175" s="559"/>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264756</v>
      </c>
      <c r="E176" s="63">
        <f t="shared" ref="E176:O176" si="16">SUM(E177:E236)</f>
        <v>160703</v>
      </c>
      <c r="F176" s="63">
        <f t="shared" si="16"/>
        <v>175696</v>
      </c>
      <c r="G176" s="63">
        <f t="shared" si="16"/>
        <v>133782</v>
      </c>
      <c r="H176" s="63">
        <f t="shared" si="16"/>
        <v>131495</v>
      </c>
      <c r="I176" s="63">
        <f t="shared" si="16"/>
        <v>48204</v>
      </c>
      <c r="J176" s="63">
        <f t="shared" si="16"/>
        <v>85353</v>
      </c>
      <c r="K176" s="63">
        <f t="shared" si="16"/>
        <v>86844</v>
      </c>
      <c r="L176" s="63">
        <f t="shared" si="16"/>
        <v>63481</v>
      </c>
      <c r="M176" s="63">
        <f t="shared" si="16"/>
        <v>42886</v>
      </c>
      <c r="N176" s="63">
        <f t="shared" si="16"/>
        <v>100584</v>
      </c>
      <c r="O176" s="63">
        <f t="shared" si="16"/>
        <v>111607</v>
      </c>
      <c r="P176" s="63">
        <f>SUM(P177:P236)</f>
        <v>1405391</v>
      </c>
    </row>
    <row r="177" spans="1:16" ht="15" customHeight="1" x14ac:dyDescent="0.25">
      <c r="A177" s="551">
        <v>151</v>
      </c>
      <c r="B177" s="558"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2"/>
      <c r="B178" s="559"/>
      <c r="C178" s="110">
        <v>12</v>
      </c>
      <c r="D178" s="12"/>
      <c r="E178" s="12"/>
      <c r="F178" s="12"/>
      <c r="G178" s="12"/>
      <c r="H178" s="12"/>
      <c r="I178" s="12"/>
      <c r="J178" s="12"/>
      <c r="K178" s="12"/>
      <c r="L178" s="12"/>
      <c r="M178" s="12"/>
      <c r="N178" s="12"/>
      <c r="O178" s="12"/>
      <c r="P178" s="54">
        <f t="shared" si="17"/>
        <v>0</v>
      </c>
    </row>
    <row r="179" spans="1:16" ht="15" customHeight="1" x14ac:dyDescent="0.25">
      <c r="A179" s="552"/>
      <c r="B179" s="559"/>
      <c r="C179" s="110">
        <v>13</v>
      </c>
      <c r="D179" s="12"/>
      <c r="E179" s="12"/>
      <c r="F179" s="12"/>
      <c r="G179" s="12"/>
      <c r="H179" s="12"/>
      <c r="I179" s="12"/>
      <c r="J179" s="12"/>
      <c r="K179" s="12"/>
      <c r="L179" s="12"/>
      <c r="M179" s="12"/>
      <c r="N179" s="12"/>
      <c r="O179" s="12"/>
      <c r="P179" s="54">
        <f t="shared" si="17"/>
        <v>0</v>
      </c>
    </row>
    <row r="180" spans="1:16" ht="15" customHeight="1" x14ac:dyDescent="0.25">
      <c r="A180" s="552"/>
      <c r="B180" s="559"/>
      <c r="C180" s="110">
        <v>14</v>
      </c>
      <c r="D180" s="12"/>
      <c r="E180" s="12"/>
      <c r="F180" s="12"/>
      <c r="G180" s="12"/>
      <c r="H180" s="12"/>
      <c r="I180" s="12"/>
      <c r="J180" s="12"/>
      <c r="K180" s="12"/>
      <c r="L180" s="12"/>
      <c r="M180" s="12"/>
      <c r="N180" s="12"/>
      <c r="O180" s="12"/>
      <c r="P180" s="54">
        <f t="shared" si="17"/>
        <v>0</v>
      </c>
    </row>
    <row r="181" spans="1:16" ht="15" customHeight="1" x14ac:dyDescent="0.25">
      <c r="A181" s="552"/>
      <c r="B181" s="559"/>
      <c r="C181" s="110">
        <v>15</v>
      </c>
      <c r="D181" s="12"/>
      <c r="E181" s="12"/>
      <c r="F181" s="12"/>
      <c r="G181" s="12"/>
      <c r="H181" s="12"/>
      <c r="I181" s="12"/>
      <c r="J181" s="12"/>
      <c r="K181" s="12"/>
      <c r="L181" s="12"/>
      <c r="M181" s="12"/>
      <c r="N181" s="12"/>
      <c r="O181" s="12"/>
      <c r="P181" s="54">
        <f t="shared" si="17"/>
        <v>0</v>
      </c>
    </row>
    <row r="182" spans="1:16" ht="15" customHeight="1" x14ac:dyDescent="0.25">
      <c r="A182" s="552"/>
      <c r="B182" s="559"/>
      <c r="C182" s="110">
        <v>16</v>
      </c>
      <c r="D182" s="12"/>
      <c r="E182" s="12"/>
      <c r="F182" s="12"/>
      <c r="G182" s="12"/>
      <c r="H182" s="12"/>
      <c r="I182" s="12"/>
      <c r="J182" s="12"/>
      <c r="K182" s="12"/>
      <c r="L182" s="12"/>
      <c r="M182" s="12"/>
      <c r="N182" s="12"/>
      <c r="O182" s="12"/>
      <c r="P182" s="54">
        <f t="shared" si="17"/>
        <v>0</v>
      </c>
    </row>
    <row r="183" spans="1:16" ht="15" customHeight="1" x14ac:dyDescent="0.25">
      <c r="A183" s="552"/>
      <c r="B183" s="559"/>
      <c r="C183" s="110">
        <v>17</v>
      </c>
      <c r="D183" s="12"/>
      <c r="E183" s="12"/>
      <c r="F183" s="12"/>
      <c r="G183" s="12"/>
      <c r="H183" s="12"/>
      <c r="I183" s="12"/>
      <c r="J183" s="12"/>
      <c r="K183" s="12"/>
      <c r="L183" s="12"/>
      <c r="M183" s="12"/>
      <c r="N183" s="12"/>
      <c r="O183" s="12"/>
      <c r="P183" s="54">
        <f t="shared" si="17"/>
        <v>0</v>
      </c>
    </row>
    <row r="184" spans="1:16" ht="15" customHeight="1" x14ac:dyDescent="0.25">
      <c r="A184" s="552"/>
      <c r="B184" s="559"/>
      <c r="C184" s="110">
        <v>25</v>
      </c>
      <c r="D184" s="12"/>
      <c r="E184" s="12"/>
      <c r="F184" s="12"/>
      <c r="G184" s="12"/>
      <c r="H184" s="12"/>
      <c r="I184" s="12"/>
      <c r="J184" s="12"/>
      <c r="K184" s="12"/>
      <c r="L184" s="12"/>
      <c r="M184" s="12"/>
      <c r="N184" s="12"/>
      <c r="O184" s="12"/>
      <c r="P184" s="54">
        <f t="shared" si="17"/>
        <v>0</v>
      </c>
    </row>
    <row r="185" spans="1:16" ht="15" customHeight="1" x14ac:dyDescent="0.25">
      <c r="A185" s="552"/>
      <c r="B185" s="559"/>
      <c r="C185" s="110">
        <v>26</v>
      </c>
      <c r="D185" s="12"/>
      <c r="E185" s="12"/>
      <c r="F185" s="12"/>
      <c r="G185" s="12"/>
      <c r="H185" s="12"/>
      <c r="I185" s="12"/>
      <c r="J185" s="12"/>
      <c r="K185" s="12"/>
      <c r="L185" s="12"/>
      <c r="M185" s="12"/>
      <c r="N185" s="12"/>
      <c r="O185" s="12"/>
      <c r="P185" s="54">
        <f t="shared" si="17"/>
        <v>0</v>
      </c>
    </row>
    <row r="186" spans="1:16" ht="15" customHeight="1" x14ac:dyDescent="0.25">
      <c r="A186" s="553"/>
      <c r="B186" s="559"/>
      <c r="C186" s="110">
        <v>27</v>
      </c>
      <c r="D186" s="12"/>
      <c r="E186" s="12"/>
      <c r="F186" s="12"/>
      <c r="G186" s="12"/>
      <c r="H186" s="12"/>
      <c r="I186" s="12"/>
      <c r="J186" s="12"/>
      <c r="K186" s="12"/>
      <c r="L186" s="12"/>
      <c r="M186" s="12"/>
      <c r="N186" s="12"/>
      <c r="O186" s="12"/>
      <c r="P186" s="54">
        <f t="shared" si="17"/>
        <v>0</v>
      </c>
    </row>
    <row r="187" spans="1:16" ht="15" customHeight="1" x14ac:dyDescent="0.25">
      <c r="A187" s="551">
        <v>152</v>
      </c>
      <c r="B187" s="558" t="s">
        <v>45</v>
      </c>
      <c r="C187" s="110">
        <v>11</v>
      </c>
      <c r="D187" s="12"/>
      <c r="E187" s="12"/>
      <c r="F187" s="12"/>
      <c r="G187" s="12">
        <v>25950</v>
      </c>
      <c r="H187" s="12"/>
      <c r="I187" s="12"/>
      <c r="J187" s="12"/>
      <c r="K187" s="12">
        <v>35000</v>
      </c>
      <c r="L187" s="12"/>
      <c r="M187" s="12"/>
      <c r="N187" s="12">
        <v>46520</v>
      </c>
      <c r="O187" s="12"/>
      <c r="P187" s="54">
        <f t="shared" si="17"/>
        <v>107470</v>
      </c>
    </row>
    <row r="188" spans="1:16" ht="15" customHeight="1" x14ac:dyDescent="0.25">
      <c r="A188" s="552"/>
      <c r="B188" s="559"/>
      <c r="C188" s="110">
        <v>12</v>
      </c>
      <c r="D188" s="12"/>
      <c r="E188" s="12"/>
      <c r="F188" s="12"/>
      <c r="G188" s="12"/>
      <c r="H188" s="12"/>
      <c r="I188" s="12"/>
      <c r="J188" s="12"/>
      <c r="K188" s="12"/>
      <c r="L188" s="12"/>
      <c r="M188" s="12"/>
      <c r="N188" s="12"/>
      <c r="O188" s="12"/>
      <c r="P188" s="54">
        <f t="shared" si="17"/>
        <v>0</v>
      </c>
    </row>
    <row r="189" spans="1:16" ht="15" customHeight="1" x14ac:dyDescent="0.25">
      <c r="A189" s="552"/>
      <c r="B189" s="559"/>
      <c r="C189" s="110">
        <v>13</v>
      </c>
      <c r="D189" s="12"/>
      <c r="E189" s="12"/>
      <c r="F189" s="12"/>
      <c r="G189" s="12"/>
      <c r="H189" s="12"/>
      <c r="I189" s="12"/>
      <c r="J189" s="12"/>
      <c r="K189" s="12"/>
      <c r="L189" s="12"/>
      <c r="M189" s="12"/>
      <c r="N189" s="12"/>
      <c r="O189" s="12"/>
      <c r="P189" s="54">
        <f t="shared" si="17"/>
        <v>0</v>
      </c>
    </row>
    <row r="190" spans="1:16" ht="15" customHeight="1" x14ac:dyDescent="0.25">
      <c r="A190" s="552"/>
      <c r="B190" s="559"/>
      <c r="C190" s="110">
        <v>14</v>
      </c>
      <c r="D190" s="12"/>
      <c r="E190" s="12"/>
      <c r="F190" s="12"/>
      <c r="G190" s="12"/>
      <c r="H190" s="12"/>
      <c r="I190" s="12"/>
      <c r="J190" s="12"/>
      <c r="K190" s="12"/>
      <c r="L190" s="12"/>
      <c r="M190" s="12"/>
      <c r="N190" s="12"/>
      <c r="O190" s="12"/>
      <c r="P190" s="54">
        <f t="shared" si="17"/>
        <v>0</v>
      </c>
    </row>
    <row r="191" spans="1:16" ht="15" customHeight="1" x14ac:dyDescent="0.25">
      <c r="A191" s="552"/>
      <c r="B191" s="559"/>
      <c r="C191" s="110">
        <v>15</v>
      </c>
      <c r="D191" s="12">
        <v>200000</v>
      </c>
      <c r="E191" s="12">
        <v>100000</v>
      </c>
      <c r="F191" s="12">
        <v>150000</v>
      </c>
      <c r="G191" s="12">
        <v>18036</v>
      </c>
      <c r="H191" s="12">
        <v>40950</v>
      </c>
      <c r="I191" s="12"/>
      <c r="J191" s="12">
        <v>46896</v>
      </c>
      <c r="K191" s="12"/>
      <c r="L191" s="12"/>
      <c r="M191" s="12"/>
      <c r="N191" s="12"/>
      <c r="O191" s="12">
        <v>55410</v>
      </c>
      <c r="P191" s="54">
        <f t="shared" si="17"/>
        <v>611292</v>
      </c>
    </row>
    <row r="192" spans="1:16" ht="15" customHeight="1" x14ac:dyDescent="0.25">
      <c r="A192" s="552"/>
      <c r="B192" s="559"/>
      <c r="C192" s="110">
        <v>16</v>
      </c>
      <c r="D192" s="12"/>
      <c r="E192" s="12"/>
      <c r="F192" s="12"/>
      <c r="G192" s="12"/>
      <c r="H192" s="12"/>
      <c r="I192" s="12"/>
      <c r="J192" s="12"/>
      <c r="K192" s="12"/>
      <c r="L192" s="12"/>
      <c r="M192" s="12"/>
      <c r="N192" s="12"/>
      <c r="O192" s="12"/>
      <c r="P192" s="54">
        <f t="shared" si="17"/>
        <v>0</v>
      </c>
    </row>
    <row r="193" spans="1:16" ht="15" customHeight="1" x14ac:dyDescent="0.25">
      <c r="A193" s="552"/>
      <c r="B193" s="559"/>
      <c r="C193" s="110">
        <v>17</v>
      </c>
      <c r="D193" s="12"/>
      <c r="E193" s="12"/>
      <c r="F193" s="12"/>
      <c r="G193" s="12"/>
      <c r="H193" s="12"/>
      <c r="I193" s="12"/>
      <c r="J193" s="12"/>
      <c r="K193" s="12"/>
      <c r="L193" s="12"/>
      <c r="M193" s="12"/>
      <c r="N193" s="12"/>
      <c r="O193" s="12"/>
      <c r="P193" s="54">
        <f t="shared" si="17"/>
        <v>0</v>
      </c>
    </row>
    <row r="194" spans="1:16" ht="15" customHeight="1" x14ac:dyDescent="0.25">
      <c r="A194" s="552"/>
      <c r="B194" s="559"/>
      <c r="C194" s="110">
        <v>25</v>
      </c>
      <c r="D194" s="12"/>
      <c r="E194" s="12"/>
      <c r="F194" s="12"/>
      <c r="G194" s="12"/>
      <c r="H194" s="12"/>
      <c r="I194" s="12"/>
      <c r="J194" s="12"/>
      <c r="K194" s="12"/>
      <c r="L194" s="12"/>
      <c r="M194" s="12"/>
      <c r="N194" s="12"/>
      <c r="O194" s="12"/>
      <c r="P194" s="54">
        <f t="shared" si="17"/>
        <v>0</v>
      </c>
    </row>
    <row r="195" spans="1:16" ht="15" customHeight="1" x14ac:dyDescent="0.25">
      <c r="A195" s="552"/>
      <c r="B195" s="559"/>
      <c r="C195" s="110">
        <v>26</v>
      </c>
      <c r="D195" s="12"/>
      <c r="E195" s="12"/>
      <c r="F195" s="12"/>
      <c r="G195" s="12"/>
      <c r="H195" s="12"/>
      <c r="I195" s="12"/>
      <c r="J195" s="12"/>
      <c r="K195" s="12"/>
      <c r="L195" s="12"/>
      <c r="M195" s="12"/>
      <c r="N195" s="12"/>
      <c r="O195" s="12"/>
      <c r="P195" s="54">
        <f t="shared" si="17"/>
        <v>0</v>
      </c>
    </row>
    <row r="196" spans="1:16" ht="15" customHeight="1" x14ac:dyDescent="0.25">
      <c r="A196" s="553"/>
      <c r="B196" s="559"/>
      <c r="C196" s="110">
        <v>27</v>
      </c>
      <c r="D196" s="12"/>
      <c r="E196" s="12"/>
      <c r="F196" s="12"/>
      <c r="G196" s="12"/>
      <c r="H196" s="12"/>
      <c r="I196" s="12"/>
      <c r="J196" s="12"/>
      <c r="K196" s="12"/>
      <c r="L196" s="12"/>
      <c r="M196" s="12"/>
      <c r="N196" s="12"/>
      <c r="O196" s="12"/>
      <c r="P196" s="54">
        <f t="shared" si="17"/>
        <v>0</v>
      </c>
    </row>
    <row r="197" spans="1:16" ht="15" customHeight="1" x14ac:dyDescent="0.25">
      <c r="A197" s="551">
        <v>153</v>
      </c>
      <c r="B197" s="558" t="s">
        <v>46</v>
      </c>
      <c r="C197" s="110">
        <v>11</v>
      </c>
      <c r="D197" s="12"/>
      <c r="E197" s="12"/>
      <c r="F197" s="12"/>
      <c r="G197" s="12"/>
      <c r="H197" s="12"/>
      <c r="I197" s="12"/>
      <c r="J197" s="12"/>
      <c r="K197" s="12"/>
      <c r="L197" s="12"/>
      <c r="M197" s="12"/>
      <c r="N197" s="12"/>
      <c r="O197" s="12"/>
      <c r="P197" s="54">
        <f t="shared" si="17"/>
        <v>0</v>
      </c>
    </row>
    <row r="198" spans="1:16" ht="15" customHeight="1" x14ac:dyDescent="0.25">
      <c r="A198" s="552"/>
      <c r="B198" s="559"/>
      <c r="C198" s="110">
        <v>12</v>
      </c>
      <c r="D198" s="12"/>
      <c r="E198" s="12"/>
      <c r="F198" s="12"/>
      <c r="G198" s="12"/>
      <c r="H198" s="12"/>
      <c r="I198" s="12"/>
      <c r="J198" s="12"/>
      <c r="K198" s="12"/>
      <c r="L198" s="12"/>
      <c r="M198" s="12"/>
      <c r="N198" s="12"/>
      <c r="O198" s="12"/>
      <c r="P198" s="54">
        <f t="shared" si="17"/>
        <v>0</v>
      </c>
    </row>
    <row r="199" spans="1:16" ht="15" customHeight="1" x14ac:dyDescent="0.25">
      <c r="A199" s="552"/>
      <c r="B199" s="559"/>
      <c r="C199" s="110">
        <v>13</v>
      </c>
      <c r="D199" s="12"/>
      <c r="E199" s="12"/>
      <c r="F199" s="12"/>
      <c r="G199" s="12"/>
      <c r="H199" s="12"/>
      <c r="I199" s="12"/>
      <c r="J199" s="12"/>
      <c r="K199" s="12"/>
      <c r="L199" s="12"/>
      <c r="M199" s="12"/>
      <c r="N199" s="12"/>
      <c r="O199" s="12"/>
      <c r="P199" s="54">
        <f t="shared" si="17"/>
        <v>0</v>
      </c>
    </row>
    <row r="200" spans="1:16" ht="15" customHeight="1" x14ac:dyDescent="0.25">
      <c r="A200" s="552"/>
      <c r="B200" s="559"/>
      <c r="C200" s="110">
        <v>14</v>
      </c>
      <c r="D200" s="12"/>
      <c r="E200" s="12"/>
      <c r="F200" s="12"/>
      <c r="G200" s="12"/>
      <c r="H200" s="12"/>
      <c r="I200" s="12"/>
      <c r="J200" s="12"/>
      <c r="K200" s="12"/>
      <c r="L200" s="12"/>
      <c r="M200" s="12"/>
      <c r="N200" s="12"/>
      <c r="O200" s="12"/>
      <c r="P200" s="54">
        <f t="shared" si="17"/>
        <v>0</v>
      </c>
    </row>
    <row r="201" spans="1:16" ht="15" customHeight="1" x14ac:dyDescent="0.25">
      <c r="A201" s="552"/>
      <c r="B201" s="559"/>
      <c r="C201" s="110">
        <v>15</v>
      </c>
      <c r="D201" s="12"/>
      <c r="E201" s="12"/>
      <c r="F201" s="12"/>
      <c r="G201" s="12"/>
      <c r="H201" s="12"/>
      <c r="I201" s="12"/>
      <c r="J201" s="12"/>
      <c r="K201" s="12"/>
      <c r="L201" s="12"/>
      <c r="M201" s="12"/>
      <c r="N201" s="12"/>
      <c r="O201" s="12"/>
      <c r="P201" s="54">
        <f t="shared" si="17"/>
        <v>0</v>
      </c>
    </row>
    <row r="202" spans="1:16" ht="15" customHeight="1" x14ac:dyDescent="0.25">
      <c r="A202" s="552"/>
      <c r="B202" s="559"/>
      <c r="C202" s="110">
        <v>16</v>
      </c>
      <c r="D202" s="12"/>
      <c r="E202" s="12"/>
      <c r="F202" s="12"/>
      <c r="G202" s="12"/>
      <c r="H202" s="12"/>
      <c r="I202" s="12"/>
      <c r="J202" s="12"/>
      <c r="K202" s="12"/>
      <c r="L202" s="12"/>
      <c r="M202" s="12"/>
      <c r="N202" s="12"/>
      <c r="O202" s="12"/>
      <c r="P202" s="54">
        <f t="shared" si="17"/>
        <v>0</v>
      </c>
    </row>
    <row r="203" spans="1:16" ht="15" customHeight="1" x14ac:dyDescent="0.25">
      <c r="A203" s="552"/>
      <c r="B203" s="559"/>
      <c r="C203" s="110">
        <v>17</v>
      </c>
      <c r="D203" s="12"/>
      <c r="E203" s="12"/>
      <c r="F203" s="12"/>
      <c r="G203" s="12"/>
      <c r="H203" s="12"/>
      <c r="I203" s="12"/>
      <c r="J203" s="12"/>
      <c r="K203" s="12"/>
      <c r="L203" s="12"/>
      <c r="M203" s="12"/>
      <c r="N203" s="12"/>
      <c r="O203" s="12"/>
      <c r="P203" s="54">
        <f t="shared" si="17"/>
        <v>0</v>
      </c>
    </row>
    <row r="204" spans="1:16" ht="15" customHeight="1" x14ac:dyDescent="0.25">
      <c r="A204" s="552"/>
      <c r="B204" s="559"/>
      <c r="C204" s="110">
        <v>25</v>
      </c>
      <c r="D204" s="12"/>
      <c r="E204" s="12"/>
      <c r="F204" s="12"/>
      <c r="G204" s="12"/>
      <c r="H204" s="12"/>
      <c r="I204" s="12"/>
      <c r="J204" s="12"/>
      <c r="K204" s="12"/>
      <c r="L204" s="12"/>
      <c r="M204" s="12"/>
      <c r="N204" s="12"/>
      <c r="O204" s="12"/>
      <c r="P204" s="54">
        <f t="shared" si="17"/>
        <v>0</v>
      </c>
    </row>
    <row r="205" spans="1:16" ht="15" customHeight="1" x14ac:dyDescent="0.25">
      <c r="A205" s="552"/>
      <c r="B205" s="559"/>
      <c r="C205" s="110">
        <v>26</v>
      </c>
      <c r="D205" s="12"/>
      <c r="E205" s="12"/>
      <c r="F205" s="12"/>
      <c r="G205" s="12"/>
      <c r="H205" s="12"/>
      <c r="I205" s="12"/>
      <c r="J205" s="12"/>
      <c r="K205" s="12"/>
      <c r="L205" s="12"/>
      <c r="M205" s="12"/>
      <c r="N205" s="12"/>
      <c r="O205" s="12"/>
      <c r="P205" s="54">
        <f t="shared" si="17"/>
        <v>0</v>
      </c>
    </row>
    <row r="206" spans="1:16" ht="15" customHeight="1" x14ac:dyDescent="0.25">
      <c r="A206" s="553"/>
      <c r="B206" s="559"/>
      <c r="C206" s="110">
        <v>27</v>
      </c>
      <c r="D206" s="12"/>
      <c r="E206" s="12"/>
      <c r="F206" s="12"/>
      <c r="G206" s="12"/>
      <c r="H206" s="12"/>
      <c r="I206" s="12"/>
      <c r="J206" s="12"/>
      <c r="K206" s="12"/>
      <c r="L206" s="12"/>
      <c r="M206" s="12"/>
      <c r="N206" s="12"/>
      <c r="O206" s="12"/>
      <c r="P206" s="54">
        <f t="shared" si="17"/>
        <v>0</v>
      </c>
    </row>
    <row r="207" spans="1:16" ht="15" customHeight="1" x14ac:dyDescent="0.25">
      <c r="A207" s="551">
        <v>154</v>
      </c>
      <c r="B207" s="558" t="s">
        <v>47</v>
      </c>
      <c r="C207" s="110">
        <v>11</v>
      </c>
      <c r="D207" s="12"/>
      <c r="E207" s="12"/>
      <c r="F207" s="12"/>
      <c r="G207" s="12"/>
      <c r="H207" s="12"/>
      <c r="I207" s="12"/>
      <c r="J207" s="12"/>
      <c r="K207" s="12"/>
      <c r="L207" s="12"/>
      <c r="M207" s="12"/>
      <c r="N207" s="12"/>
      <c r="O207" s="12"/>
      <c r="P207" s="54">
        <f t="shared" si="17"/>
        <v>0</v>
      </c>
    </row>
    <row r="208" spans="1:16" ht="15" customHeight="1" x14ac:dyDescent="0.25">
      <c r="A208" s="552"/>
      <c r="B208" s="559"/>
      <c r="C208" s="110">
        <v>12</v>
      </c>
      <c r="D208" s="12"/>
      <c r="E208" s="12"/>
      <c r="F208" s="12"/>
      <c r="G208" s="12"/>
      <c r="H208" s="12"/>
      <c r="I208" s="12"/>
      <c r="J208" s="12"/>
      <c r="K208" s="12"/>
      <c r="L208" s="12"/>
      <c r="M208" s="12"/>
      <c r="N208" s="12"/>
      <c r="O208" s="12"/>
      <c r="P208" s="54">
        <f t="shared" si="17"/>
        <v>0</v>
      </c>
    </row>
    <row r="209" spans="1:16" ht="15" customHeight="1" x14ac:dyDescent="0.25">
      <c r="A209" s="552"/>
      <c r="B209" s="559"/>
      <c r="C209" s="110">
        <v>13</v>
      </c>
      <c r="D209" s="12"/>
      <c r="E209" s="12"/>
      <c r="F209" s="12"/>
      <c r="G209" s="12"/>
      <c r="H209" s="12"/>
      <c r="I209" s="12"/>
      <c r="J209" s="12"/>
      <c r="K209" s="12"/>
      <c r="L209" s="12"/>
      <c r="M209" s="12"/>
      <c r="N209" s="12"/>
      <c r="O209" s="12"/>
      <c r="P209" s="54">
        <f t="shared" si="17"/>
        <v>0</v>
      </c>
    </row>
    <row r="210" spans="1:16" ht="15" customHeight="1" x14ac:dyDescent="0.25">
      <c r="A210" s="552"/>
      <c r="B210" s="559"/>
      <c r="C210" s="110">
        <v>14</v>
      </c>
      <c r="D210" s="12"/>
      <c r="E210" s="12"/>
      <c r="F210" s="12"/>
      <c r="G210" s="12"/>
      <c r="H210" s="12"/>
      <c r="I210" s="12"/>
      <c r="J210" s="12"/>
      <c r="K210" s="12"/>
      <c r="L210" s="12"/>
      <c r="M210" s="12"/>
      <c r="N210" s="12"/>
      <c r="O210" s="12"/>
      <c r="P210" s="54">
        <f t="shared" si="17"/>
        <v>0</v>
      </c>
    </row>
    <row r="211" spans="1:16" ht="15" customHeight="1" x14ac:dyDescent="0.25">
      <c r="A211" s="552"/>
      <c r="B211" s="559"/>
      <c r="C211" s="110">
        <v>15</v>
      </c>
      <c r="D211" s="12"/>
      <c r="E211" s="12"/>
      <c r="F211" s="12"/>
      <c r="G211" s="12"/>
      <c r="H211" s="12"/>
      <c r="I211" s="12"/>
      <c r="J211" s="12"/>
      <c r="K211" s="12"/>
      <c r="L211" s="12"/>
      <c r="M211" s="12"/>
      <c r="N211" s="12"/>
      <c r="O211" s="12"/>
      <c r="P211" s="54">
        <f t="shared" si="17"/>
        <v>0</v>
      </c>
    </row>
    <row r="212" spans="1:16" ht="15" customHeight="1" x14ac:dyDescent="0.25">
      <c r="A212" s="552"/>
      <c r="B212" s="559"/>
      <c r="C212" s="110">
        <v>16</v>
      </c>
      <c r="D212" s="12"/>
      <c r="E212" s="12"/>
      <c r="F212" s="12"/>
      <c r="G212" s="12"/>
      <c r="H212" s="12"/>
      <c r="I212" s="12"/>
      <c r="J212" s="12"/>
      <c r="K212" s="12"/>
      <c r="L212" s="12"/>
      <c r="M212" s="12"/>
      <c r="N212" s="12"/>
      <c r="O212" s="12"/>
      <c r="P212" s="54">
        <f t="shared" si="17"/>
        <v>0</v>
      </c>
    </row>
    <row r="213" spans="1:16" ht="15" customHeight="1" x14ac:dyDescent="0.25">
      <c r="A213" s="552"/>
      <c r="B213" s="559"/>
      <c r="C213" s="110">
        <v>17</v>
      </c>
      <c r="D213" s="12"/>
      <c r="E213" s="12"/>
      <c r="F213" s="12"/>
      <c r="G213" s="12"/>
      <c r="H213" s="12"/>
      <c r="I213" s="12"/>
      <c r="J213" s="12"/>
      <c r="K213" s="12"/>
      <c r="L213" s="12"/>
      <c r="M213" s="12"/>
      <c r="N213" s="12"/>
      <c r="O213" s="12"/>
      <c r="P213" s="54">
        <f t="shared" si="17"/>
        <v>0</v>
      </c>
    </row>
    <row r="214" spans="1:16" ht="15" customHeight="1" x14ac:dyDescent="0.25">
      <c r="A214" s="552"/>
      <c r="B214" s="559"/>
      <c r="C214" s="110">
        <v>25</v>
      </c>
      <c r="D214" s="12"/>
      <c r="E214" s="12"/>
      <c r="F214" s="12"/>
      <c r="G214" s="12"/>
      <c r="H214" s="12"/>
      <c r="I214" s="12"/>
      <c r="J214" s="12"/>
      <c r="K214" s="12"/>
      <c r="L214" s="12"/>
      <c r="M214" s="12"/>
      <c r="N214" s="12"/>
      <c r="O214" s="12"/>
      <c r="P214" s="54">
        <f t="shared" si="17"/>
        <v>0</v>
      </c>
    </row>
    <row r="215" spans="1:16" ht="15" customHeight="1" x14ac:dyDescent="0.25">
      <c r="A215" s="552"/>
      <c r="B215" s="559"/>
      <c r="C215" s="110">
        <v>26</v>
      </c>
      <c r="D215" s="12"/>
      <c r="E215" s="12"/>
      <c r="F215" s="12"/>
      <c r="G215" s="12"/>
      <c r="H215" s="12"/>
      <c r="I215" s="12"/>
      <c r="J215" s="12"/>
      <c r="K215" s="12"/>
      <c r="L215" s="12"/>
      <c r="M215" s="12"/>
      <c r="N215" s="12"/>
      <c r="O215" s="12"/>
      <c r="P215" s="54">
        <f t="shared" si="17"/>
        <v>0</v>
      </c>
    </row>
    <row r="216" spans="1:16" ht="15" customHeight="1" x14ac:dyDescent="0.25">
      <c r="A216" s="553"/>
      <c r="B216" s="559"/>
      <c r="C216" s="110">
        <v>27</v>
      </c>
      <c r="D216" s="12"/>
      <c r="E216" s="12"/>
      <c r="F216" s="12"/>
      <c r="G216" s="12"/>
      <c r="H216" s="12"/>
      <c r="I216" s="12"/>
      <c r="J216" s="12"/>
      <c r="K216" s="12"/>
      <c r="L216" s="12"/>
      <c r="M216" s="12"/>
      <c r="N216" s="12"/>
      <c r="O216" s="12"/>
      <c r="P216" s="54">
        <f t="shared" si="17"/>
        <v>0</v>
      </c>
    </row>
    <row r="217" spans="1:16" ht="15" customHeight="1" x14ac:dyDescent="0.25">
      <c r="A217" s="551">
        <v>155</v>
      </c>
      <c r="B217" s="558" t="s">
        <v>48</v>
      </c>
      <c r="C217" s="110">
        <v>11</v>
      </c>
      <c r="D217" s="12"/>
      <c r="E217" s="12"/>
      <c r="F217" s="12"/>
      <c r="G217" s="12"/>
      <c r="H217" s="12"/>
      <c r="I217" s="12"/>
      <c r="J217" s="12"/>
      <c r="K217" s="12"/>
      <c r="L217" s="12"/>
      <c r="M217" s="12"/>
      <c r="N217" s="12"/>
      <c r="O217" s="12"/>
      <c r="P217" s="54">
        <f t="shared" si="17"/>
        <v>0</v>
      </c>
    </row>
    <row r="218" spans="1:16" ht="15" customHeight="1" x14ac:dyDescent="0.25">
      <c r="A218" s="552"/>
      <c r="B218" s="559"/>
      <c r="C218" s="110">
        <v>12</v>
      </c>
      <c r="D218" s="12"/>
      <c r="E218" s="12"/>
      <c r="F218" s="12"/>
      <c r="G218" s="12"/>
      <c r="H218" s="12"/>
      <c r="I218" s="12"/>
      <c r="J218" s="12"/>
      <c r="K218" s="12"/>
      <c r="L218" s="12"/>
      <c r="M218" s="12"/>
      <c r="N218" s="12"/>
      <c r="O218" s="12"/>
      <c r="P218" s="54">
        <f t="shared" si="17"/>
        <v>0</v>
      </c>
    </row>
    <row r="219" spans="1:16" ht="15" customHeight="1" x14ac:dyDescent="0.25">
      <c r="A219" s="552"/>
      <c r="B219" s="559"/>
      <c r="C219" s="110">
        <v>13</v>
      </c>
      <c r="D219" s="12"/>
      <c r="E219" s="12"/>
      <c r="F219" s="12"/>
      <c r="G219" s="12"/>
      <c r="H219" s="12"/>
      <c r="I219" s="12"/>
      <c r="J219" s="12"/>
      <c r="K219" s="12"/>
      <c r="L219" s="12"/>
      <c r="M219" s="12"/>
      <c r="N219" s="12"/>
      <c r="O219" s="12"/>
      <c r="P219" s="54">
        <f t="shared" si="17"/>
        <v>0</v>
      </c>
    </row>
    <row r="220" spans="1:16" ht="15" customHeight="1" x14ac:dyDescent="0.25">
      <c r="A220" s="552"/>
      <c r="B220" s="559"/>
      <c r="C220" s="110">
        <v>14</v>
      </c>
      <c r="D220" s="12"/>
      <c r="E220" s="12"/>
      <c r="F220" s="12"/>
      <c r="G220" s="12"/>
      <c r="H220" s="12"/>
      <c r="I220" s="12"/>
      <c r="J220" s="12"/>
      <c r="K220" s="12"/>
      <c r="L220" s="12"/>
      <c r="M220" s="12"/>
      <c r="N220" s="12"/>
      <c r="O220" s="12"/>
      <c r="P220" s="54">
        <f t="shared" si="17"/>
        <v>0</v>
      </c>
    </row>
    <row r="221" spans="1:16" ht="15" customHeight="1" x14ac:dyDescent="0.25">
      <c r="A221" s="552"/>
      <c r="B221" s="559"/>
      <c r="C221" s="110">
        <v>15</v>
      </c>
      <c r="D221" s="12"/>
      <c r="E221" s="12"/>
      <c r="F221" s="12"/>
      <c r="G221" s="12"/>
      <c r="H221" s="12"/>
      <c r="I221" s="12"/>
      <c r="J221" s="12"/>
      <c r="K221" s="12"/>
      <c r="L221" s="12"/>
      <c r="M221" s="12"/>
      <c r="N221" s="12"/>
      <c r="O221" s="12"/>
      <c r="P221" s="54">
        <f t="shared" si="17"/>
        <v>0</v>
      </c>
    </row>
    <row r="222" spans="1:16" ht="15" customHeight="1" x14ac:dyDescent="0.25">
      <c r="A222" s="552"/>
      <c r="B222" s="559"/>
      <c r="C222" s="110">
        <v>16</v>
      </c>
      <c r="D222" s="12"/>
      <c r="E222" s="12"/>
      <c r="F222" s="12"/>
      <c r="G222" s="12"/>
      <c r="H222" s="12"/>
      <c r="I222" s="12"/>
      <c r="J222" s="12"/>
      <c r="K222" s="12"/>
      <c r="L222" s="12"/>
      <c r="M222" s="12"/>
      <c r="N222" s="12"/>
      <c r="O222" s="12"/>
      <c r="P222" s="54">
        <f t="shared" si="17"/>
        <v>0</v>
      </c>
    </row>
    <row r="223" spans="1:16" ht="15" customHeight="1" x14ac:dyDescent="0.25">
      <c r="A223" s="552"/>
      <c r="B223" s="559"/>
      <c r="C223" s="110">
        <v>17</v>
      </c>
      <c r="D223" s="12"/>
      <c r="E223" s="12"/>
      <c r="F223" s="12"/>
      <c r="G223" s="12"/>
      <c r="H223" s="12"/>
      <c r="I223" s="12"/>
      <c r="J223" s="12"/>
      <c r="K223" s="12"/>
      <c r="L223" s="12"/>
      <c r="M223" s="12"/>
      <c r="N223" s="12"/>
      <c r="O223" s="12"/>
      <c r="P223" s="54">
        <f t="shared" si="17"/>
        <v>0</v>
      </c>
    </row>
    <row r="224" spans="1:16" ht="15" customHeight="1" x14ac:dyDescent="0.25">
      <c r="A224" s="552"/>
      <c r="B224" s="559"/>
      <c r="C224" s="110">
        <v>25</v>
      </c>
      <c r="D224" s="12"/>
      <c r="E224" s="12"/>
      <c r="F224" s="12"/>
      <c r="G224" s="12"/>
      <c r="H224" s="12"/>
      <c r="I224" s="12"/>
      <c r="J224" s="12"/>
      <c r="K224" s="12"/>
      <c r="L224" s="12"/>
      <c r="M224" s="12"/>
      <c r="N224" s="12"/>
      <c r="O224" s="12"/>
      <c r="P224" s="54">
        <f t="shared" si="17"/>
        <v>0</v>
      </c>
    </row>
    <row r="225" spans="1:16" ht="15" customHeight="1" x14ac:dyDescent="0.25">
      <c r="A225" s="552"/>
      <c r="B225" s="559"/>
      <c r="C225" s="110">
        <v>26</v>
      </c>
      <c r="D225" s="12"/>
      <c r="E225" s="12"/>
      <c r="F225" s="12"/>
      <c r="G225" s="12"/>
      <c r="H225" s="12"/>
      <c r="I225" s="12"/>
      <c r="J225" s="12"/>
      <c r="K225" s="12"/>
      <c r="L225" s="12"/>
      <c r="M225" s="12"/>
      <c r="N225" s="12"/>
      <c r="O225" s="12"/>
      <c r="P225" s="54">
        <f t="shared" si="17"/>
        <v>0</v>
      </c>
    </row>
    <row r="226" spans="1:16" ht="15" customHeight="1" x14ac:dyDescent="0.25">
      <c r="A226" s="553"/>
      <c r="B226" s="559"/>
      <c r="C226" s="110">
        <v>27</v>
      </c>
      <c r="D226" s="12"/>
      <c r="E226" s="12"/>
      <c r="F226" s="12"/>
      <c r="G226" s="12"/>
      <c r="H226" s="12"/>
      <c r="I226" s="12"/>
      <c r="J226" s="12"/>
      <c r="K226" s="12"/>
      <c r="L226" s="12"/>
      <c r="M226" s="12"/>
      <c r="N226" s="12"/>
      <c r="O226" s="12"/>
      <c r="P226" s="54">
        <f t="shared" si="17"/>
        <v>0</v>
      </c>
    </row>
    <row r="227" spans="1:16" ht="15" customHeight="1" x14ac:dyDescent="0.25">
      <c r="A227" s="551">
        <v>159</v>
      </c>
      <c r="B227" s="558" t="s">
        <v>49</v>
      </c>
      <c r="C227" s="110">
        <v>11</v>
      </c>
      <c r="D227" s="12"/>
      <c r="E227" s="12"/>
      <c r="F227" s="12"/>
      <c r="G227" s="12"/>
      <c r="H227" s="12">
        <v>37895</v>
      </c>
      <c r="I227" s="12"/>
      <c r="J227" s="12"/>
      <c r="K227" s="12"/>
      <c r="L227" s="12"/>
      <c r="M227" s="12"/>
      <c r="N227" s="12"/>
      <c r="O227" s="12"/>
      <c r="P227" s="54">
        <f t="shared" si="17"/>
        <v>37895</v>
      </c>
    </row>
    <row r="228" spans="1:16" ht="15" customHeight="1" x14ac:dyDescent="0.25">
      <c r="A228" s="552"/>
      <c r="B228" s="559"/>
      <c r="C228" s="110">
        <v>12</v>
      </c>
      <c r="D228" s="12"/>
      <c r="E228" s="12"/>
      <c r="F228" s="12"/>
      <c r="G228" s="12"/>
      <c r="H228" s="12"/>
      <c r="I228" s="12"/>
      <c r="J228" s="12"/>
      <c r="K228" s="12"/>
      <c r="L228" s="12"/>
      <c r="M228" s="12"/>
      <c r="N228" s="12"/>
      <c r="O228" s="12"/>
      <c r="P228" s="54">
        <f t="shared" si="17"/>
        <v>0</v>
      </c>
    </row>
    <row r="229" spans="1:16" ht="15" customHeight="1" x14ac:dyDescent="0.25">
      <c r="A229" s="552"/>
      <c r="B229" s="559"/>
      <c r="C229" s="110">
        <v>13</v>
      </c>
      <c r="D229" s="12"/>
      <c r="E229" s="12"/>
      <c r="F229" s="12"/>
      <c r="G229" s="12"/>
      <c r="H229" s="12"/>
      <c r="I229" s="12"/>
      <c r="J229" s="12"/>
      <c r="K229" s="12"/>
      <c r="L229" s="12"/>
      <c r="M229" s="12"/>
      <c r="N229" s="12"/>
      <c r="O229" s="12"/>
      <c r="P229" s="54">
        <f t="shared" si="17"/>
        <v>0</v>
      </c>
    </row>
    <row r="230" spans="1:16" ht="15" customHeight="1" x14ac:dyDescent="0.25">
      <c r="A230" s="552"/>
      <c r="B230" s="559"/>
      <c r="C230" s="110">
        <v>14</v>
      </c>
      <c r="D230" s="12"/>
      <c r="E230" s="12"/>
      <c r="F230" s="12"/>
      <c r="G230" s="12"/>
      <c r="H230" s="12"/>
      <c r="I230" s="12"/>
      <c r="J230" s="12"/>
      <c r="K230" s="12"/>
      <c r="L230" s="12"/>
      <c r="M230" s="12"/>
      <c r="N230" s="12"/>
      <c r="O230" s="12"/>
      <c r="P230" s="54">
        <f t="shared" si="17"/>
        <v>0</v>
      </c>
    </row>
    <row r="231" spans="1:16" ht="15" customHeight="1" x14ac:dyDescent="0.25">
      <c r="A231" s="552"/>
      <c r="B231" s="559"/>
      <c r="C231" s="110">
        <v>15</v>
      </c>
      <c r="D231" s="12">
        <v>64756</v>
      </c>
      <c r="E231" s="12">
        <v>60703</v>
      </c>
      <c r="F231" s="12">
        <v>25696</v>
      </c>
      <c r="G231" s="12">
        <v>50624</v>
      </c>
      <c r="H231" s="12">
        <v>52650</v>
      </c>
      <c r="I231" s="12">
        <v>48204</v>
      </c>
      <c r="J231" s="12">
        <v>38457</v>
      </c>
      <c r="K231" s="12">
        <v>51844</v>
      </c>
      <c r="L231" s="12">
        <v>50192</v>
      </c>
      <c r="M231" s="12">
        <v>42886</v>
      </c>
      <c r="N231" s="12">
        <v>54064</v>
      </c>
      <c r="O231" s="12">
        <v>56197</v>
      </c>
      <c r="P231" s="54">
        <f t="shared" si="17"/>
        <v>596273</v>
      </c>
    </row>
    <row r="232" spans="1:16" ht="15" customHeight="1" x14ac:dyDescent="0.25">
      <c r="A232" s="552"/>
      <c r="B232" s="559"/>
      <c r="C232" s="110">
        <v>16</v>
      </c>
      <c r="D232" s="12"/>
      <c r="E232" s="12"/>
      <c r="F232" s="12"/>
      <c r="G232" s="12"/>
      <c r="H232" s="12"/>
      <c r="I232" s="12"/>
      <c r="J232" s="12"/>
      <c r="K232" s="12"/>
      <c r="L232" s="12"/>
      <c r="M232" s="12"/>
      <c r="N232" s="12"/>
      <c r="O232" s="12"/>
      <c r="P232" s="54">
        <f t="shared" si="17"/>
        <v>0</v>
      </c>
    </row>
    <row r="233" spans="1:16" ht="15" customHeight="1" x14ac:dyDescent="0.25">
      <c r="A233" s="552"/>
      <c r="B233" s="559"/>
      <c r="C233" s="110">
        <v>17</v>
      </c>
      <c r="D233" s="12"/>
      <c r="E233" s="12"/>
      <c r="F233" s="12"/>
      <c r="G233" s="12"/>
      <c r="H233" s="12"/>
      <c r="I233" s="12"/>
      <c r="J233" s="12"/>
      <c r="K233" s="12"/>
      <c r="L233" s="12"/>
      <c r="M233" s="12"/>
      <c r="N233" s="12"/>
      <c r="O233" s="12"/>
      <c r="P233" s="54">
        <f t="shared" si="17"/>
        <v>0</v>
      </c>
    </row>
    <row r="234" spans="1:16" ht="15" customHeight="1" x14ac:dyDescent="0.25">
      <c r="A234" s="552"/>
      <c r="B234" s="559"/>
      <c r="C234" s="110">
        <v>25</v>
      </c>
      <c r="D234" s="66"/>
      <c r="E234" s="66"/>
      <c r="F234" s="66"/>
      <c r="G234" s="66">
        <v>39172</v>
      </c>
      <c r="H234" s="66"/>
      <c r="I234" s="66"/>
      <c r="J234" s="66"/>
      <c r="K234" s="66"/>
      <c r="L234" s="66">
        <v>13289</v>
      </c>
      <c r="M234" s="66"/>
      <c r="N234" s="66"/>
      <c r="O234" s="66"/>
      <c r="P234" s="54">
        <f t="shared" si="17"/>
        <v>52461</v>
      </c>
    </row>
    <row r="235" spans="1:16" ht="15" customHeight="1" x14ac:dyDescent="0.25">
      <c r="A235" s="552"/>
      <c r="B235" s="559"/>
      <c r="C235" s="110">
        <v>26</v>
      </c>
      <c r="D235" s="66"/>
      <c r="E235" s="66"/>
      <c r="F235" s="66"/>
      <c r="G235" s="66"/>
      <c r="H235" s="66"/>
      <c r="I235" s="66"/>
      <c r="J235" s="66"/>
      <c r="K235" s="66"/>
      <c r="L235" s="66"/>
      <c r="M235" s="66"/>
      <c r="N235" s="66"/>
      <c r="O235" s="66"/>
      <c r="P235" s="54">
        <f t="shared" si="17"/>
        <v>0</v>
      </c>
    </row>
    <row r="236" spans="1:16" ht="15" customHeight="1" x14ac:dyDescent="0.25">
      <c r="A236" s="553"/>
      <c r="B236" s="559"/>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1">
        <v>161</v>
      </c>
      <c r="B238" s="558" t="s">
        <v>51</v>
      </c>
      <c r="C238" s="110">
        <v>11</v>
      </c>
      <c r="D238" s="12"/>
      <c r="E238" s="12"/>
      <c r="F238" s="12"/>
      <c r="G238" s="12"/>
      <c r="H238" s="12"/>
      <c r="I238" s="12"/>
      <c r="J238" s="12"/>
      <c r="K238" s="12"/>
      <c r="L238" s="12"/>
      <c r="M238" s="12"/>
      <c r="N238" s="12"/>
      <c r="O238" s="12"/>
      <c r="P238" s="54">
        <f>SUM(D238:O238)</f>
        <v>0</v>
      </c>
    </row>
    <row r="239" spans="1:16" ht="15" customHeight="1" x14ac:dyDescent="0.25">
      <c r="A239" s="552"/>
      <c r="B239" s="559"/>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2"/>
      <c r="B240" s="559"/>
      <c r="C240" s="110">
        <v>13</v>
      </c>
      <c r="D240" s="12"/>
      <c r="E240" s="12"/>
      <c r="F240" s="12"/>
      <c r="G240" s="12"/>
      <c r="H240" s="12"/>
      <c r="I240" s="12"/>
      <c r="J240" s="12"/>
      <c r="K240" s="12"/>
      <c r="L240" s="12"/>
      <c r="M240" s="12"/>
      <c r="N240" s="12"/>
      <c r="O240" s="12"/>
      <c r="P240" s="54">
        <f t="shared" si="19"/>
        <v>0</v>
      </c>
    </row>
    <row r="241" spans="1:16" ht="15" customHeight="1" x14ac:dyDescent="0.25">
      <c r="A241" s="552"/>
      <c r="B241" s="559"/>
      <c r="C241" s="110">
        <v>14</v>
      </c>
      <c r="D241" s="12"/>
      <c r="E241" s="12"/>
      <c r="F241" s="12"/>
      <c r="G241" s="12"/>
      <c r="H241" s="12"/>
      <c r="I241" s="12"/>
      <c r="J241" s="12"/>
      <c r="K241" s="12"/>
      <c r="L241" s="12"/>
      <c r="M241" s="12"/>
      <c r="N241" s="12"/>
      <c r="O241" s="12"/>
      <c r="P241" s="54">
        <f t="shared" si="19"/>
        <v>0</v>
      </c>
    </row>
    <row r="242" spans="1:16" ht="15" customHeight="1" x14ac:dyDescent="0.25">
      <c r="A242" s="552"/>
      <c r="B242" s="559"/>
      <c r="C242" s="110">
        <v>15</v>
      </c>
      <c r="D242" s="12"/>
      <c r="E242" s="12"/>
      <c r="F242" s="12"/>
      <c r="G242" s="12"/>
      <c r="H242" s="12"/>
      <c r="I242" s="12"/>
      <c r="J242" s="12"/>
      <c r="K242" s="12"/>
      <c r="L242" s="12"/>
      <c r="M242" s="12"/>
      <c r="N242" s="12"/>
      <c r="O242" s="12"/>
      <c r="P242" s="54">
        <f t="shared" si="19"/>
        <v>0</v>
      </c>
    </row>
    <row r="243" spans="1:16" ht="15" customHeight="1" x14ac:dyDescent="0.25">
      <c r="A243" s="552"/>
      <c r="B243" s="559"/>
      <c r="C243" s="110">
        <v>16</v>
      </c>
      <c r="D243" s="12"/>
      <c r="E243" s="12"/>
      <c r="F243" s="12"/>
      <c r="G243" s="12"/>
      <c r="H243" s="12"/>
      <c r="I243" s="12"/>
      <c r="J243" s="12"/>
      <c r="K243" s="12"/>
      <c r="L243" s="12"/>
      <c r="M243" s="12"/>
      <c r="N243" s="12"/>
      <c r="O243" s="12"/>
      <c r="P243" s="54">
        <f t="shared" si="19"/>
        <v>0</v>
      </c>
    </row>
    <row r="244" spans="1:16" ht="15" customHeight="1" x14ac:dyDescent="0.25">
      <c r="A244" s="552"/>
      <c r="B244" s="559"/>
      <c r="C244" s="110">
        <v>17</v>
      </c>
      <c r="D244" s="12"/>
      <c r="E244" s="12"/>
      <c r="F244" s="12"/>
      <c r="G244" s="12"/>
      <c r="H244" s="12"/>
      <c r="I244" s="12"/>
      <c r="J244" s="12"/>
      <c r="K244" s="12"/>
      <c r="L244" s="12"/>
      <c r="M244" s="12"/>
      <c r="N244" s="12"/>
      <c r="O244" s="12"/>
      <c r="P244" s="54">
        <f t="shared" si="19"/>
        <v>0</v>
      </c>
    </row>
    <row r="245" spans="1:16" ht="15" customHeight="1" x14ac:dyDescent="0.25">
      <c r="A245" s="552"/>
      <c r="B245" s="559"/>
      <c r="C245" s="110">
        <v>25</v>
      </c>
      <c r="D245" s="12"/>
      <c r="E245" s="12"/>
      <c r="F245" s="12"/>
      <c r="G245" s="12"/>
      <c r="H245" s="12"/>
      <c r="I245" s="12"/>
      <c r="J245" s="12"/>
      <c r="K245" s="12"/>
      <c r="L245" s="12"/>
      <c r="M245" s="12"/>
      <c r="N245" s="12"/>
      <c r="O245" s="12"/>
      <c r="P245" s="54">
        <f t="shared" si="19"/>
        <v>0</v>
      </c>
    </row>
    <row r="246" spans="1:16" ht="15" customHeight="1" x14ac:dyDescent="0.25">
      <c r="A246" s="552"/>
      <c r="B246" s="559"/>
      <c r="C246" s="110">
        <v>26</v>
      </c>
      <c r="D246" s="66"/>
      <c r="E246" s="66"/>
      <c r="F246" s="66"/>
      <c r="G246" s="66"/>
      <c r="H246" s="66"/>
      <c r="I246" s="66"/>
      <c r="J246" s="66"/>
      <c r="K246" s="66"/>
      <c r="L246" s="66"/>
      <c r="M246" s="66"/>
      <c r="N246" s="66"/>
      <c r="O246" s="66"/>
      <c r="P246" s="54">
        <f t="shared" si="19"/>
        <v>0</v>
      </c>
    </row>
    <row r="247" spans="1:16" ht="15" customHeight="1" x14ac:dyDescent="0.25">
      <c r="A247" s="553"/>
      <c r="B247" s="559"/>
      <c r="C247" s="110">
        <v>27</v>
      </c>
      <c r="D247" s="66"/>
      <c r="E247" s="66"/>
      <c r="F247" s="66"/>
      <c r="G247" s="66"/>
      <c r="H247" s="66"/>
      <c r="I247" s="66"/>
      <c r="J247" s="66"/>
      <c r="K247" s="66"/>
      <c r="L247" s="66"/>
      <c r="M247" s="66"/>
      <c r="N247" s="66"/>
      <c r="O247" s="66"/>
      <c r="P247" s="54">
        <f t="shared" si="19"/>
        <v>0</v>
      </c>
    </row>
    <row r="248" spans="1:16" x14ac:dyDescent="0.25">
      <c r="A248" s="62">
        <v>1700</v>
      </c>
      <c r="B248" s="307" t="s">
        <v>2282</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1">
        <v>171</v>
      </c>
      <c r="B249" s="558" t="s">
        <v>53</v>
      </c>
      <c r="C249" s="110">
        <v>11</v>
      </c>
      <c r="D249" s="12"/>
      <c r="E249" s="12"/>
      <c r="F249" s="12"/>
      <c r="G249" s="12"/>
      <c r="H249" s="12"/>
      <c r="I249" s="12"/>
      <c r="J249" s="12"/>
      <c r="K249" s="12"/>
      <c r="L249" s="12"/>
      <c r="M249" s="12"/>
      <c r="N249" s="12"/>
      <c r="O249" s="12"/>
      <c r="P249" s="54">
        <f>SUM(D249:O249)</f>
        <v>0</v>
      </c>
    </row>
    <row r="250" spans="1:16" ht="15" customHeight="1" x14ac:dyDescent="0.25">
      <c r="A250" s="552"/>
      <c r="B250" s="559"/>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2"/>
      <c r="B251" s="559"/>
      <c r="C251" s="110">
        <v>13</v>
      </c>
      <c r="D251" s="12"/>
      <c r="E251" s="12"/>
      <c r="F251" s="12"/>
      <c r="G251" s="12"/>
      <c r="H251" s="12"/>
      <c r="I251" s="12"/>
      <c r="J251" s="12"/>
      <c r="K251" s="12"/>
      <c r="L251" s="12"/>
      <c r="M251" s="12"/>
      <c r="N251" s="12"/>
      <c r="O251" s="12"/>
      <c r="P251" s="54">
        <f t="shared" si="21"/>
        <v>0</v>
      </c>
    </row>
    <row r="252" spans="1:16" ht="15" customHeight="1" x14ac:dyDescent="0.25">
      <c r="A252" s="552"/>
      <c r="B252" s="559"/>
      <c r="C252" s="110">
        <v>14</v>
      </c>
      <c r="D252" s="12"/>
      <c r="E252" s="12"/>
      <c r="F252" s="12"/>
      <c r="G252" s="12"/>
      <c r="H252" s="12"/>
      <c r="I252" s="12"/>
      <c r="J252" s="12"/>
      <c r="K252" s="12"/>
      <c r="L252" s="12"/>
      <c r="M252" s="12"/>
      <c r="N252" s="12"/>
      <c r="O252" s="12"/>
      <c r="P252" s="54">
        <f t="shared" si="21"/>
        <v>0</v>
      </c>
    </row>
    <row r="253" spans="1:16" ht="15" customHeight="1" x14ac:dyDescent="0.25">
      <c r="A253" s="552"/>
      <c r="B253" s="559"/>
      <c r="C253" s="110">
        <v>15</v>
      </c>
      <c r="D253" s="12"/>
      <c r="E253" s="12"/>
      <c r="F253" s="12"/>
      <c r="G253" s="12"/>
      <c r="H253" s="12"/>
      <c r="I253" s="12"/>
      <c r="J253" s="12"/>
      <c r="K253" s="12"/>
      <c r="L253" s="12"/>
      <c r="M253" s="12"/>
      <c r="N253" s="12"/>
      <c r="O253" s="12"/>
      <c r="P253" s="54">
        <f t="shared" si="21"/>
        <v>0</v>
      </c>
    </row>
    <row r="254" spans="1:16" ht="15" customHeight="1" x14ac:dyDescent="0.25">
      <c r="A254" s="552"/>
      <c r="B254" s="559"/>
      <c r="C254" s="110">
        <v>16</v>
      </c>
      <c r="D254" s="12"/>
      <c r="E254" s="12"/>
      <c r="F254" s="12"/>
      <c r="G254" s="12"/>
      <c r="H254" s="12"/>
      <c r="I254" s="12"/>
      <c r="J254" s="12"/>
      <c r="K254" s="12"/>
      <c r="L254" s="12"/>
      <c r="M254" s="12"/>
      <c r="N254" s="12"/>
      <c r="O254" s="12"/>
      <c r="P254" s="54">
        <f t="shared" si="21"/>
        <v>0</v>
      </c>
    </row>
    <row r="255" spans="1:16" ht="15" customHeight="1" x14ac:dyDescent="0.25">
      <c r="A255" s="552"/>
      <c r="B255" s="559"/>
      <c r="C255" s="110">
        <v>17</v>
      </c>
      <c r="D255" s="12"/>
      <c r="E255" s="12"/>
      <c r="F255" s="12"/>
      <c r="G255" s="12"/>
      <c r="H255" s="12"/>
      <c r="I255" s="12"/>
      <c r="J255" s="12"/>
      <c r="K255" s="12"/>
      <c r="L255" s="12"/>
      <c r="M255" s="12"/>
      <c r="N255" s="12"/>
      <c r="O255" s="12"/>
      <c r="P255" s="54">
        <f t="shared" si="21"/>
        <v>0</v>
      </c>
    </row>
    <row r="256" spans="1:16" ht="15" customHeight="1" x14ac:dyDescent="0.25">
      <c r="A256" s="552"/>
      <c r="B256" s="559"/>
      <c r="C256" s="110">
        <v>25</v>
      </c>
      <c r="D256" s="12"/>
      <c r="E256" s="12"/>
      <c r="F256" s="12"/>
      <c r="G256" s="12"/>
      <c r="H256" s="12"/>
      <c r="I256" s="12"/>
      <c r="J256" s="12"/>
      <c r="K256" s="12"/>
      <c r="L256" s="12"/>
      <c r="M256" s="12"/>
      <c r="N256" s="12"/>
      <c r="O256" s="12"/>
      <c r="P256" s="54">
        <f t="shared" si="21"/>
        <v>0</v>
      </c>
    </row>
    <row r="257" spans="1:16" ht="15" customHeight="1" x14ac:dyDescent="0.25">
      <c r="A257" s="552"/>
      <c r="B257" s="559"/>
      <c r="C257" s="110">
        <v>26</v>
      </c>
      <c r="D257" s="12"/>
      <c r="E257" s="12"/>
      <c r="F257" s="12"/>
      <c r="G257" s="12"/>
      <c r="H257" s="12"/>
      <c r="I257" s="12"/>
      <c r="J257" s="12"/>
      <c r="K257" s="12"/>
      <c r="L257" s="12"/>
      <c r="M257" s="12"/>
      <c r="N257" s="12"/>
      <c r="O257" s="12"/>
      <c r="P257" s="54">
        <f t="shared" si="21"/>
        <v>0</v>
      </c>
    </row>
    <row r="258" spans="1:16" ht="15" customHeight="1" x14ac:dyDescent="0.25">
      <c r="A258" s="553"/>
      <c r="B258" s="559"/>
      <c r="C258" s="110">
        <v>27</v>
      </c>
      <c r="D258" s="12"/>
      <c r="E258" s="12"/>
      <c r="F258" s="12"/>
      <c r="G258" s="12"/>
      <c r="H258" s="12"/>
      <c r="I258" s="12"/>
      <c r="J258" s="12"/>
      <c r="K258" s="12"/>
      <c r="L258" s="12"/>
      <c r="M258" s="12"/>
      <c r="N258" s="12"/>
      <c r="O258" s="12"/>
      <c r="P258" s="54">
        <f t="shared" si="21"/>
        <v>0</v>
      </c>
    </row>
    <row r="259" spans="1:16" ht="15" customHeight="1" x14ac:dyDescent="0.25">
      <c r="A259" s="551">
        <v>172</v>
      </c>
      <c r="B259" s="558" t="s">
        <v>54</v>
      </c>
      <c r="C259" s="110">
        <v>11</v>
      </c>
      <c r="D259" s="12"/>
      <c r="E259" s="12"/>
      <c r="F259" s="12"/>
      <c r="G259" s="12"/>
      <c r="H259" s="12"/>
      <c r="I259" s="12"/>
      <c r="J259" s="12"/>
      <c r="K259" s="12"/>
      <c r="L259" s="12"/>
      <c r="M259" s="12"/>
      <c r="N259" s="12"/>
      <c r="O259" s="12"/>
      <c r="P259" s="54">
        <f t="shared" si="21"/>
        <v>0</v>
      </c>
    </row>
    <row r="260" spans="1:16" ht="15" customHeight="1" x14ac:dyDescent="0.25">
      <c r="A260" s="552"/>
      <c r="B260" s="559"/>
      <c r="C260" s="110">
        <v>12</v>
      </c>
      <c r="D260" s="12"/>
      <c r="E260" s="12"/>
      <c r="F260" s="12"/>
      <c r="G260" s="12"/>
      <c r="H260" s="12"/>
      <c r="I260" s="12"/>
      <c r="J260" s="12"/>
      <c r="K260" s="12"/>
      <c r="L260" s="12"/>
      <c r="M260" s="12"/>
      <c r="N260" s="12"/>
      <c r="O260" s="12"/>
      <c r="P260" s="54">
        <f t="shared" si="21"/>
        <v>0</v>
      </c>
    </row>
    <row r="261" spans="1:16" ht="15" customHeight="1" x14ac:dyDescent="0.25">
      <c r="A261" s="552"/>
      <c r="B261" s="559"/>
      <c r="C261" s="110">
        <v>13</v>
      </c>
      <c r="D261" s="12"/>
      <c r="E261" s="12"/>
      <c r="F261" s="12"/>
      <c r="G261" s="12"/>
      <c r="H261" s="12"/>
      <c r="I261" s="12"/>
      <c r="J261" s="12"/>
      <c r="K261" s="12"/>
      <c r="L261" s="12"/>
      <c r="M261" s="12"/>
      <c r="N261" s="12"/>
      <c r="O261" s="12"/>
      <c r="P261" s="54">
        <f t="shared" si="21"/>
        <v>0</v>
      </c>
    </row>
    <row r="262" spans="1:16" ht="15" customHeight="1" x14ac:dyDescent="0.25">
      <c r="A262" s="552"/>
      <c r="B262" s="559"/>
      <c r="C262" s="110">
        <v>14</v>
      </c>
      <c r="D262" s="12"/>
      <c r="E262" s="12"/>
      <c r="F262" s="12"/>
      <c r="G262" s="12"/>
      <c r="H262" s="12"/>
      <c r="I262" s="12"/>
      <c r="J262" s="12"/>
      <c r="K262" s="12"/>
      <c r="L262" s="12"/>
      <c r="M262" s="12"/>
      <c r="N262" s="12"/>
      <c r="O262" s="12"/>
      <c r="P262" s="54">
        <f t="shared" si="21"/>
        <v>0</v>
      </c>
    </row>
    <row r="263" spans="1:16" ht="15" customHeight="1" x14ac:dyDescent="0.25">
      <c r="A263" s="552"/>
      <c r="B263" s="559"/>
      <c r="C263" s="110">
        <v>15</v>
      </c>
      <c r="D263" s="12"/>
      <c r="E263" s="12"/>
      <c r="F263" s="12"/>
      <c r="G263" s="12"/>
      <c r="H263" s="12"/>
      <c r="I263" s="12"/>
      <c r="J263" s="12"/>
      <c r="K263" s="12"/>
      <c r="L263" s="12"/>
      <c r="M263" s="12"/>
      <c r="N263" s="12"/>
      <c r="O263" s="12"/>
      <c r="P263" s="54">
        <f t="shared" si="21"/>
        <v>0</v>
      </c>
    </row>
    <row r="264" spans="1:16" ht="15" customHeight="1" x14ac:dyDescent="0.25">
      <c r="A264" s="552"/>
      <c r="B264" s="559"/>
      <c r="C264" s="110">
        <v>16</v>
      </c>
      <c r="D264" s="12"/>
      <c r="E264" s="12"/>
      <c r="F264" s="12"/>
      <c r="G264" s="12"/>
      <c r="H264" s="12"/>
      <c r="I264" s="12"/>
      <c r="J264" s="12"/>
      <c r="K264" s="12"/>
      <c r="L264" s="12"/>
      <c r="M264" s="12"/>
      <c r="N264" s="12"/>
      <c r="O264" s="12"/>
      <c r="P264" s="54">
        <f t="shared" si="21"/>
        <v>0</v>
      </c>
    </row>
    <row r="265" spans="1:16" ht="15" customHeight="1" x14ac:dyDescent="0.25">
      <c r="A265" s="552"/>
      <c r="B265" s="559"/>
      <c r="C265" s="110">
        <v>17</v>
      </c>
      <c r="D265" s="12"/>
      <c r="E265" s="12"/>
      <c r="F265" s="12"/>
      <c r="G265" s="12"/>
      <c r="H265" s="12"/>
      <c r="I265" s="12"/>
      <c r="J265" s="12"/>
      <c r="K265" s="12"/>
      <c r="L265" s="12"/>
      <c r="M265" s="12"/>
      <c r="N265" s="12"/>
      <c r="O265" s="12"/>
      <c r="P265" s="54">
        <f t="shared" si="21"/>
        <v>0</v>
      </c>
    </row>
    <row r="266" spans="1:16" ht="15" customHeight="1" x14ac:dyDescent="0.25">
      <c r="A266" s="552"/>
      <c r="B266" s="559"/>
      <c r="C266" s="110">
        <v>25</v>
      </c>
      <c r="D266" s="66"/>
      <c r="E266" s="12"/>
      <c r="F266" s="12"/>
      <c r="G266" s="12"/>
      <c r="H266" s="12"/>
      <c r="I266" s="12"/>
      <c r="J266" s="12"/>
      <c r="K266" s="12"/>
      <c r="L266" s="12"/>
      <c r="M266" s="12"/>
      <c r="N266" s="12"/>
      <c r="O266" s="12"/>
      <c r="P266" s="54">
        <f t="shared" si="21"/>
        <v>0</v>
      </c>
    </row>
    <row r="267" spans="1:16" ht="15" customHeight="1" x14ac:dyDescent="0.25">
      <c r="A267" s="552"/>
      <c r="B267" s="559"/>
      <c r="C267" s="110">
        <v>26</v>
      </c>
      <c r="D267" s="66"/>
      <c r="E267" s="12"/>
      <c r="F267" s="12"/>
      <c r="G267" s="12"/>
      <c r="H267" s="12"/>
      <c r="I267" s="12"/>
      <c r="J267" s="12"/>
      <c r="K267" s="12"/>
      <c r="L267" s="12"/>
      <c r="M267" s="12"/>
      <c r="N267" s="12"/>
      <c r="O267" s="12"/>
      <c r="P267" s="54">
        <f t="shared" si="21"/>
        <v>0</v>
      </c>
    </row>
    <row r="268" spans="1:16" ht="15" customHeight="1" x14ac:dyDescent="0.25">
      <c r="A268" s="552"/>
      <c r="B268" s="559"/>
      <c r="C268" s="110">
        <v>27</v>
      </c>
      <c r="D268" s="66"/>
      <c r="E268" s="12"/>
      <c r="F268" s="12"/>
      <c r="G268" s="12"/>
      <c r="H268" s="12"/>
      <c r="I268" s="12"/>
      <c r="J268" s="12"/>
      <c r="K268" s="12"/>
      <c r="L268" s="12"/>
      <c r="M268" s="12"/>
      <c r="N268" s="12"/>
      <c r="O268" s="12"/>
      <c r="P268" s="54">
        <f t="shared" si="21"/>
        <v>0</v>
      </c>
    </row>
    <row r="269" spans="1:16" x14ac:dyDescent="0.25">
      <c r="A269" s="75">
        <v>2000</v>
      </c>
      <c r="B269" s="309" t="s">
        <v>2283</v>
      </c>
      <c r="C269" s="310"/>
      <c r="D269" s="67">
        <f t="shared" ref="D269:P269" si="22">D270+D351+D382+D392+D483+D554+D575+D626+D657</f>
        <v>1645730</v>
      </c>
      <c r="E269" s="68">
        <f t="shared" si="22"/>
        <v>1395156</v>
      </c>
      <c r="F269" s="68">
        <f t="shared" si="22"/>
        <v>1548129</v>
      </c>
      <c r="G269" s="68">
        <f t="shared" si="22"/>
        <v>1387614</v>
      </c>
      <c r="H269" s="68">
        <f t="shared" si="22"/>
        <v>1389981</v>
      </c>
      <c r="I269" s="68">
        <f t="shared" si="22"/>
        <v>1253858</v>
      </c>
      <c r="J269" s="68">
        <f t="shared" si="22"/>
        <v>1173221</v>
      </c>
      <c r="K269" s="68">
        <f t="shared" si="22"/>
        <v>1225199</v>
      </c>
      <c r="L269" s="68">
        <f t="shared" si="22"/>
        <v>1263124</v>
      </c>
      <c r="M269" s="68">
        <f t="shared" si="22"/>
        <v>1227683</v>
      </c>
      <c r="N269" s="68">
        <f t="shared" si="22"/>
        <v>1147611</v>
      </c>
      <c r="O269" s="68">
        <f t="shared" si="22"/>
        <v>1298755</v>
      </c>
      <c r="P269" s="69">
        <f t="shared" si="22"/>
        <v>15956061</v>
      </c>
    </row>
    <row r="270" spans="1:16" ht="30" customHeight="1" x14ac:dyDescent="0.25">
      <c r="A270" s="62">
        <v>2100</v>
      </c>
      <c r="B270" s="307" t="s">
        <v>2284</v>
      </c>
      <c r="C270" s="308"/>
      <c r="D270" s="70">
        <f>SUM(D271:D350)</f>
        <v>177415</v>
      </c>
      <c r="E270" s="70">
        <f t="shared" ref="E270:O270" si="23">SUM(E271:E350)</f>
        <v>141276</v>
      </c>
      <c r="F270" s="70">
        <f t="shared" si="23"/>
        <v>102887</v>
      </c>
      <c r="G270" s="70">
        <f t="shared" si="23"/>
        <v>91309</v>
      </c>
      <c r="H270" s="70">
        <f t="shared" si="23"/>
        <v>148211</v>
      </c>
      <c r="I270" s="70">
        <f t="shared" si="23"/>
        <v>124883</v>
      </c>
      <c r="J270" s="70">
        <f t="shared" si="23"/>
        <v>87922</v>
      </c>
      <c r="K270" s="70">
        <f t="shared" si="23"/>
        <v>108126</v>
      </c>
      <c r="L270" s="70">
        <f t="shared" si="23"/>
        <v>91237</v>
      </c>
      <c r="M270" s="70">
        <f t="shared" si="23"/>
        <v>88402</v>
      </c>
      <c r="N270" s="70">
        <f t="shared" si="23"/>
        <v>78775</v>
      </c>
      <c r="O270" s="70">
        <f t="shared" si="23"/>
        <v>134110</v>
      </c>
      <c r="P270" s="70">
        <f>SUM(P271:P350)</f>
        <v>1374553</v>
      </c>
    </row>
    <row r="271" spans="1:16" x14ac:dyDescent="0.25">
      <c r="A271" s="551">
        <v>211</v>
      </c>
      <c r="B271" s="558" t="s">
        <v>57</v>
      </c>
      <c r="C271" s="110">
        <v>11</v>
      </c>
      <c r="D271" s="12"/>
      <c r="E271" s="12">
        <v>34560</v>
      </c>
      <c r="F271" s="12"/>
      <c r="G271" s="12"/>
      <c r="H271" s="12">
        <v>35698</v>
      </c>
      <c r="I271" s="12">
        <v>29870</v>
      </c>
      <c r="J271" s="12"/>
      <c r="K271" s="12">
        <v>38500</v>
      </c>
      <c r="L271" s="12"/>
      <c r="M271" s="12">
        <v>20458</v>
      </c>
      <c r="N271" s="12"/>
      <c r="O271" s="12"/>
      <c r="P271" s="55">
        <f>SUM(D271:O271)</f>
        <v>159086</v>
      </c>
    </row>
    <row r="272" spans="1:16" x14ac:dyDescent="0.25">
      <c r="A272" s="552"/>
      <c r="B272" s="559"/>
      <c r="C272" s="110">
        <v>12</v>
      </c>
      <c r="D272" s="12"/>
      <c r="E272" s="12"/>
      <c r="F272" s="12"/>
      <c r="G272" s="12"/>
      <c r="H272" s="12"/>
      <c r="I272" s="12"/>
      <c r="J272" s="12"/>
      <c r="K272" s="12"/>
      <c r="L272" s="12"/>
      <c r="M272" s="12"/>
      <c r="N272" s="12"/>
      <c r="O272" s="12"/>
      <c r="P272" s="55">
        <f t="shared" ref="P272:P335" si="24">SUM(D272:O272)</f>
        <v>0</v>
      </c>
    </row>
    <row r="273" spans="1:16" x14ac:dyDescent="0.25">
      <c r="A273" s="552"/>
      <c r="B273" s="559"/>
      <c r="C273" s="110">
        <v>13</v>
      </c>
      <c r="D273" s="12"/>
      <c r="E273" s="12"/>
      <c r="F273" s="12"/>
      <c r="G273" s="12"/>
      <c r="H273" s="12"/>
      <c r="I273" s="12"/>
      <c r="J273" s="12"/>
      <c r="K273" s="12"/>
      <c r="L273" s="12"/>
      <c r="M273" s="12"/>
      <c r="N273" s="12"/>
      <c r="O273" s="12"/>
      <c r="P273" s="55">
        <f t="shared" si="24"/>
        <v>0</v>
      </c>
    </row>
    <row r="274" spans="1:16" x14ac:dyDescent="0.25">
      <c r="A274" s="552"/>
      <c r="B274" s="559"/>
      <c r="C274" s="110">
        <v>14</v>
      </c>
      <c r="D274" s="12"/>
      <c r="E274" s="12"/>
      <c r="F274" s="12"/>
      <c r="G274" s="12"/>
      <c r="H274" s="12"/>
      <c r="I274" s="12"/>
      <c r="J274" s="12"/>
      <c r="K274" s="12"/>
      <c r="L274" s="12"/>
      <c r="M274" s="12"/>
      <c r="N274" s="12"/>
      <c r="O274" s="12"/>
      <c r="P274" s="55">
        <f t="shared" si="24"/>
        <v>0</v>
      </c>
    </row>
    <row r="275" spans="1:16" x14ac:dyDescent="0.25">
      <c r="A275" s="552"/>
      <c r="B275" s="559"/>
      <c r="C275" s="110">
        <v>15</v>
      </c>
      <c r="D275" s="12">
        <v>57217</v>
      </c>
      <c r="E275" s="12">
        <v>35833</v>
      </c>
      <c r="F275" s="12">
        <v>43421</v>
      </c>
      <c r="G275" s="12">
        <v>28294</v>
      </c>
      <c r="H275" s="12">
        <v>29462</v>
      </c>
      <c r="I275" s="12">
        <v>24978</v>
      </c>
      <c r="J275" s="12">
        <v>26456</v>
      </c>
      <c r="K275" s="12">
        <v>14698</v>
      </c>
      <c r="L275" s="12">
        <v>24569</v>
      </c>
      <c r="M275" s="12">
        <v>13458</v>
      </c>
      <c r="N275" s="12">
        <v>18745</v>
      </c>
      <c r="O275" s="12">
        <v>29494</v>
      </c>
      <c r="P275" s="55">
        <f t="shared" si="24"/>
        <v>346625</v>
      </c>
    </row>
    <row r="276" spans="1:16" x14ac:dyDescent="0.25">
      <c r="A276" s="552"/>
      <c r="B276" s="559"/>
      <c r="C276" s="110">
        <v>16</v>
      </c>
      <c r="D276" s="12"/>
      <c r="E276" s="12"/>
      <c r="F276" s="12"/>
      <c r="G276" s="12"/>
      <c r="H276" s="12"/>
      <c r="I276" s="12"/>
      <c r="J276" s="12"/>
      <c r="K276" s="12"/>
      <c r="L276" s="12"/>
      <c r="M276" s="12"/>
      <c r="N276" s="12"/>
      <c r="O276" s="12">
        <v>26254</v>
      </c>
      <c r="P276" s="55">
        <f t="shared" si="24"/>
        <v>26254</v>
      </c>
    </row>
    <row r="277" spans="1:16" x14ac:dyDescent="0.25">
      <c r="A277" s="552"/>
      <c r="B277" s="559"/>
      <c r="C277" s="110">
        <v>17</v>
      </c>
      <c r="D277" s="12"/>
      <c r="E277" s="12"/>
      <c r="F277" s="12"/>
      <c r="G277" s="12"/>
      <c r="H277" s="12"/>
      <c r="I277" s="12"/>
      <c r="J277" s="12"/>
      <c r="K277" s="12"/>
      <c r="L277" s="12"/>
      <c r="M277" s="12"/>
      <c r="N277" s="12"/>
      <c r="O277" s="12"/>
      <c r="P277" s="55">
        <f t="shared" si="24"/>
        <v>0</v>
      </c>
    </row>
    <row r="278" spans="1:16" x14ac:dyDescent="0.25">
      <c r="A278" s="552"/>
      <c r="B278" s="559"/>
      <c r="C278" s="110">
        <v>25</v>
      </c>
      <c r="D278" s="12"/>
      <c r="E278" s="12"/>
      <c r="F278" s="12"/>
      <c r="G278" s="12"/>
      <c r="H278" s="12"/>
      <c r="I278" s="12"/>
      <c r="J278" s="12"/>
      <c r="K278" s="12"/>
      <c r="L278" s="12"/>
      <c r="M278" s="12"/>
      <c r="N278" s="12"/>
      <c r="O278" s="12"/>
      <c r="P278" s="55">
        <f t="shared" si="24"/>
        <v>0</v>
      </c>
    </row>
    <row r="279" spans="1:16" x14ac:dyDescent="0.25">
      <c r="A279" s="552"/>
      <c r="B279" s="559"/>
      <c r="C279" s="110">
        <v>26</v>
      </c>
      <c r="D279" s="12"/>
      <c r="E279" s="12"/>
      <c r="F279" s="12"/>
      <c r="G279" s="12"/>
      <c r="H279" s="12"/>
      <c r="I279" s="12"/>
      <c r="J279" s="12"/>
      <c r="K279" s="12"/>
      <c r="L279" s="12"/>
      <c r="M279" s="12"/>
      <c r="N279" s="12"/>
      <c r="O279" s="12"/>
      <c r="P279" s="55">
        <f t="shared" si="24"/>
        <v>0</v>
      </c>
    </row>
    <row r="280" spans="1:16" x14ac:dyDescent="0.25">
      <c r="A280" s="553"/>
      <c r="B280" s="559"/>
      <c r="C280" s="110">
        <v>27</v>
      </c>
      <c r="D280" s="12"/>
      <c r="E280" s="12"/>
      <c r="F280" s="12"/>
      <c r="G280" s="12"/>
      <c r="H280" s="12"/>
      <c r="I280" s="12"/>
      <c r="J280" s="12"/>
      <c r="K280" s="12"/>
      <c r="L280" s="12"/>
      <c r="M280" s="12"/>
      <c r="N280" s="12"/>
      <c r="O280" s="12"/>
      <c r="P280" s="55">
        <f t="shared" si="24"/>
        <v>0</v>
      </c>
    </row>
    <row r="281" spans="1:16" x14ac:dyDescent="0.25">
      <c r="A281" s="551">
        <v>212</v>
      </c>
      <c r="B281" s="558" t="s">
        <v>58</v>
      </c>
      <c r="C281" s="110">
        <v>11</v>
      </c>
      <c r="D281" s="12"/>
      <c r="E281" s="12"/>
      <c r="F281" s="12"/>
      <c r="G281" s="12"/>
      <c r="H281" s="12">
        <v>12980</v>
      </c>
      <c r="I281" s="12"/>
      <c r="J281" s="12"/>
      <c r="K281" s="12"/>
      <c r="L281" s="12">
        <v>9560</v>
      </c>
      <c r="M281" s="12"/>
      <c r="N281" s="12"/>
      <c r="O281" s="12"/>
      <c r="P281" s="55">
        <f t="shared" si="24"/>
        <v>22540</v>
      </c>
    </row>
    <row r="282" spans="1:16" x14ac:dyDescent="0.25">
      <c r="A282" s="552"/>
      <c r="B282" s="559"/>
      <c r="C282" s="110">
        <v>12</v>
      </c>
      <c r="D282" s="12"/>
      <c r="E282" s="12"/>
      <c r="F282" s="12"/>
      <c r="G282" s="12"/>
      <c r="H282" s="12"/>
      <c r="I282" s="12"/>
      <c r="J282" s="12"/>
      <c r="K282" s="12"/>
      <c r="L282" s="12"/>
      <c r="M282" s="12"/>
      <c r="N282" s="12"/>
      <c r="O282" s="12"/>
      <c r="P282" s="55">
        <f t="shared" si="24"/>
        <v>0</v>
      </c>
    </row>
    <row r="283" spans="1:16" x14ac:dyDescent="0.25">
      <c r="A283" s="552"/>
      <c r="B283" s="559"/>
      <c r="C283" s="110">
        <v>13</v>
      </c>
      <c r="D283" s="12"/>
      <c r="E283" s="12"/>
      <c r="F283" s="12"/>
      <c r="G283" s="12"/>
      <c r="H283" s="12"/>
      <c r="I283" s="12"/>
      <c r="J283" s="12"/>
      <c r="K283" s="12"/>
      <c r="L283" s="12"/>
      <c r="M283" s="12"/>
      <c r="N283" s="12"/>
      <c r="O283" s="12"/>
      <c r="P283" s="55">
        <f t="shared" si="24"/>
        <v>0</v>
      </c>
    </row>
    <row r="284" spans="1:16" x14ac:dyDescent="0.25">
      <c r="A284" s="552"/>
      <c r="B284" s="559"/>
      <c r="C284" s="110">
        <v>14</v>
      </c>
      <c r="D284" s="12"/>
      <c r="E284" s="12"/>
      <c r="F284" s="12"/>
      <c r="G284" s="12"/>
      <c r="H284" s="12"/>
      <c r="I284" s="12"/>
      <c r="J284" s="12"/>
      <c r="K284" s="12"/>
      <c r="L284" s="12"/>
      <c r="M284" s="12"/>
      <c r="N284" s="12"/>
      <c r="O284" s="12"/>
      <c r="P284" s="55">
        <f t="shared" si="24"/>
        <v>0</v>
      </c>
    </row>
    <row r="285" spans="1:16" x14ac:dyDescent="0.25">
      <c r="A285" s="552"/>
      <c r="B285" s="559"/>
      <c r="C285" s="110">
        <v>15</v>
      </c>
      <c r="D285" s="12">
        <v>13450</v>
      </c>
      <c r="E285" s="12"/>
      <c r="F285" s="12"/>
      <c r="G285" s="12"/>
      <c r="H285" s="12"/>
      <c r="I285" s="12"/>
      <c r="J285" s="12"/>
      <c r="K285" s="12"/>
      <c r="L285" s="12"/>
      <c r="M285" s="12"/>
      <c r="N285" s="12"/>
      <c r="O285" s="12"/>
      <c r="P285" s="55">
        <f t="shared" si="24"/>
        <v>13450</v>
      </c>
    </row>
    <row r="286" spans="1:16" x14ac:dyDescent="0.25">
      <c r="A286" s="552"/>
      <c r="B286" s="559"/>
      <c r="C286" s="110">
        <v>16</v>
      </c>
      <c r="D286" s="12"/>
      <c r="E286" s="12"/>
      <c r="F286" s="12"/>
      <c r="G286" s="12"/>
      <c r="H286" s="12"/>
      <c r="I286" s="12"/>
      <c r="J286" s="12"/>
      <c r="K286" s="12"/>
      <c r="L286" s="12"/>
      <c r="M286" s="12"/>
      <c r="N286" s="12"/>
      <c r="O286" s="12"/>
      <c r="P286" s="55">
        <f t="shared" si="24"/>
        <v>0</v>
      </c>
    </row>
    <row r="287" spans="1:16" x14ac:dyDescent="0.25">
      <c r="A287" s="552"/>
      <c r="B287" s="559"/>
      <c r="C287" s="110">
        <v>17</v>
      </c>
      <c r="D287" s="12"/>
      <c r="E287" s="12"/>
      <c r="F287" s="12"/>
      <c r="G287" s="12"/>
      <c r="H287" s="12"/>
      <c r="I287" s="12"/>
      <c r="J287" s="12"/>
      <c r="K287" s="12"/>
      <c r="L287" s="12"/>
      <c r="M287" s="12"/>
      <c r="N287" s="12"/>
      <c r="O287" s="12"/>
      <c r="P287" s="55">
        <f t="shared" si="24"/>
        <v>0</v>
      </c>
    </row>
    <row r="288" spans="1:16" x14ac:dyDescent="0.25">
      <c r="A288" s="552"/>
      <c r="B288" s="559"/>
      <c r="C288" s="110">
        <v>25</v>
      </c>
      <c r="D288" s="12"/>
      <c r="E288" s="12"/>
      <c r="F288" s="12"/>
      <c r="G288" s="12"/>
      <c r="H288" s="12"/>
      <c r="I288" s="12"/>
      <c r="J288" s="12"/>
      <c r="K288" s="12"/>
      <c r="L288" s="12"/>
      <c r="M288" s="12"/>
      <c r="N288" s="12"/>
      <c r="O288" s="12"/>
      <c r="P288" s="55">
        <f t="shared" si="24"/>
        <v>0</v>
      </c>
    </row>
    <row r="289" spans="1:16" x14ac:dyDescent="0.25">
      <c r="A289" s="552"/>
      <c r="B289" s="559"/>
      <c r="C289" s="110">
        <v>26</v>
      </c>
      <c r="D289" s="12"/>
      <c r="E289" s="12"/>
      <c r="F289" s="12"/>
      <c r="G289" s="12"/>
      <c r="H289" s="12"/>
      <c r="I289" s="12"/>
      <c r="J289" s="12"/>
      <c r="K289" s="12"/>
      <c r="L289" s="12"/>
      <c r="M289" s="12"/>
      <c r="N289" s="12"/>
      <c r="O289" s="12"/>
      <c r="P289" s="55">
        <f t="shared" si="24"/>
        <v>0</v>
      </c>
    </row>
    <row r="290" spans="1:16" x14ac:dyDescent="0.25">
      <c r="A290" s="553"/>
      <c r="B290" s="559"/>
      <c r="C290" s="110">
        <v>27</v>
      </c>
      <c r="D290" s="12"/>
      <c r="E290" s="12"/>
      <c r="F290" s="12"/>
      <c r="G290" s="12"/>
      <c r="H290" s="12"/>
      <c r="I290" s="12"/>
      <c r="J290" s="12"/>
      <c r="K290" s="12"/>
      <c r="L290" s="12"/>
      <c r="M290" s="12"/>
      <c r="N290" s="12"/>
      <c r="O290" s="12"/>
      <c r="P290" s="55">
        <f t="shared" si="24"/>
        <v>0</v>
      </c>
    </row>
    <row r="291" spans="1:16" x14ac:dyDescent="0.25">
      <c r="A291" s="551">
        <v>213</v>
      </c>
      <c r="B291" s="558" t="s">
        <v>59</v>
      </c>
      <c r="C291" s="110">
        <v>11</v>
      </c>
      <c r="D291" s="12"/>
      <c r="E291" s="12"/>
      <c r="F291" s="12"/>
      <c r="G291" s="12"/>
      <c r="H291" s="12"/>
      <c r="I291" s="12"/>
      <c r="J291" s="12"/>
      <c r="K291" s="12"/>
      <c r="L291" s="12"/>
      <c r="M291" s="12"/>
      <c r="N291" s="12"/>
      <c r="O291" s="12"/>
      <c r="P291" s="55">
        <f t="shared" si="24"/>
        <v>0</v>
      </c>
    </row>
    <row r="292" spans="1:16" x14ac:dyDescent="0.25">
      <c r="A292" s="552"/>
      <c r="B292" s="559"/>
      <c r="C292" s="110">
        <v>12</v>
      </c>
      <c r="D292" s="12"/>
      <c r="E292" s="12"/>
      <c r="F292" s="12"/>
      <c r="G292" s="12"/>
      <c r="H292" s="12"/>
      <c r="I292" s="12"/>
      <c r="J292" s="12"/>
      <c r="K292" s="12"/>
      <c r="L292" s="12"/>
      <c r="M292" s="12"/>
      <c r="N292" s="12"/>
      <c r="O292" s="12"/>
      <c r="P292" s="55">
        <f t="shared" si="24"/>
        <v>0</v>
      </c>
    </row>
    <row r="293" spans="1:16" x14ac:dyDescent="0.25">
      <c r="A293" s="552"/>
      <c r="B293" s="559"/>
      <c r="C293" s="110">
        <v>13</v>
      </c>
      <c r="D293" s="12"/>
      <c r="E293" s="12"/>
      <c r="F293" s="12"/>
      <c r="G293" s="12"/>
      <c r="H293" s="12"/>
      <c r="I293" s="12"/>
      <c r="J293" s="12"/>
      <c r="K293" s="12"/>
      <c r="L293" s="12"/>
      <c r="M293" s="12"/>
      <c r="N293" s="12"/>
      <c r="O293" s="12"/>
      <c r="P293" s="55">
        <f t="shared" si="24"/>
        <v>0</v>
      </c>
    </row>
    <row r="294" spans="1:16" x14ac:dyDescent="0.25">
      <c r="A294" s="552"/>
      <c r="B294" s="559"/>
      <c r="C294" s="110">
        <v>14</v>
      </c>
      <c r="D294" s="12"/>
      <c r="E294" s="12"/>
      <c r="F294" s="12"/>
      <c r="G294" s="12"/>
      <c r="H294" s="12"/>
      <c r="I294" s="12"/>
      <c r="J294" s="12"/>
      <c r="K294" s="12"/>
      <c r="L294" s="12"/>
      <c r="M294" s="12"/>
      <c r="N294" s="12"/>
      <c r="O294" s="12"/>
      <c r="P294" s="55">
        <f t="shared" si="24"/>
        <v>0</v>
      </c>
    </row>
    <row r="295" spans="1:16" x14ac:dyDescent="0.25">
      <c r="A295" s="552"/>
      <c r="B295" s="559"/>
      <c r="C295" s="110">
        <v>15</v>
      </c>
      <c r="D295" s="12"/>
      <c r="E295" s="12"/>
      <c r="F295" s="12"/>
      <c r="G295" s="12"/>
      <c r="H295" s="12"/>
      <c r="I295" s="12"/>
      <c r="J295" s="12"/>
      <c r="K295" s="12"/>
      <c r="L295" s="12"/>
      <c r="M295" s="12"/>
      <c r="N295" s="12"/>
      <c r="O295" s="12"/>
      <c r="P295" s="55">
        <f t="shared" si="24"/>
        <v>0</v>
      </c>
    </row>
    <row r="296" spans="1:16" x14ac:dyDescent="0.25">
      <c r="A296" s="552"/>
      <c r="B296" s="559"/>
      <c r="C296" s="110">
        <v>16</v>
      </c>
      <c r="D296" s="12"/>
      <c r="E296" s="12"/>
      <c r="F296" s="12"/>
      <c r="G296" s="12"/>
      <c r="H296" s="12"/>
      <c r="I296" s="12"/>
      <c r="J296" s="12"/>
      <c r="K296" s="12"/>
      <c r="L296" s="12"/>
      <c r="M296" s="12"/>
      <c r="N296" s="12"/>
      <c r="O296" s="12"/>
      <c r="P296" s="55">
        <f t="shared" si="24"/>
        <v>0</v>
      </c>
    </row>
    <row r="297" spans="1:16" x14ac:dyDescent="0.25">
      <c r="A297" s="552"/>
      <c r="B297" s="559"/>
      <c r="C297" s="110">
        <v>17</v>
      </c>
      <c r="D297" s="12"/>
      <c r="E297" s="12"/>
      <c r="F297" s="12"/>
      <c r="G297" s="12"/>
      <c r="H297" s="12"/>
      <c r="I297" s="12"/>
      <c r="J297" s="12"/>
      <c r="K297" s="12"/>
      <c r="L297" s="12"/>
      <c r="M297" s="12"/>
      <c r="N297" s="12"/>
      <c r="O297" s="12"/>
      <c r="P297" s="55">
        <f t="shared" si="24"/>
        <v>0</v>
      </c>
    </row>
    <row r="298" spans="1:16" x14ac:dyDescent="0.25">
      <c r="A298" s="552"/>
      <c r="B298" s="559"/>
      <c r="C298" s="110">
        <v>25</v>
      </c>
      <c r="D298" s="12"/>
      <c r="E298" s="12"/>
      <c r="F298" s="12"/>
      <c r="G298" s="12"/>
      <c r="H298" s="12"/>
      <c r="I298" s="12"/>
      <c r="J298" s="12"/>
      <c r="K298" s="12"/>
      <c r="L298" s="12"/>
      <c r="M298" s="12"/>
      <c r="N298" s="12"/>
      <c r="O298" s="12"/>
      <c r="P298" s="55">
        <f t="shared" si="24"/>
        <v>0</v>
      </c>
    </row>
    <row r="299" spans="1:16" x14ac:dyDescent="0.25">
      <c r="A299" s="552"/>
      <c r="B299" s="559"/>
      <c r="C299" s="110">
        <v>26</v>
      </c>
      <c r="D299" s="12"/>
      <c r="E299" s="12"/>
      <c r="F299" s="12"/>
      <c r="G299" s="12"/>
      <c r="H299" s="12"/>
      <c r="I299" s="12"/>
      <c r="J299" s="12"/>
      <c r="K299" s="12"/>
      <c r="L299" s="12"/>
      <c r="M299" s="12"/>
      <c r="N299" s="12"/>
      <c r="O299" s="12"/>
      <c r="P299" s="55">
        <f t="shared" si="24"/>
        <v>0</v>
      </c>
    </row>
    <row r="300" spans="1:16" x14ac:dyDescent="0.25">
      <c r="A300" s="553"/>
      <c r="B300" s="559"/>
      <c r="C300" s="110">
        <v>27</v>
      </c>
      <c r="D300" s="12"/>
      <c r="E300" s="12"/>
      <c r="F300" s="12"/>
      <c r="G300" s="12"/>
      <c r="H300" s="12"/>
      <c r="I300" s="12"/>
      <c r="J300" s="12"/>
      <c r="K300" s="12"/>
      <c r="L300" s="12"/>
      <c r="M300" s="12"/>
      <c r="N300" s="12"/>
      <c r="O300" s="12"/>
      <c r="P300" s="55">
        <f t="shared" si="24"/>
        <v>0</v>
      </c>
    </row>
    <row r="301" spans="1:16" ht="15" customHeight="1" x14ac:dyDescent="0.25">
      <c r="A301" s="551">
        <v>214</v>
      </c>
      <c r="B301" s="558" t="s">
        <v>60</v>
      </c>
      <c r="C301" s="110">
        <v>11</v>
      </c>
      <c r="D301" s="12"/>
      <c r="E301" s="12"/>
      <c r="F301" s="12"/>
      <c r="G301" s="12"/>
      <c r="H301" s="12"/>
      <c r="I301" s="12">
        <v>27253</v>
      </c>
      <c r="J301" s="12"/>
      <c r="K301" s="12"/>
      <c r="L301" s="12"/>
      <c r="M301" s="12"/>
      <c r="N301" s="12">
        <v>14985</v>
      </c>
      <c r="O301" s="12"/>
      <c r="P301" s="55">
        <f t="shared" si="24"/>
        <v>42238</v>
      </c>
    </row>
    <row r="302" spans="1:16" x14ac:dyDescent="0.25">
      <c r="A302" s="552"/>
      <c r="B302" s="559"/>
      <c r="C302" s="110">
        <v>12</v>
      </c>
      <c r="D302" s="12"/>
      <c r="E302" s="12"/>
      <c r="F302" s="12"/>
      <c r="G302" s="12"/>
      <c r="H302" s="12"/>
      <c r="I302" s="12"/>
      <c r="J302" s="12"/>
      <c r="K302" s="12"/>
      <c r="L302" s="12"/>
      <c r="M302" s="12"/>
      <c r="N302" s="12"/>
      <c r="O302" s="12"/>
      <c r="P302" s="55">
        <f t="shared" si="24"/>
        <v>0</v>
      </c>
    </row>
    <row r="303" spans="1:16" x14ac:dyDescent="0.25">
      <c r="A303" s="552"/>
      <c r="B303" s="559"/>
      <c r="C303" s="110">
        <v>13</v>
      </c>
      <c r="D303" s="12"/>
      <c r="E303" s="12"/>
      <c r="F303" s="12"/>
      <c r="G303" s="12"/>
      <c r="H303" s="12"/>
      <c r="I303" s="12"/>
      <c r="J303" s="12"/>
      <c r="K303" s="12"/>
      <c r="L303" s="12"/>
      <c r="M303" s="12"/>
      <c r="N303" s="12"/>
      <c r="O303" s="12"/>
      <c r="P303" s="55">
        <f t="shared" si="24"/>
        <v>0</v>
      </c>
    </row>
    <row r="304" spans="1:16" x14ac:dyDescent="0.25">
      <c r="A304" s="552"/>
      <c r="B304" s="559"/>
      <c r="C304" s="110">
        <v>14</v>
      </c>
      <c r="D304" s="12"/>
      <c r="E304" s="12"/>
      <c r="F304" s="12"/>
      <c r="G304" s="12"/>
      <c r="H304" s="12"/>
      <c r="I304" s="12"/>
      <c r="J304" s="12"/>
      <c r="K304" s="12"/>
      <c r="L304" s="12"/>
      <c r="M304" s="12"/>
      <c r="N304" s="12"/>
      <c r="O304" s="12"/>
      <c r="P304" s="55">
        <f t="shared" si="24"/>
        <v>0</v>
      </c>
    </row>
    <row r="305" spans="1:16" x14ac:dyDescent="0.25">
      <c r="A305" s="552"/>
      <c r="B305" s="559"/>
      <c r="C305" s="110">
        <v>15</v>
      </c>
      <c r="D305" s="12">
        <v>36662</v>
      </c>
      <c r="E305" s="12">
        <v>36370</v>
      </c>
      <c r="F305" s="12">
        <v>23334</v>
      </c>
      <c r="G305" s="12">
        <v>25127</v>
      </c>
      <c r="H305" s="12">
        <v>16476</v>
      </c>
      <c r="I305" s="12"/>
      <c r="J305" s="12">
        <v>22769</v>
      </c>
      <c r="K305" s="12">
        <v>26968</v>
      </c>
      <c r="L305" s="12">
        <v>20872</v>
      </c>
      <c r="M305" s="12">
        <v>22170</v>
      </c>
      <c r="N305" s="12">
        <v>17629</v>
      </c>
      <c r="O305" s="12">
        <v>27928</v>
      </c>
      <c r="P305" s="55">
        <f t="shared" si="24"/>
        <v>276305</v>
      </c>
    </row>
    <row r="306" spans="1:16" x14ac:dyDescent="0.25">
      <c r="A306" s="552"/>
      <c r="B306" s="559"/>
      <c r="C306" s="110">
        <v>16</v>
      </c>
      <c r="D306" s="12"/>
      <c r="E306" s="12"/>
      <c r="F306" s="12"/>
      <c r="G306" s="12"/>
      <c r="H306" s="12"/>
      <c r="I306" s="12"/>
      <c r="J306" s="12"/>
      <c r="K306" s="12"/>
      <c r="L306" s="12"/>
      <c r="M306" s="12"/>
      <c r="N306" s="12"/>
      <c r="O306" s="12"/>
      <c r="P306" s="55">
        <f t="shared" si="24"/>
        <v>0</v>
      </c>
    </row>
    <row r="307" spans="1:16" x14ac:dyDescent="0.25">
      <c r="A307" s="552"/>
      <c r="B307" s="559"/>
      <c r="C307" s="110">
        <v>17</v>
      </c>
      <c r="D307" s="12"/>
      <c r="E307" s="12"/>
      <c r="F307" s="12"/>
      <c r="G307" s="12"/>
      <c r="H307" s="12"/>
      <c r="I307" s="12"/>
      <c r="J307" s="12"/>
      <c r="K307" s="12"/>
      <c r="L307" s="12"/>
      <c r="M307" s="12"/>
      <c r="N307" s="12"/>
      <c r="O307" s="12"/>
      <c r="P307" s="55">
        <f t="shared" si="24"/>
        <v>0</v>
      </c>
    </row>
    <row r="308" spans="1:16" x14ac:dyDescent="0.25">
      <c r="A308" s="552"/>
      <c r="B308" s="559"/>
      <c r="C308" s="110">
        <v>25</v>
      </c>
      <c r="D308" s="12"/>
      <c r="E308" s="12"/>
      <c r="F308" s="12"/>
      <c r="G308" s="12"/>
      <c r="H308" s="12"/>
      <c r="I308" s="12"/>
      <c r="J308" s="12"/>
      <c r="K308" s="12"/>
      <c r="L308" s="12"/>
      <c r="M308" s="12"/>
      <c r="N308" s="12"/>
      <c r="O308" s="12"/>
      <c r="P308" s="55">
        <f t="shared" si="24"/>
        <v>0</v>
      </c>
    </row>
    <row r="309" spans="1:16" x14ac:dyDescent="0.25">
      <c r="A309" s="552"/>
      <c r="B309" s="559"/>
      <c r="C309" s="110">
        <v>26</v>
      </c>
      <c r="D309" s="12"/>
      <c r="E309" s="12"/>
      <c r="F309" s="12"/>
      <c r="G309" s="12"/>
      <c r="H309" s="12"/>
      <c r="I309" s="12"/>
      <c r="J309" s="12"/>
      <c r="K309" s="12"/>
      <c r="L309" s="12"/>
      <c r="M309" s="12"/>
      <c r="N309" s="12"/>
      <c r="O309" s="12"/>
      <c r="P309" s="55">
        <f t="shared" si="24"/>
        <v>0</v>
      </c>
    </row>
    <row r="310" spans="1:16" x14ac:dyDescent="0.25">
      <c r="A310" s="553"/>
      <c r="B310" s="559"/>
      <c r="C310" s="110">
        <v>27</v>
      </c>
      <c r="D310" s="12"/>
      <c r="E310" s="12"/>
      <c r="F310" s="12"/>
      <c r="G310" s="12"/>
      <c r="H310" s="12"/>
      <c r="I310" s="12"/>
      <c r="J310" s="12"/>
      <c r="K310" s="12"/>
      <c r="L310" s="12"/>
      <c r="M310" s="12"/>
      <c r="N310" s="12"/>
      <c r="O310" s="12"/>
      <c r="P310" s="55">
        <f t="shared" si="24"/>
        <v>0</v>
      </c>
    </row>
    <row r="311" spans="1:16" x14ac:dyDescent="0.25">
      <c r="A311" s="551">
        <v>215</v>
      </c>
      <c r="B311" s="558" t="s">
        <v>61</v>
      </c>
      <c r="C311" s="110">
        <v>11</v>
      </c>
      <c r="D311" s="12"/>
      <c r="E311" s="12"/>
      <c r="F311" s="12"/>
      <c r="G311" s="12"/>
      <c r="H311" s="12"/>
      <c r="I311" s="12"/>
      <c r="J311" s="12"/>
      <c r="K311" s="12"/>
      <c r="L311" s="12">
        <v>2562</v>
      </c>
      <c r="M311" s="12"/>
      <c r="N311" s="12"/>
      <c r="O311" s="12"/>
      <c r="P311" s="55">
        <f t="shared" si="24"/>
        <v>2562</v>
      </c>
    </row>
    <row r="312" spans="1:16" x14ac:dyDescent="0.25">
      <c r="A312" s="552"/>
      <c r="B312" s="559"/>
      <c r="C312" s="110">
        <v>12</v>
      </c>
      <c r="D312" s="12"/>
      <c r="E312" s="12"/>
      <c r="F312" s="12"/>
      <c r="G312" s="12"/>
      <c r="H312" s="12"/>
      <c r="I312" s="12"/>
      <c r="J312" s="12"/>
      <c r="K312" s="12"/>
      <c r="L312" s="12"/>
      <c r="M312" s="12"/>
      <c r="N312" s="12"/>
      <c r="O312" s="12"/>
      <c r="P312" s="55">
        <f t="shared" si="24"/>
        <v>0</v>
      </c>
    </row>
    <row r="313" spans="1:16" x14ac:dyDescent="0.25">
      <c r="A313" s="552"/>
      <c r="B313" s="559"/>
      <c r="C313" s="110">
        <v>13</v>
      </c>
      <c r="D313" s="12"/>
      <c r="E313" s="12"/>
      <c r="F313" s="12"/>
      <c r="G313" s="12"/>
      <c r="H313" s="12"/>
      <c r="I313" s="12"/>
      <c r="J313" s="12"/>
      <c r="K313" s="12"/>
      <c r="L313" s="12"/>
      <c r="M313" s="12"/>
      <c r="N313" s="12"/>
      <c r="O313" s="12"/>
      <c r="P313" s="55">
        <f t="shared" si="24"/>
        <v>0</v>
      </c>
    </row>
    <row r="314" spans="1:16" x14ac:dyDescent="0.25">
      <c r="A314" s="552"/>
      <c r="B314" s="559"/>
      <c r="C314" s="110">
        <v>14</v>
      </c>
      <c r="D314" s="12"/>
      <c r="E314" s="12"/>
      <c r="F314" s="12"/>
      <c r="G314" s="12"/>
      <c r="H314" s="12"/>
      <c r="I314" s="12"/>
      <c r="J314" s="12"/>
      <c r="K314" s="12"/>
      <c r="L314" s="12"/>
      <c r="M314" s="12"/>
      <c r="N314" s="12"/>
      <c r="O314" s="12"/>
      <c r="P314" s="55">
        <f t="shared" si="24"/>
        <v>0</v>
      </c>
    </row>
    <row r="315" spans="1:16" x14ac:dyDescent="0.25">
      <c r="A315" s="552"/>
      <c r="B315" s="559"/>
      <c r="C315" s="110">
        <v>15</v>
      </c>
      <c r="D315" s="12"/>
      <c r="E315" s="12"/>
      <c r="F315" s="12"/>
      <c r="G315" s="12">
        <v>2560</v>
      </c>
      <c r="H315" s="12"/>
      <c r="I315" s="12"/>
      <c r="J315" s="12"/>
      <c r="K315" s="12"/>
      <c r="L315" s="12"/>
      <c r="M315" s="12"/>
      <c r="N315" s="12"/>
      <c r="O315" s="12"/>
      <c r="P315" s="55">
        <f t="shared" si="24"/>
        <v>2560</v>
      </c>
    </row>
    <row r="316" spans="1:16" x14ac:dyDescent="0.25">
      <c r="A316" s="552"/>
      <c r="B316" s="559"/>
      <c r="C316" s="110">
        <v>16</v>
      </c>
      <c r="D316" s="12"/>
      <c r="E316" s="12"/>
      <c r="F316" s="12"/>
      <c r="G316" s="12"/>
      <c r="H316" s="12"/>
      <c r="I316" s="12"/>
      <c r="J316" s="12"/>
      <c r="K316" s="12"/>
      <c r="L316" s="12"/>
      <c r="M316" s="12"/>
      <c r="N316" s="12"/>
      <c r="O316" s="12"/>
      <c r="P316" s="55">
        <f t="shared" si="24"/>
        <v>0</v>
      </c>
    </row>
    <row r="317" spans="1:16" x14ac:dyDescent="0.25">
      <c r="A317" s="552"/>
      <c r="B317" s="559"/>
      <c r="C317" s="110">
        <v>17</v>
      </c>
      <c r="D317" s="12"/>
      <c r="E317" s="12"/>
      <c r="F317" s="12"/>
      <c r="G317" s="12"/>
      <c r="H317" s="12"/>
      <c r="I317" s="12"/>
      <c r="J317" s="12"/>
      <c r="K317" s="12"/>
      <c r="L317" s="12"/>
      <c r="M317" s="12"/>
      <c r="N317" s="12"/>
      <c r="O317" s="12"/>
      <c r="P317" s="55">
        <f t="shared" si="24"/>
        <v>0</v>
      </c>
    </row>
    <row r="318" spans="1:16" x14ac:dyDescent="0.25">
      <c r="A318" s="552"/>
      <c r="B318" s="559"/>
      <c r="C318" s="110">
        <v>25</v>
      </c>
      <c r="D318" s="12"/>
      <c r="E318" s="12"/>
      <c r="F318" s="12"/>
      <c r="G318" s="12"/>
      <c r="H318" s="12"/>
      <c r="I318" s="12"/>
      <c r="J318" s="12"/>
      <c r="K318" s="12"/>
      <c r="L318" s="12"/>
      <c r="M318" s="12"/>
      <c r="N318" s="12"/>
      <c r="O318" s="12"/>
      <c r="P318" s="55">
        <f t="shared" si="24"/>
        <v>0</v>
      </c>
    </row>
    <row r="319" spans="1:16" x14ac:dyDescent="0.25">
      <c r="A319" s="552"/>
      <c r="B319" s="559"/>
      <c r="C319" s="110">
        <v>26</v>
      </c>
      <c r="D319" s="12"/>
      <c r="E319" s="12"/>
      <c r="F319" s="12"/>
      <c r="G319" s="12"/>
      <c r="H319" s="12"/>
      <c r="I319" s="12"/>
      <c r="J319" s="12"/>
      <c r="K319" s="12"/>
      <c r="L319" s="12"/>
      <c r="M319" s="12"/>
      <c r="N319" s="12"/>
      <c r="O319" s="12"/>
      <c r="P319" s="55">
        <f t="shared" si="24"/>
        <v>0</v>
      </c>
    </row>
    <row r="320" spans="1:16" x14ac:dyDescent="0.25">
      <c r="A320" s="553"/>
      <c r="B320" s="559"/>
      <c r="C320" s="110">
        <v>27</v>
      </c>
      <c r="D320" s="12"/>
      <c r="E320" s="12"/>
      <c r="F320" s="12"/>
      <c r="G320" s="12"/>
      <c r="H320" s="12"/>
      <c r="I320" s="12"/>
      <c r="J320" s="12"/>
      <c r="K320" s="12"/>
      <c r="L320" s="12"/>
      <c r="M320" s="12"/>
      <c r="N320" s="12"/>
      <c r="O320" s="12"/>
      <c r="P320" s="55">
        <f t="shared" si="24"/>
        <v>0</v>
      </c>
    </row>
    <row r="321" spans="1:16" x14ac:dyDescent="0.25">
      <c r="A321" s="551">
        <v>216</v>
      </c>
      <c r="B321" s="558" t="s">
        <v>62</v>
      </c>
      <c r="C321" s="110">
        <v>11</v>
      </c>
      <c r="D321" s="12">
        <v>56850</v>
      </c>
      <c r="E321" s="12"/>
      <c r="F321" s="12"/>
      <c r="G321" s="12"/>
      <c r="H321" s="12">
        <v>16520</v>
      </c>
      <c r="I321" s="12">
        <v>23260</v>
      </c>
      <c r="J321" s="12"/>
      <c r="K321" s="12"/>
      <c r="L321" s="12">
        <v>20035</v>
      </c>
      <c r="M321" s="12"/>
      <c r="N321" s="12"/>
      <c r="O321" s="12"/>
      <c r="P321" s="55">
        <f t="shared" si="24"/>
        <v>116665</v>
      </c>
    </row>
    <row r="322" spans="1:16" x14ac:dyDescent="0.25">
      <c r="A322" s="552"/>
      <c r="B322" s="559"/>
      <c r="C322" s="110">
        <v>12</v>
      </c>
      <c r="D322" s="12"/>
      <c r="E322" s="12"/>
      <c r="F322" s="12"/>
      <c r="G322" s="12"/>
      <c r="H322" s="12"/>
      <c r="I322" s="12"/>
      <c r="J322" s="12"/>
      <c r="K322" s="12"/>
      <c r="L322" s="12"/>
      <c r="M322" s="12"/>
      <c r="N322" s="12"/>
      <c r="O322" s="12"/>
      <c r="P322" s="55">
        <f t="shared" si="24"/>
        <v>0</v>
      </c>
    </row>
    <row r="323" spans="1:16" x14ac:dyDescent="0.25">
      <c r="A323" s="552"/>
      <c r="B323" s="559"/>
      <c r="C323" s="110">
        <v>13</v>
      </c>
      <c r="D323" s="12"/>
      <c r="E323" s="12"/>
      <c r="F323" s="12"/>
      <c r="G323" s="12"/>
      <c r="H323" s="12"/>
      <c r="I323" s="12"/>
      <c r="J323" s="12"/>
      <c r="K323" s="12"/>
      <c r="L323" s="12"/>
      <c r="M323" s="12"/>
      <c r="N323" s="12"/>
      <c r="O323" s="12"/>
      <c r="P323" s="55">
        <f t="shared" si="24"/>
        <v>0</v>
      </c>
    </row>
    <row r="324" spans="1:16" x14ac:dyDescent="0.25">
      <c r="A324" s="552"/>
      <c r="B324" s="559"/>
      <c r="C324" s="110">
        <v>14</v>
      </c>
      <c r="D324" s="12"/>
      <c r="E324" s="12"/>
      <c r="F324" s="12"/>
      <c r="G324" s="12"/>
      <c r="H324" s="12"/>
      <c r="I324" s="12"/>
      <c r="J324" s="12"/>
      <c r="K324" s="12"/>
      <c r="L324" s="12"/>
      <c r="M324" s="12"/>
      <c r="N324" s="12"/>
      <c r="O324" s="12"/>
      <c r="P324" s="55">
        <f t="shared" si="24"/>
        <v>0</v>
      </c>
    </row>
    <row r="325" spans="1:16" x14ac:dyDescent="0.25">
      <c r="A325" s="552"/>
      <c r="B325" s="559"/>
      <c r="C325" s="110">
        <v>15</v>
      </c>
      <c r="D325" s="12"/>
      <c r="E325" s="12">
        <v>32275</v>
      </c>
      <c r="F325" s="12">
        <v>36132</v>
      </c>
      <c r="G325" s="12">
        <v>27247</v>
      </c>
      <c r="H325" s="12">
        <v>35911</v>
      </c>
      <c r="I325" s="12">
        <v>18945</v>
      </c>
      <c r="J325" s="12">
        <v>29772</v>
      </c>
      <c r="K325" s="12">
        <v>27960</v>
      </c>
      <c r="L325" s="12">
        <v>9000</v>
      </c>
      <c r="M325" s="12">
        <v>30816</v>
      </c>
      <c r="N325" s="12">
        <v>27416</v>
      </c>
      <c r="O325" s="12">
        <v>31359</v>
      </c>
      <c r="P325" s="55">
        <f t="shared" si="24"/>
        <v>306833</v>
      </c>
    </row>
    <row r="326" spans="1:16" x14ac:dyDescent="0.25">
      <c r="A326" s="552"/>
      <c r="B326" s="559"/>
      <c r="C326" s="110">
        <v>16</v>
      </c>
      <c r="D326" s="12"/>
      <c r="E326" s="12"/>
      <c r="F326" s="12"/>
      <c r="G326" s="12"/>
      <c r="H326" s="12"/>
      <c r="I326" s="12"/>
      <c r="J326" s="12"/>
      <c r="K326" s="12"/>
      <c r="L326" s="12"/>
      <c r="M326" s="12"/>
      <c r="N326" s="12"/>
      <c r="O326" s="12"/>
      <c r="P326" s="55">
        <f t="shared" si="24"/>
        <v>0</v>
      </c>
    </row>
    <row r="327" spans="1:16" x14ac:dyDescent="0.25">
      <c r="A327" s="552"/>
      <c r="B327" s="559"/>
      <c r="C327" s="110">
        <v>17</v>
      </c>
      <c r="D327" s="12"/>
      <c r="E327" s="12"/>
      <c r="F327" s="12"/>
      <c r="G327" s="12"/>
      <c r="H327" s="12"/>
      <c r="I327" s="12"/>
      <c r="J327" s="12"/>
      <c r="K327" s="12"/>
      <c r="L327" s="12"/>
      <c r="M327" s="12"/>
      <c r="N327" s="12"/>
      <c r="O327" s="12"/>
      <c r="P327" s="55">
        <f t="shared" si="24"/>
        <v>0</v>
      </c>
    </row>
    <row r="328" spans="1:16" x14ac:dyDescent="0.25">
      <c r="A328" s="552"/>
      <c r="B328" s="559"/>
      <c r="C328" s="110">
        <v>25</v>
      </c>
      <c r="D328" s="12"/>
      <c r="E328" s="12"/>
      <c r="F328" s="12"/>
      <c r="G328" s="12"/>
      <c r="H328" s="12"/>
      <c r="I328" s="12"/>
      <c r="J328" s="12"/>
      <c r="K328" s="12"/>
      <c r="L328" s="12"/>
      <c r="M328" s="12"/>
      <c r="N328" s="12"/>
      <c r="O328" s="12"/>
      <c r="P328" s="55">
        <f t="shared" si="24"/>
        <v>0</v>
      </c>
    </row>
    <row r="329" spans="1:16" x14ac:dyDescent="0.25">
      <c r="A329" s="552"/>
      <c r="B329" s="559"/>
      <c r="C329" s="110">
        <v>26</v>
      </c>
      <c r="D329" s="12"/>
      <c r="E329" s="12"/>
      <c r="F329" s="12"/>
      <c r="G329" s="12"/>
      <c r="H329" s="12"/>
      <c r="I329" s="12"/>
      <c r="J329" s="12"/>
      <c r="K329" s="12"/>
      <c r="L329" s="12"/>
      <c r="M329" s="12"/>
      <c r="N329" s="12"/>
      <c r="O329" s="12"/>
      <c r="P329" s="55">
        <f t="shared" si="24"/>
        <v>0</v>
      </c>
    </row>
    <row r="330" spans="1:16" x14ac:dyDescent="0.25">
      <c r="A330" s="553"/>
      <c r="B330" s="559"/>
      <c r="C330" s="110">
        <v>27</v>
      </c>
      <c r="D330" s="12"/>
      <c r="E330" s="12"/>
      <c r="F330" s="12"/>
      <c r="G330" s="12"/>
      <c r="H330" s="12"/>
      <c r="I330" s="12"/>
      <c r="J330" s="12"/>
      <c r="K330" s="12"/>
      <c r="L330" s="12"/>
      <c r="M330" s="12"/>
      <c r="N330" s="12"/>
      <c r="O330" s="12"/>
      <c r="P330" s="55">
        <f t="shared" si="24"/>
        <v>0</v>
      </c>
    </row>
    <row r="331" spans="1:16" x14ac:dyDescent="0.25">
      <c r="A331" s="551">
        <v>217</v>
      </c>
      <c r="B331" s="558" t="s">
        <v>63</v>
      </c>
      <c r="C331" s="110">
        <v>11</v>
      </c>
      <c r="D331" s="12"/>
      <c r="E331" s="12"/>
      <c r="F331" s="12"/>
      <c r="G331" s="12"/>
      <c r="H331" s="12"/>
      <c r="I331" s="12"/>
      <c r="J331" s="12"/>
      <c r="K331" s="12"/>
      <c r="L331" s="12"/>
      <c r="M331" s="12"/>
      <c r="N331" s="12"/>
      <c r="O331" s="12"/>
      <c r="P331" s="55">
        <f t="shared" si="24"/>
        <v>0</v>
      </c>
    </row>
    <row r="332" spans="1:16" x14ac:dyDescent="0.25">
      <c r="A332" s="552"/>
      <c r="B332" s="559"/>
      <c r="C332" s="110">
        <v>12</v>
      </c>
      <c r="D332" s="12"/>
      <c r="E332" s="12"/>
      <c r="F332" s="12"/>
      <c r="G332" s="12"/>
      <c r="H332" s="12"/>
      <c r="I332" s="12"/>
      <c r="J332" s="12"/>
      <c r="K332" s="12"/>
      <c r="L332" s="12"/>
      <c r="M332" s="12"/>
      <c r="N332" s="12"/>
      <c r="O332" s="12"/>
      <c r="P332" s="55">
        <f t="shared" si="24"/>
        <v>0</v>
      </c>
    </row>
    <row r="333" spans="1:16" x14ac:dyDescent="0.25">
      <c r="A333" s="552"/>
      <c r="B333" s="559"/>
      <c r="C333" s="110">
        <v>13</v>
      </c>
      <c r="D333" s="12"/>
      <c r="E333" s="12"/>
      <c r="F333" s="12"/>
      <c r="G333" s="12"/>
      <c r="H333" s="12"/>
      <c r="I333" s="12"/>
      <c r="J333" s="12"/>
      <c r="K333" s="12"/>
      <c r="L333" s="12"/>
      <c r="M333" s="12"/>
      <c r="N333" s="12"/>
      <c r="O333" s="12"/>
      <c r="P333" s="55">
        <f t="shared" si="24"/>
        <v>0</v>
      </c>
    </row>
    <row r="334" spans="1:16" x14ac:dyDescent="0.25">
      <c r="A334" s="552"/>
      <c r="B334" s="559"/>
      <c r="C334" s="110">
        <v>14</v>
      </c>
      <c r="D334" s="12"/>
      <c r="E334" s="12"/>
      <c r="F334" s="12"/>
      <c r="G334" s="12"/>
      <c r="H334" s="12"/>
      <c r="I334" s="12"/>
      <c r="J334" s="12"/>
      <c r="K334" s="12"/>
      <c r="L334" s="12"/>
      <c r="M334" s="12"/>
      <c r="N334" s="12"/>
      <c r="O334" s="12"/>
      <c r="P334" s="55">
        <f t="shared" si="24"/>
        <v>0</v>
      </c>
    </row>
    <row r="335" spans="1:16" x14ac:dyDescent="0.25">
      <c r="A335" s="552"/>
      <c r="B335" s="559"/>
      <c r="C335" s="110">
        <v>15</v>
      </c>
      <c r="D335" s="12"/>
      <c r="E335" s="12"/>
      <c r="F335" s="12"/>
      <c r="G335" s="12"/>
      <c r="H335" s="12"/>
      <c r="I335" s="12"/>
      <c r="J335" s="12"/>
      <c r="K335" s="12"/>
      <c r="L335" s="12"/>
      <c r="M335" s="12"/>
      <c r="N335" s="12"/>
      <c r="O335" s="12"/>
      <c r="P335" s="55">
        <f t="shared" si="24"/>
        <v>0</v>
      </c>
    </row>
    <row r="336" spans="1:16" x14ac:dyDescent="0.25">
      <c r="A336" s="552"/>
      <c r="B336" s="559"/>
      <c r="C336" s="110">
        <v>16</v>
      </c>
      <c r="D336" s="12"/>
      <c r="E336" s="12"/>
      <c r="F336" s="12"/>
      <c r="G336" s="12"/>
      <c r="H336" s="12"/>
      <c r="I336" s="12"/>
      <c r="J336" s="12"/>
      <c r="K336" s="12"/>
      <c r="L336" s="12"/>
      <c r="M336" s="12"/>
      <c r="N336" s="12"/>
      <c r="O336" s="12"/>
      <c r="P336" s="55">
        <f t="shared" ref="P336:P350" si="25">SUM(D336:O336)</f>
        <v>0</v>
      </c>
    </row>
    <row r="337" spans="1:16" x14ac:dyDescent="0.25">
      <c r="A337" s="552"/>
      <c r="B337" s="559"/>
      <c r="C337" s="110">
        <v>17</v>
      </c>
      <c r="D337" s="12"/>
      <c r="E337" s="12"/>
      <c r="F337" s="12"/>
      <c r="G337" s="12"/>
      <c r="H337" s="12"/>
      <c r="I337" s="12"/>
      <c r="J337" s="12"/>
      <c r="K337" s="12"/>
      <c r="L337" s="12"/>
      <c r="M337" s="12"/>
      <c r="N337" s="12"/>
      <c r="O337" s="12"/>
      <c r="P337" s="55">
        <f t="shared" si="25"/>
        <v>0</v>
      </c>
    </row>
    <row r="338" spans="1:16" x14ac:dyDescent="0.25">
      <c r="A338" s="552"/>
      <c r="B338" s="559"/>
      <c r="C338" s="110">
        <v>25</v>
      </c>
      <c r="D338" s="12"/>
      <c r="E338" s="12"/>
      <c r="F338" s="12"/>
      <c r="G338" s="12"/>
      <c r="H338" s="12"/>
      <c r="I338" s="12"/>
      <c r="J338" s="12"/>
      <c r="K338" s="12"/>
      <c r="L338" s="12"/>
      <c r="M338" s="12"/>
      <c r="N338" s="12"/>
      <c r="O338" s="12"/>
      <c r="P338" s="55">
        <f t="shared" si="25"/>
        <v>0</v>
      </c>
    </row>
    <row r="339" spans="1:16" x14ac:dyDescent="0.25">
      <c r="A339" s="552"/>
      <c r="B339" s="559"/>
      <c r="C339" s="110">
        <v>26</v>
      </c>
      <c r="D339" s="12"/>
      <c r="E339" s="12"/>
      <c r="F339" s="12"/>
      <c r="G339" s="12"/>
      <c r="H339" s="12"/>
      <c r="I339" s="12"/>
      <c r="J339" s="12"/>
      <c r="K339" s="12"/>
      <c r="L339" s="12"/>
      <c r="M339" s="12"/>
      <c r="N339" s="12"/>
      <c r="O339" s="12"/>
      <c r="P339" s="55">
        <f t="shared" si="25"/>
        <v>0</v>
      </c>
    </row>
    <row r="340" spans="1:16" x14ac:dyDescent="0.25">
      <c r="A340" s="553"/>
      <c r="B340" s="559"/>
      <c r="C340" s="110">
        <v>27</v>
      </c>
      <c r="D340" s="12"/>
      <c r="E340" s="12"/>
      <c r="F340" s="12"/>
      <c r="G340" s="12"/>
      <c r="H340" s="12"/>
      <c r="I340" s="12"/>
      <c r="J340" s="12"/>
      <c r="K340" s="12"/>
      <c r="L340" s="12"/>
      <c r="M340" s="12"/>
      <c r="N340" s="12"/>
      <c r="O340" s="12"/>
      <c r="P340" s="55">
        <f t="shared" si="25"/>
        <v>0</v>
      </c>
    </row>
    <row r="341" spans="1:16" x14ac:dyDescent="0.25">
      <c r="A341" s="551">
        <v>218</v>
      </c>
      <c r="B341" s="558" t="s">
        <v>64</v>
      </c>
      <c r="C341" s="110">
        <v>11</v>
      </c>
      <c r="D341" s="12"/>
      <c r="E341" s="12"/>
      <c r="F341" s="12"/>
      <c r="G341" s="12">
        <v>8081</v>
      </c>
      <c r="H341" s="12"/>
      <c r="I341" s="12">
        <v>577</v>
      </c>
      <c r="J341" s="12"/>
      <c r="K341" s="12"/>
      <c r="L341" s="12"/>
      <c r="M341" s="12">
        <v>1500</v>
      </c>
      <c r="N341" s="12"/>
      <c r="O341" s="12"/>
      <c r="P341" s="55">
        <f t="shared" si="25"/>
        <v>10158</v>
      </c>
    </row>
    <row r="342" spans="1:16" x14ac:dyDescent="0.25">
      <c r="A342" s="552"/>
      <c r="B342" s="559"/>
      <c r="C342" s="110">
        <v>12</v>
      </c>
      <c r="D342" s="12"/>
      <c r="E342" s="12"/>
      <c r="F342" s="12"/>
      <c r="G342" s="12"/>
      <c r="H342" s="12"/>
      <c r="I342" s="12"/>
      <c r="J342" s="12"/>
      <c r="K342" s="12"/>
      <c r="L342" s="12"/>
      <c r="M342" s="12"/>
      <c r="N342" s="12"/>
      <c r="O342" s="12"/>
      <c r="P342" s="55">
        <f t="shared" si="25"/>
        <v>0</v>
      </c>
    </row>
    <row r="343" spans="1:16" x14ac:dyDescent="0.25">
      <c r="A343" s="552"/>
      <c r="B343" s="559"/>
      <c r="C343" s="110">
        <v>13</v>
      </c>
      <c r="D343" s="12"/>
      <c r="E343" s="12"/>
      <c r="F343" s="12"/>
      <c r="G343" s="12"/>
      <c r="H343" s="12"/>
      <c r="I343" s="12"/>
      <c r="J343" s="12"/>
      <c r="K343" s="12"/>
      <c r="L343" s="12"/>
      <c r="M343" s="12"/>
      <c r="N343" s="12"/>
      <c r="O343" s="12"/>
      <c r="P343" s="55">
        <f t="shared" si="25"/>
        <v>0</v>
      </c>
    </row>
    <row r="344" spans="1:16" x14ac:dyDescent="0.25">
      <c r="A344" s="552"/>
      <c r="B344" s="559"/>
      <c r="C344" s="110">
        <v>14</v>
      </c>
      <c r="D344" s="12"/>
      <c r="E344" s="12"/>
      <c r="F344" s="12"/>
      <c r="G344" s="12"/>
      <c r="H344" s="12"/>
      <c r="I344" s="12"/>
      <c r="J344" s="12"/>
      <c r="K344" s="12"/>
      <c r="L344" s="12"/>
      <c r="M344" s="12"/>
      <c r="N344" s="12"/>
      <c r="O344" s="12"/>
      <c r="P344" s="55">
        <f t="shared" si="25"/>
        <v>0</v>
      </c>
    </row>
    <row r="345" spans="1:16" x14ac:dyDescent="0.25">
      <c r="A345" s="552"/>
      <c r="B345" s="559"/>
      <c r="C345" s="110">
        <v>15</v>
      </c>
      <c r="D345" s="12">
        <v>13236</v>
      </c>
      <c r="E345" s="12">
        <v>2238</v>
      </c>
      <c r="F345" s="12"/>
      <c r="G345" s="12"/>
      <c r="H345" s="12">
        <v>1164</v>
      </c>
      <c r="I345" s="12"/>
      <c r="J345" s="12">
        <v>8925</v>
      </c>
      <c r="K345" s="12"/>
      <c r="L345" s="12">
        <v>4639</v>
      </c>
      <c r="M345" s="12"/>
      <c r="N345" s="12"/>
      <c r="O345" s="12">
        <v>19075</v>
      </c>
      <c r="P345" s="55">
        <f t="shared" si="25"/>
        <v>49277</v>
      </c>
    </row>
    <row r="346" spans="1:16" x14ac:dyDescent="0.25">
      <c r="A346" s="552"/>
      <c r="B346" s="559"/>
      <c r="C346" s="110">
        <v>16</v>
      </c>
      <c r="D346" s="12"/>
      <c r="E346" s="12"/>
      <c r="F346" s="12"/>
      <c r="G346" s="12"/>
      <c r="H346" s="12"/>
      <c r="I346" s="12"/>
      <c r="J346" s="12"/>
      <c r="K346" s="12"/>
      <c r="L346" s="12"/>
      <c r="M346" s="12"/>
      <c r="N346" s="12"/>
      <c r="O346" s="12"/>
      <c r="P346" s="55">
        <f t="shared" si="25"/>
        <v>0</v>
      </c>
    </row>
    <row r="347" spans="1:16" x14ac:dyDescent="0.25">
      <c r="A347" s="552"/>
      <c r="B347" s="559"/>
      <c r="C347" s="110">
        <v>17</v>
      </c>
      <c r="D347" s="12"/>
      <c r="E347" s="12"/>
      <c r="F347" s="12"/>
      <c r="G347" s="12"/>
      <c r="H347" s="12"/>
      <c r="I347" s="12"/>
      <c r="J347" s="12"/>
      <c r="K347" s="12"/>
      <c r="L347" s="12"/>
      <c r="M347" s="12"/>
      <c r="N347" s="12"/>
      <c r="O347" s="12"/>
      <c r="P347" s="55">
        <f t="shared" si="25"/>
        <v>0</v>
      </c>
    </row>
    <row r="348" spans="1:16" x14ac:dyDescent="0.25">
      <c r="A348" s="552"/>
      <c r="B348" s="559"/>
      <c r="C348" s="110">
        <v>25</v>
      </c>
      <c r="D348" s="66"/>
      <c r="E348" s="66"/>
      <c r="F348" s="66"/>
      <c r="G348" s="66"/>
      <c r="H348" s="66"/>
      <c r="I348" s="66"/>
      <c r="J348" s="66"/>
      <c r="K348" s="66"/>
      <c r="L348" s="66"/>
      <c r="M348" s="66"/>
      <c r="N348" s="66"/>
      <c r="O348" s="66"/>
      <c r="P348" s="55">
        <f t="shared" si="25"/>
        <v>0</v>
      </c>
    </row>
    <row r="349" spans="1:16" x14ac:dyDescent="0.25">
      <c r="A349" s="552"/>
      <c r="B349" s="559"/>
      <c r="C349" s="110">
        <v>26</v>
      </c>
      <c r="D349" s="66"/>
      <c r="E349" s="66"/>
      <c r="F349" s="66"/>
      <c r="G349" s="66"/>
      <c r="H349" s="66"/>
      <c r="I349" s="66"/>
      <c r="J349" s="66"/>
      <c r="K349" s="66"/>
      <c r="L349" s="66"/>
      <c r="M349" s="66"/>
      <c r="N349" s="66"/>
      <c r="O349" s="66"/>
      <c r="P349" s="55">
        <f t="shared" si="25"/>
        <v>0</v>
      </c>
    </row>
    <row r="350" spans="1:16" x14ac:dyDescent="0.25">
      <c r="A350" s="553"/>
      <c r="B350" s="559"/>
      <c r="C350" s="110">
        <v>27</v>
      </c>
      <c r="D350" s="66"/>
      <c r="E350" s="66"/>
      <c r="F350" s="66"/>
      <c r="G350" s="66"/>
      <c r="H350" s="66"/>
      <c r="I350" s="66"/>
      <c r="J350" s="66"/>
      <c r="K350" s="66"/>
      <c r="L350" s="66"/>
      <c r="M350" s="66"/>
      <c r="N350" s="66"/>
      <c r="O350" s="66"/>
      <c r="P350" s="55">
        <f t="shared" si="25"/>
        <v>0</v>
      </c>
    </row>
    <row r="351" spans="1:16" x14ac:dyDescent="0.25">
      <c r="A351" s="62">
        <v>2200</v>
      </c>
      <c r="B351" s="307" t="s">
        <v>2285</v>
      </c>
      <c r="C351" s="308"/>
      <c r="D351" s="72">
        <f>SUM(D352:D381)</f>
        <v>106796</v>
      </c>
      <c r="E351" s="72">
        <f t="shared" ref="E351:O351" si="26">SUM(E352:E381)</f>
        <v>77849</v>
      </c>
      <c r="F351" s="72">
        <f t="shared" si="26"/>
        <v>63250</v>
      </c>
      <c r="G351" s="72">
        <f t="shared" si="26"/>
        <v>65360</v>
      </c>
      <c r="H351" s="72">
        <f t="shared" si="26"/>
        <v>94828</v>
      </c>
      <c r="I351" s="72">
        <f t="shared" si="26"/>
        <v>70035</v>
      </c>
      <c r="J351" s="72">
        <f t="shared" si="26"/>
        <v>70317</v>
      </c>
      <c r="K351" s="72">
        <f t="shared" si="26"/>
        <v>75028</v>
      </c>
      <c r="L351" s="72">
        <f t="shared" si="26"/>
        <v>73061</v>
      </c>
      <c r="M351" s="72">
        <f t="shared" si="26"/>
        <v>103166</v>
      </c>
      <c r="N351" s="72">
        <f t="shared" si="26"/>
        <v>58421</v>
      </c>
      <c r="O351" s="72">
        <f t="shared" si="26"/>
        <v>64569</v>
      </c>
      <c r="P351" s="72">
        <f>SUM(P352:P381)</f>
        <v>922680</v>
      </c>
    </row>
    <row r="352" spans="1:16" ht="15" customHeight="1" x14ac:dyDescent="0.25">
      <c r="A352" s="551">
        <v>221</v>
      </c>
      <c r="B352" s="558" t="s">
        <v>66</v>
      </c>
      <c r="C352" s="110">
        <v>11</v>
      </c>
      <c r="D352" s="12"/>
      <c r="E352" s="12">
        <v>52151</v>
      </c>
      <c r="F352" s="12"/>
      <c r="G352" s="12"/>
      <c r="H352" s="12">
        <v>26400</v>
      </c>
      <c r="I352" s="12"/>
      <c r="J352" s="12"/>
      <c r="K352" s="12">
        <v>47514</v>
      </c>
      <c r="L352" s="12"/>
      <c r="M352" s="12">
        <v>15642</v>
      </c>
      <c r="N352" s="12"/>
      <c r="O352" s="12"/>
      <c r="P352" s="55">
        <f>SUM(D352:O352)</f>
        <v>141707</v>
      </c>
    </row>
    <row r="353" spans="1:16" ht="15" customHeight="1" x14ac:dyDescent="0.25">
      <c r="A353" s="552"/>
      <c r="B353" s="559"/>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2"/>
      <c r="B354" s="559"/>
      <c r="C354" s="110">
        <v>13</v>
      </c>
      <c r="D354" s="12"/>
      <c r="E354" s="12"/>
      <c r="F354" s="12"/>
      <c r="G354" s="12"/>
      <c r="H354" s="12"/>
      <c r="I354" s="12"/>
      <c r="J354" s="12"/>
      <c r="K354" s="12"/>
      <c r="L354" s="12"/>
      <c r="M354" s="12"/>
      <c r="N354" s="12"/>
      <c r="O354" s="12"/>
      <c r="P354" s="55">
        <f t="shared" si="27"/>
        <v>0</v>
      </c>
    </row>
    <row r="355" spans="1:16" ht="15" customHeight="1" x14ac:dyDescent="0.25">
      <c r="A355" s="552"/>
      <c r="B355" s="559"/>
      <c r="C355" s="110">
        <v>14</v>
      </c>
      <c r="D355" s="12"/>
      <c r="E355" s="12"/>
      <c r="F355" s="12"/>
      <c r="G355" s="12"/>
      <c r="H355" s="12"/>
      <c r="I355" s="12"/>
      <c r="J355" s="12"/>
      <c r="K355" s="12"/>
      <c r="L355" s="12"/>
      <c r="M355" s="12"/>
      <c r="N355" s="12"/>
      <c r="O355" s="12"/>
      <c r="P355" s="55">
        <f t="shared" si="27"/>
        <v>0</v>
      </c>
    </row>
    <row r="356" spans="1:16" ht="15" customHeight="1" x14ac:dyDescent="0.25">
      <c r="A356" s="552"/>
      <c r="B356" s="559"/>
      <c r="C356" s="110">
        <v>15</v>
      </c>
      <c r="D356" s="12">
        <v>90904</v>
      </c>
      <c r="E356" s="12">
        <v>25698</v>
      </c>
      <c r="F356" s="12">
        <v>63250</v>
      </c>
      <c r="G356" s="12">
        <v>65360</v>
      </c>
      <c r="H356" s="12">
        <v>58578</v>
      </c>
      <c r="I356" s="12">
        <v>70035</v>
      </c>
      <c r="J356" s="12">
        <v>70317</v>
      </c>
      <c r="K356" s="12">
        <v>27514</v>
      </c>
      <c r="L356" s="12">
        <v>69805</v>
      </c>
      <c r="M356" s="12">
        <v>87524</v>
      </c>
      <c r="N356" s="12">
        <v>58421</v>
      </c>
      <c r="O356" s="12">
        <v>64569</v>
      </c>
      <c r="P356" s="55">
        <f t="shared" si="27"/>
        <v>751975</v>
      </c>
    </row>
    <row r="357" spans="1:16" ht="15" customHeight="1" x14ac:dyDescent="0.25">
      <c r="A357" s="552"/>
      <c r="B357" s="559"/>
      <c r="C357" s="110">
        <v>16</v>
      </c>
      <c r="D357" s="12"/>
      <c r="E357" s="12"/>
      <c r="F357" s="12"/>
      <c r="G357" s="12"/>
      <c r="H357" s="12"/>
      <c r="I357" s="12"/>
      <c r="J357" s="12"/>
      <c r="K357" s="12"/>
      <c r="L357" s="12"/>
      <c r="M357" s="12"/>
      <c r="N357" s="12"/>
      <c r="O357" s="12"/>
      <c r="P357" s="55">
        <f t="shared" si="27"/>
        <v>0</v>
      </c>
    </row>
    <row r="358" spans="1:16" ht="15" customHeight="1" x14ac:dyDescent="0.25">
      <c r="A358" s="552"/>
      <c r="B358" s="559"/>
      <c r="C358" s="110">
        <v>17</v>
      </c>
      <c r="D358" s="12"/>
      <c r="E358" s="12"/>
      <c r="F358" s="12"/>
      <c r="G358" s="12"/>
      <c r="H358" s="12"/>
      <c r="I358" s="12"/>
      <c r="J358" s="12"/>
      <c r="K358" s="12"/>
      <c r="L358" s="12"/>
      <c r="M358" s="12"/>
      <c r="N358" s="12"/>
      <c r="O358" s="12"/>
      <c r="P358" s="55">
        <f t="shared" si="27"/>
        <v>0</v>
      </c>
    </row>
    <row r="359" spans="1:16" ht="15" customHeight="1" x14ac:dyDescent="0.25">
      <c r="A359" s="552"/>
      <c r="B359" s="559"/>
      <c r="C359" s="110">
        <v>25</v>
      </c>
      <c r="D359" s="12"/>
      <c r="E359" s="12"/>
      <c r="F359" s="12"/>
      <c r="G359" s="12"/>
      <c r="H359" s="12"/>
      <c r="I359" s="12"/>
      <c r="J359" s="12"/>
      <c r="K359" s="12"/>
      <c r="L359" s="12"/>
      <c r="M359" s="12"/>
      <c r="N359" s="12"/>
      <c r="O359" s="12"/>
      <c r="P359" s="55">
        <f t="shared" si="27"/>
        <v>0</v>
      </c>
    </row>
    <row r="360" spans="1:16" ht="15" customHeight="1" x14ac:dyDescent="0.25">
      <c r="A360" s="552"/>
      <c r="B360" s="559"/>
      <c r="C360" s="110">
        <v>26</v>
      </c>
      <c r="D360" s="12"/>
      <c r="E360" s="12"/>
      <c r="F360" s="12"/>
      <c r="G360" s="12"/>
      <c r="H360" s="12"/>
      <c r="I360" s="12"/>
      <c r="J360" s="12"/>
      <c r="K360" s="12"/>
      <c r="L360" s="12"/>
      <c r="M360" s="12"/>
      <c r="N360" s="12"/>
      <c r="O360" s="12"/>
      <c r="P360" s="55">
        <f t="shared" si="27"/>
        <v>0</v>
      </c>
    </row>
    <row r="361" spans="1:16" ht="15" customHeight="1" x14ac:dyDescent="0.25">
      <c r="A361" s="553"/>
      <c r="B361" s="559"/>
      <c r="C361" s="110">
        <v>27</v>
      </c>
      <c r="D361" s="12"/>
      <c r="E361" s="12"/>
      <c r="F361" s="12"/>
      <c r="G361" s="12"/>
      <c r="H361" s="12"/>
      <c r="I361" s="12"/>
      <c r="J361" s="12"/>
      <c r="K361" s="12"/>
      <c r="L361" s="12"/>
      <c r="M361" s="12"/>
      <c r="N361" s="12"/>
      <c r="O361" s="12"/>
      <c r="P361" s="55">
        <f t="shared" si="27"/>
        <v>0</v>
      </c>
    </row>
    <row r="362" spans="1:16" ht="15" customHeight="1" x14ac:dyDescent="0.25">
      <c r="A362" s="551">
        <v>222</v>
      </c>
      <c r="B362" s="558" t="s">
        <v>67</v>
      </c>
      <c r="C362" s="110">
        <v>11</v>
      </c>
      <c r="D362" s="12"/>
      <c r="E362" s="12"/>
      <c r="F362" s="12"/>
      <c r="G362" s="12"/>
      <c r="H362" s="12"/>
      <c r="I362" s="12"/>
      <c r="J362" s="12"/>
      <c r="K362" s="12"/>
      <c r="L362" s="12"/>
      <c r="M362" s="12"/>
      <c r="N362" s="12"/>
      <c r="O362" s="12"/>
      <c r="P362" s="55">
        <f t="shared" si="27"/>
        <v>0</v>
      </c>
    </row>
    <row r="363" spans="1:16" ht="15" customHeight="1" x14ac:dyDescent="0.25">
      <c r="A363" s="552"/>
      <c r="B363" s="559"/>
      <c r="C363" s="110">
        <v>12</v>
      </c>
      <c r="D363" s="12"/>
      <c r="E363" s="12"/>
      <c r="F363" s="12"/>
      <c r="G363" s="12"/>
      <c r="H363" s="12"/>
      <c r="I363" s="12"/>
      <c r="J363" s="12"/>
      <c r="K363" s="12"/>
      <c r="L363" s="12"/>
      <c r="M363" s="12"/>
      <c r="N363" s="12"/>
      <c r="O363" s="12"/>
      <c r="P363" s="55">
        <f t="shared" si="27"/>
        <v>0</v>
      </c>
    </row>
    <row r="364" spans="1:16" ht="15" customHeight="1" x14ac:dyDescent="0.25">
      <c r="A364" s="552"/>
      <c r="B364" s="559"/>
      <c r="C364" s="110">
        <v>13</v>
      </c>
      <c r="D364" s="12"/>
      <c r="E364" s="12"/>
      <c r="F364" s="12"/>
      <c r="G364" s="12"/>
      <c r="H364" s="12"/>
      <c r="I364" s="12"/>
      <c r="J364" s="12"/>
      <c r="K364" s="12"/>
      <c r="L364" s="12"/>
      <c r="M364" s="12"/>
      <c r="N364" s="12"/>
      <c r="O364" s="12"/>
      <c r="P364" s="55">
        <f t="shared" si="27"/>
        <v>0</v>
      </c>
    </row>
    <row r="365" spans="1:16" ht="15" customHeight="1" x14ac:dyDescent="0.25">
      <c r="A365" s="552"/>
      <c r="B365" s="559"/>
      <c r="C365" s="110">
        <v>14</v>
      </c>
      <c r="D365" s="12"/>
      <c r="E365" s="12"/>
      <c r="F365" s="12"/>
      <c r="G365" s="12"/>
      <c r="H365" s="12"/>
      <c r="I365" s="12"/>
      <c r="J365" s="12"/>
      <c r="K365" s="12"/>
      <c r="L365" s="12"/>
      <c r="M365" s="12"/>
      <c r="N365" s="12"/>
      <c r="O365" s="12"/>
      <c r="P365" s="55">
        <f t="shared" si="27"/>
        <v>0</v>
      </c>
    </row>
    <row r="366" spans="1:16" ht="15" customHeight="1" x14ac:dyDescent="0.25">
      <c r="A366" s="552"/>
      <c r="B366" s="559"/>
      <c r="C366" s="110">
        <v>15</v>
      </c>
      <c r="D366" s="12"/>
      <c r="E366" s="12"/>
      <c r="F366" s="12"/>
      <c r="G366" s="12"/>
      <c r="H366" s="12"/>
      <c r="I366" s="12"/>
      <c r="J366" s="12"/>
      <c r="K366" s="12"/>
      <c r="L366" s="12"/>
      <c r="M366" s="12"/>
      <c r="N366" s="12"/>
      <c r="O366" s="12"/>
      <c r="P366" s="55">
        <f t="shared" si="27"/>
        <v>0</v>
      </c>
    </row>
    <row r="367" spans="1:16" ht="15" customHeight="1" x14ac:dyDescent="0.25">
      <c r="A367" s="552"/>
      <c r="B367" s="559"/>
      <c r="C367" s="110">
        <v>16</v>
      </c>
      <c r="D367" s="12"/>
      <c r="E367" s="12"/>
      <c r="F367" s="12"/>
      <c r="G367" s="12"/>
      <c r="H367" s="12"/>
      <c r="I367" s="12"/>
      <c r="J367" s="12"/>
      <c r="K367" s="12"/>
      <c r="L367" s="12"/>
      <c r="M367" s="12"/>
      <c r="N367" s="12"/>
      <c r="O367" s="12"/>
      <c r="P367" s="55">
        <f t="shared" si="27"/>
        <v>0</v>
      </c>
    </row>
    <row r="368" spans="1:16" ht="15" customHeight="1" x14ac:dyDescent="0.25">
      <c r="A368" s="552"/>
      <c r="B368" s="559"/>
      <c r="C368" s="110">
        <v>17</v>
      </c>
      <c r="D368" s="12"/>
      <c r="E368" s="12"/>
      <c r="F368" s="12"/>
      <c r="G368" s="12"/>
      <c r="H368" s="12"/>
      <c r="I368" s="12"/>
      <c r="J368" s="12"/>
      <c r="K368" s="12"/>
      <c r="L368" s="12"/>
      <c r="M368" s="12"/>
      <c r="N368" s="12"/>
      <c r="O368" s="12"/>
      <c r="P368" s="55">
        <f t="shared" si="27"/>
        <v>0</v>
      </c>
    </row>
    <row r="369" spans="1:16" ht="15" customHeight="1" x14ac:dyDescent="0.25">
      <c r="A369" s="552"/>
      <c r="B369" s="559"/>
      <c r="C369" s="110">
        <v>25</v>
      </c>
      <c r="D369" s="12"/>
      <c r="E369" s="12"/>
      <c r="F369" s="12"/>
      <c r="G369" s="12"/>
      <c r="H369" s="12"/>
      <c r="I369" s="12"/>
      <c r="J369" s="12"/>
      <c r="K369" s="12"/>
      <c r="L369" s="12"/>
      <c r="M369" s="12"/>
      <c r="N369" s="12"/>
      <c r="O369" s="12"/>
      <c r="P369" s="55">
        <f t="shared" si="27"/>
        <v>0</v>
      </c>
    </row>
    <row r="370" spans="1:16" ht="15" customHeight="1" x14ac:dyDescent="0.25">
      <c r="A370" s="552"/>
      <c r="B370" s="559"/>
      <c r="C370" s="110">
        <v>26</v>
      </c>
      <c r="D370" s="12"/>
      <c r="E370" s="12"/>
      <c r="F370" s="12"/>
      <c r="G370" s="12"/>
      <c r="H370" s="12"/>
      <c r="I370" s="12"/>
      <c r="J370" s="12"/>
      <c r="K370" s="12"/>
      <c r="L370" s="12"/>
      <c r="M370" s="12"/>
      <c r="N370" s="12"/>
      <c r="O370" s="12"/>
      <c r="P370" s="55">
        <f t="shared" si="27"/>
        <v>0</v>
      </c>
    </row>
    <row r="371" spans="1:16" ht="15" customHeight="1" x14ac:dyDescent="0.25">
      <c r="A371" s="553"/>
      <c r="B371" s="559"/>
      <c r="C371" s="110">
        <v>27</v>
      </c>
      <c r="D371" s="12"/>
      <c r="E371" s="12"/>
      <c r="F371" s="12"/>
      <c r="G371" s="12"/>
      <c r="H371" s="12"/>
      <c r="I371" s="12"/>
      <c r="J371" s="12"/>
      <c r="K371" s="12"/>
      <c r="L371" s="12"/>
      <c r="M371" s="12"/>
      <c r="N371" s="12"/>
      <c r="O371" s="12"/>
      <c r="P371" s="55">
        <f t="shared" si="27"/>
        <v>0</v>
      </c>
    </row>
    <row r="372" spans="1:16" ht="15" customHeight="1" x14ac:dyDescent="0.25">
      <c r="A372" s="551">
        <v>223</v>
      </c>
      <c r="B372" s="558" t="s">
        <v>68</v>
      </c>
      <c r="C372" s="110">
        <v>11</v>
      </c>
      <c r="D372" s="12">
        <v>15892</v>
      </c>
      <c r="E372" s="12"/>
      <c r="F372" s="12"/>
      <c r="G372" s="12"/>
      <c r="H372" s="12"/>
      <c r="I372" s="12"/>
      <c r="J372" s="12"/>
      <c r="K372" s="12"/>
      <c r="L372" s="12">
        <v>3256</v>
      </c>
      <c r="M372" s="12"/>
      <c r="N372" s="12"/>
      <c r="O372" s="12"/>
      <c r="P372" s="55">
        <f t="shared" si="27"/>
        <v>19148</v>
      </c>
    </row>
    <row r="373" spans="1:16" ht="15" customHeight="1" x14ac:dyDescent="0.25">
      <c r="A373" s="552"/>
      <c r="B373" s="559"/>
      <c r="C373" s="110">
        <v>12</v>
      </c>
      <c r="D373" s="12"/>
      <c r="E373" s="12"/>
      <c r="F373" s="12"/>
      <c r="G373" s="12"/>
      <c r="H373" s="12"/>
      <c r="I373" s="12"/>
      <c r="J373" s="12"/>
      <c r="K373" s="12"/>
      <c r="L373" s="12"/>
      <c r="M373" s="12"/>
      <c r="N373" s="12"/>
      <c r="O373" s="12"/>
      <c r="P373" s="55">
        <f t="shared" si="27"/>
        <v>0</v>
      </c>
    </row>
    <row r="374" spans="1:16" ht="15" customHeight="1" x14ac:dyDescent="0.25">
      <c r="A374" s="552"/>
      <c r="B374" s="559"/>
      <c r="C374" s="110">
        <v>13</v>
      </c>
      <c r="D374" s="12"/>
      <c r="E374" s="12"/>
      <c r="F374" s="12"/>
      <c r="G374" s="12"/>
      <c r="H374" s="12"/>
      <c r="I374" s="12"/>
      <c r="J374" s="12"/>
      <c r="K374" s="12"/>
      <c r="L374" s="12"/>
      <c r="M374" s="12"/>
      <c r="N374" s="12"/>
      <c r="O374" s="12"/>
      <c r="P374" s="55">
        <f t="shared" si="27"/>
        <v>0</v>
      </c>
    </row>
    <row r="375" spans="1:16" ht="15" customHeight="1" x14ac:dyDescent="0.25">
      <c r="A375" s="552"/>
      <c r="B375" s="559"/>
      <c r="C375" s="110">
        <v>14</v>
      </c>
      <c r="D375" s="12"/>
      <c r="E375" s="12"/>
      <c r="F375" s="12"/>
      <c r="G375" s="12"/>
      <c r="H375" s="12"/>
      <c r="I375" s="12"/>
      <c r="J375" s="12"/>
      <c r="K375" s="12"/>
      <c r="L375" s="12"/>
      <c r="M375" s="12"/>
      <c r="N375" s="12"/>
      <c r="O375" s="12"/>
      <c r="P375" s="55">
        <f t="shared" si="27"/>
        <v>0</v>
      </c>
    </row>
    <row r="376" spans="1:16" ht="15" customHeight="1" x14ac:dyDescent="0.25">
      <c r="A376" s="552"/>
      <c r="B376" s="559"/>
      <c r="C376" s="110">
        <v>15</v>
      </c>
      <c r="D376" s="12"/>
      <c r="E376" s="12"/>
      <c r="F376" s="12"/>
      <c r="G376" s="12"/>
      <c r="H376" s="12">
        <v>9850</v>
      </c>
      <c r="I376" s="12"/>
      <c r="J376" s="12"/>
      <c r="K376" s="12"/>
      <c r="L376" s="12"/>
      <c r="M376" s="12"/>
      <c r="N376" s="12"/>
      <c r="O376" s="12"/>
      <c r="P376" s="55">
        <f t="shared" si="27"/>
        <v>9850</v>
      </c>
    </row>
    <row r="377" spans="1:16" ht="15" customHeight="1" x14ac:dyDescent="0.25">
      <c r="A377" s="552"/>
      <c r="B377" s="559"/>
      <c r="C377" s="110">
        <v>16</v>
      </c>
      <c r="D377" s="12"/>
      <c r="E377" s="12"/>
      <c r="F377" s="12"/>
      <c r="G377" s="12"/>
      <c r="H377" s="12"/>
      <c r="I377" s="12"/>
      <c r="J377" s="12"/>
      <c r="K377" s="12"/>
      <c r="L377" s="12"/>
      <c r="M377" s="12"/>
      <c r="N377" s="12"/>
      <c r="O377" s="12"/>
      <c r="P377" s="55">
        <f t="shared" si="27"/>
        <v>0</v>
      </c>
    </row>
    <row r="378" spans="1:16" ht="15" customHeight="1" x14ac:dyDescent="0.25">
      <c r="A378" s="552"/>
      <c r="B378" s="559"/>
      <c r="C378" s="110">
        <v>17</v>
      </c>
      <c r="D378" s="12"/>
      <c r="E378" s="12"/>
      <c r="F378" s="12"/>
      <c r="G378" s="12"/>
      <c r="H378" s="12"/>
      <c r="I378" s="12"/>
      <c r="J378" s="12"/>
      <c r="K378" s="12"/>
      <c r="L378" s="12"/>
      <c r="M378" s="12"/>
      <c r="N378" s="12"/>
      <c r="O378" s="12"/>
      <c r="P378" s="55">
        <f t="shared" si="27"/>
        <v>0</v>
      </c>
    </row>
    <row r="379" spans="1:16" ht="15" customHeight="1" x14ac:dyDescent="0.25">
      <c r="A379" s="552"/>
      <c r="B379" s="559"/>
      <c r="C379" s="110">
        <v>25</v>
      </c>
      <c r="D379" s="66"/>
      <c r="E379" s="66"/>
      <c r="F379" s="66"/>
      <c r="G379" s="66"/>
      <c r="H379" s="66"/>
      <c r="I379" s="66"/>
      <c r="J379" s="66"/>
      <c r="K379" s="66"/>
      <c r="L379" s="66"/>
      <c r="M379" s="66"/>
      <c r="N379" s="66"/>
      <c r="O379" s="66"/>
      <c r="P379" s="55">
        <f t="shared" si="27"/>
        <v>0</v>
      </c>
    </row>
    <row r="380" spans="1:16" ht="15" customHeight="1" x14ac:dyDescent="0.25">
      <c r="A380" s="552"/>
      <c r="B380" s="559"/>
      <c r="C380" s="110">
        <v>26</v>
      </c>
      <c r="D380" s="66"/>
      <c r="E380" s="66"/>
      <c r="F380" s="66"/>
      <c r="G380" s="66"/>
      <c r="H380" s="66"/>
      <c r="I380" s="66"/>
      <c r="J380" s="66"/>
      <c r="K380" s="66"/>
      <c r="L380" s="66"/>
      <c r="M380" s="66"/>
      <c r="N380" s="66"/>
      <c r="O380" s="66"/>
      <c r="P380" s="55">
        <f t="shared" si="27"/>
        <v>0</v>
      </c>
    </row>
    <row r="381" spans="1:16" ht="15" customHeight="1" x14ac:dyDescent="0.25">
      <c r="A381" s="553"/>
      <c r="B381" s="559"/>
      <c r="C381" s="110">
        <v>27</v>
      </c>
      <c r="D381" s="66"/>
      <c r="E381" s="66"/>
      <c r="F381" s="66"/>
      <c r="G381" s="66"/>
      <c r="H381" s="66"/>
      <c r="I381" s="66"/>
      <c r="J381" s="66"/>
      <c r="K381" s="66"/>
      <c r="L381" s="66"/>
      <c r="M381" s="66"/>
      <c r="N381" s="66"/>
      <c r="O381" s="66"/>
      <c r="P381" s="55">
        <f t="shared" si="27"/>
        <v>0</v>
      </c>
    </row>
    <row r="382" spans="1:16" x14ac:dyDescent="0.25">
      <c r="A382" s="62">
        <v>2300</v>
      </c>
      <c r="B382" s="307" t="s">
        <v>2286</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2287</v>
      </c>
      <c r="C392" s="306"/>
      <c r="D392" s="72">
        <f>SUM(D393:D482)</f>
        <v>225005</v>
      </c>
      <c r="E392" s="72">
        <f t="shared" ref="E392:O392" si="30">SUM(E393:E482)</f>
        <v>278484</v>
      </c>
      <c r="F392" s="72">
        <f t="shared" si="30"/>
        <v>140160</v>
      </c>
      <c r="G392" s="72">
        <f t="shared" si="30"/>
        <v>167012</v>
      </c>
      <c r="H392" s="72">
        <f t="shared" si="30"/>
        <v>217191</v>
      </c>
      <c r="I392" s="72">
        <f t="shared" si="30"/>
        <v>192770</v>
      </c>
      <c r="J392" s="72">
        <f t="shared" si="30"/>
        <v>146690</v>
      </c>
      <c r="K392" s="72">
        <f t="shared" si="30"/>
        <v>157324</v>
      </c>
      <c r="L392" s="72">
        <f t="shared" si="30"/>
        <v>179545</v>
      </c>
      <c r="M392" s="72">
        <f t="shared" si="30"/>
        <v>194539</v>
      </c>
      <c r="N392" s="72">
        <f t="shared" si="30"/>
        <v>193233</v>
      </c>
      <c r="O392" s="72">
        <f t="shared" si="30"/>
        <v>171844</v>
      </c>
      <c r="P392" s="72">
        <f>SUM(P393:P482)</f>
        <v>2263797</v>
      </c>
    </row>
    <row r="393" spans="1:16" ht="15" customHeight="1" x14ac:dyDescent="0.25">
      <c r="A393" s="551">
        <v>241</v>
      </c>
      <c r="B393" s="558" t="s">
        <v>80</v>
      </c>
      <c r="C393" s="110">
        <v>11</v>
      </c>
      <c r="D393" s="12">
        <v>8590</v>
      </c>
      <c r="E393" s="12"/>
      <c r="F393" s="12"/>
      <c r="G393" s="12"/>
      <c r="H393" s="12"/>
      <c r="I393" s="12"/>
      <c r="J393" s="12"/>
      <c r="K393" s="12">
        <v>9363</v>
      </c>
      <c r="L393" s="12"/>
      <c r="M393" s="12">
        <v>9480</v>
      </c>
      <c r="N393" s="12"/>
      <c r="O393" s="12"/>
      <c r="P393" s="55">
        <f>SUM(D393:O393)</f>
        <v>27433</v>
      </c>
    </row>
    <row r="394" spans="1:16" ht="15" customHeight="1" x14ac:dyDescent="0.25">
      <c r="A394" s="552"/>
      <c r="B394" s="559"/>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2"/>
      <c r="B395" s="559"/>
      <c r="C395" s="110">
        <v>13</v>
      </c>
      <c r="D395" s="12"/>
      <c r="E395" s="12"/>
      <c r="F395" s="12"/>
      <c r="G395" s="12"/>
      <c r="H395" s="12"/>
      <c r="I395" s="12"/>
      <c r="J395" s="12"/>
      <c r="K395" s="12"/>
      <c r="L395" s="12"/>
      <c r="M395" s="12"/>
      <c r="N395" s="12"/>
      <c r="O395" s="12"/>
      <c r="P395" s="55">
        <f t="shared" si="31"/>
        <v>0</v>
      </c>
    </row>
    <row r="396" spans="1:16" ht="15" customHeight="1" x14ac:dyDescent="0.25">
      <c r="A396" s="552"/>
      <c r="B396" s="559"/>
      <c r="C396" s="110">
        <v>14</v>
      </c>
      <c r="D396" s="12"/>
      <c r="E396" s="12"/>
      <c r="F396" s="12"/>
      <c r="G396" s="12"/>
      <c r="H396" s="12"/>
      <c r="I396" s="12"/>
      <c r="J396" s="12"/>
      <c r="K396" s="12"/>
      <c r="L396" s="12"/>
      <c r="M396" s="12"/>
      <c r="N396" s="12"/>
      <c r="O396" s="12"/>
      <c r="P396" s="55">
        <f t="shared" si="31"/>
        <v>0</v>
      </c>
    </row>
    <row r="397" spans="1:16" ht="15" customHeight="1" x14ac:dyDescent="0.25">
      <c r="A397" s="552"/>
      <c r="B397" s="559"/>
      <c r="C397" s="110">
        <v>15</v>
      </c>
      <c r="D397" s="12"/>
      <c r="E397" s="12">
        <v>21956</v>
      </c>
      <c r="F397" s="12"/>
      <c r="G397" s="12">
        <v>14566</v>
      </c>
      <c r="H397" s="12">
        <v>38300</v>
      </c>
      <c r="I397" s="12">
        <v>23632</v>
      </c>
      <c r="J397" s="12">
        <v>15198</v>
      </c>
      <c r="K397" s="12"/>
      <c r="L397" s="12">
        <v>16349</v>
      </c>
      <c r="M397" s="12"/>
      <c r="N397" s="12"/>
      <c r="O397" s="12">
        <v>11250</v>
      </c>
      <c r="P397" s="55">
        <f t="shared" si="31"/>
        <v>141251</v>
      </c>
    </row>
    <row r="398" spans="1:16" ht="15" customHeight="1" x14ac:dyDescent="0.25">
      <c r="A398" s="552"/>
      <c r="B398" s="559"/>
      <c r="C398" s="110">
        <v>16</v>
      </c>
      <c r="D398" s="12"/>
      <c r="E398" s="12"/>
      <c r="F398" s="12"/>
      <c r="G398" s="12"/>
      <c r="H398" s="12"/>
      <c r="I398" s="12"/>
      <c r="J398" s="12"/>
      <c r="K398" s="12"/>
      <c r="L398" s="12"/>
      <c r="M398" s="12"/>
      <c r="N398" s="12"/>
      <c r="O398" s="12"/>
      <c r="P398" s="55">
        <f t="shared" si="31"/>
        <v>0</v>
      </c>
    </row>
    <row r="399" spans="1:16" ht="15" customHeight="1" x14ac:dyDescent="0.25">
      <c r="A399" s="552"/>
      <c r="B399" s="559"/>
      <c r="C399" s="110">
        <v>17</v>
      </c>
      <c r="D399" s="12"/>
      <c r="E399" s="12"/>
      <c r="F399" s="12"/>
      <c r="G399" s="12"/>
      <c r="H399" s="12"/>
      <c r="I399" s="12"/>
      <c r="J399" s="12"/>
      <c r="K399" s="12"/>
      <c r="L399" s="12"/>
      <c r="M399" s="12"/>
      <c r="N399" s="12"/>
      <c r="O399" s="12"/>
      <c r="P399" s="55">
        <f t="shared" si="31"/>
        <v>0</v>
      </c>
    </row>
    <row r="400" spans="1:16" ht="15" customHeight="1" x14ac:dyDescent="0.25">
      <c r="A400" s="552"/>
      <c r="B400" s="559"/>
      <c r="C400" s="110">
        <v>25</v>
      </c>
      <c r="D400" s="12"/>
      <c r="E400" s="12"/>
      <c r="F400" s="12"/>
      <c r="G400" s="12"/>
      <c r="H400" s="12"/>
      <c r="I400" s="12"/>
      <c r="J400" s="12"/>
      <c r="K400" s="12"/>
      <c r="L400" s="12"/>
      <c r="M400" s="12"/>
      <c r="N400" s="12"/>
      <c r="O400" s="12"/>
      <c r="P400" s="55">
        <f t="shared" si="31"/>
        <v>0</v>
      </c>
    </row>
    <row r="401" spans="1:16" ht="15" customHeight="1" x14ac:dyDescent="0.25">
      <c r="A401" s="552"/>
      <c r="B401" s="559"/>
      <c r="C401" s="110">
        <v>26</v>
      </c>
      <c r="D401" s="12"/>
      <c r="E401" s="12"/>
      <c r="F401" s="12"/>
      <c r="G401" s="12"/>
      <c r="H401" s="12"/>
      <c r="I401" s="12"/>
      <c r="J401" s="12"/>
      <c r="K401" s="12"/>
      <c r="L401" s="12"/>
      <c r="M401" s="12"/>
      <c r="N401" s="12"/>
      <c r="O401" s="12"/>
      <c r="P401" s="55">
        <f t="shared" si="31"/>
        <v>0</v>
      </c>
    </row>
    <row r="402" spans="1:16" ht="15" customHeight="1" x14ac:dyDescent="0.25">
      <c r="A402" s="553"/>
      <c r="B402" s="559"/>
      <c r="C402" s="110">
        <v>27</v>
      </c>
      <c r="D402" s="12"/>
      <c r="E402" s="12"/>
      <c r="F402" s="12"/>
      <c r="G402" s="12"/>
      <c r="H402" s="12"/>
      <c r="I402" s="12"/>
      <c r="J402" s="12"/>
      <c r="K402" s="12"/>
      <c r="L402" s="12"/>
      <c r="M402" s="12"/>
      <c r="N402" s="12"/>
      <c r="O402" s="12"/>
      <c r="P402" s="55">
        <f t="shared" si="31"/>
        <v>0</v>
      </c>
    </row>
    <row r="403" spans="1:16" ht="15" customHeight="1" x14ac:dyDescent="0.25">
      <c r="A403" s="551">
        <v>242</v>
      </c>
      <c r="B403" s="558" t="s">
        <v>81</v>
      </c>
      <c r="C403" s="110">
        <v>11</v>
      </c>
      <c r="D403" s="12">
        <v>52410</v>
      </c>
      <c r="E403" s="12">
        <v>40898</v>
      </c>
      <c r="F403" s="12"/>
      <c r="G403" s="12"/>
      <c r="H403" s="12"/>
      <c r="I403" s="12"/>
      <c r="J403" s="12">
        <v>9743</v>
      </c>
      <c r="K403" s="12"/>
      <c r="L403" s="12">
        <v>45736</v>
      </c>
      <c r="M403" s="12"/>
      <c r="N403" s="12">
        <v>45456</v>
      </c>
      <c r="O403" s="12">
        <v>28456</v>
      </c>
      <c r="P403" s="55">
        <f t="shared" si="31"/>
        <v>222699</v>
      </c>
    </row>
    <row r="404" spans="1:16" ht="15" customHeight="1" x14ac:dyDescent="0.25">
      <c r="A404" s="552"/>
      <c r="B404" s="559"/>
      <c r="C404" s="110">
        <v>12</v>
      </c>
      <c r="D404" s="12"/>
      <c r="E404" s="12"/>
      <c r="F404" s="12"/>
      <c r="G404" s="12"/>
      <c r="H404" s="12"/>
      <c r="I404" s="12"/>
      <c r="J404" s="12"/>
      <c r="K404" s="12"/>
      <c r="L404" s="12"/>
      <c r="M404" s="12"/>
      <c r="N404" s="12"/>
      <c r="O404" s="12"/>
      <c r="P404" s="55">
        <f t="shared" si="31"/>
        <v>0</v>
      </c>
    </row>
    <row r="405" spans="1:16" ht="15" customHeight="1" x14ac:dyDescent="0.25">
      <c r="A405" s="552"/>
      <c r="B405" s="559"/>
      <c r="C405" s="110">
        <v>13</v>
      </c>
      <c r="D405" s="12"/>
      <c r="E405" s="12"/>
      <c r="F405" s="12"/>
      <c r="G405" s="12"/>
      <c r="H405" s="12"/>
      <c r="I405" s="12"/>
      <c r="J405" s="12"/>
      <c r="K405" s="12"/>
      <c r="L405" s="12"/>
      <c r="M405" s="12"/>
      <c r="N405" s="12"/>
      <c r="O405" s="12"/>
      <c r="P405" s="55">
        <f t="shared" si="31"/>
        <v>0</v>
      </c>
    </row>
    <row r="406" spans="1:16" ht="15" customHeight="1" x14ac:dyDescent="0.25">
      <c r="A406" s="552"/>
      <c r="B406" s="559"/>
      <c r="C406" s="110">
        <v>14</v>
      </c>
      <c r="D406" s="12"/>
      <c r="E406" s="12"/>
      <c r="F406" s="12"/>
      <c r="G406" s="12"/>
      <c r="H406" s="12"/>
      <c r="I406" s="12"/>
      <c r="J406" s="12"/>
      <c r="K406" s="12"/>
      <c r="L406" s="12"/>
      <c r="M406" s="12"/>
      <c r="N406" s="12"/>
      <c r="O406" s="12"/>
      <c r="P406" s="55">
        <f t="shared" si="31"/>
        <v>0</v>
      </c>
    </row>
    <row r="407" spans="1:16" ht="15" customHeight="1" x14ac:dyDescent="0.25">
      <c r="A407" s="552"/>
      <c r="B407" s="559"/>
      <c r="C407" s="110">
        <v>15</v>
      </c>
      <c r="D407" s="12"/>
      <c r="E407" s="12">
        <v>40444</v>
      </c>
      <c r="F407" s="12">
        <v>27663</v>
      </c>
      <c r="G407" s="12">
        <v>19212</v>
      </c>
      <c r="H407" s="12">
        <v>31636</v>
      </c>
      <c r="I407" s="12">
        <v>25330</v>
      </c>
      <c r="J407" s="12">
        <v>21545</v>
      </c>
      <c r="K407" s="12">
        <v>19354</v>
      </c>
      <c r="L407" s="12">
        <v>21784</v>
      </c>
      <c r="M407" s="12">
        <v>28297</v>
      </c>
      <c r="N407" s="12">
        <v>28986</v>
      </c>
      <c r="O407" s="12">
        <v>22456</v>
      </c>
      <c r="P407" s="55">
        <f t="shared" si="31"/>
        <v>286707</v>
      </c>
    </row>
    <row r="408" spans="1:16" ht="15" customHeight="1" x14ac:dyDescent="0.25">
      <c r="A408" s="552"/>
      <c r="B408" s="559"/>
      <c r="C408" s="110">
        <v>16</v>
      </c>
      <c r="D408" s="12"/>
      <c r="E408" s="12"/>
      <c r="F408" s="12"/>
      <c r="G408" s="12"/>
      <c r="H408" s="12"/>
      <c r="I408" s="12"/>
      <c r="J408" s="12"/>
      <c r="K408" s="12"/>
      <c r="L408" s="12"/>
      <c r="M408" s="12"/>
      <c r="N408" s="12"/>
      <c r="O408" s="12"/>
      <c r="P408" s="55">
        <f t="shared" si="31"/>
        <v>0</v>
      </c>
    </row>
    <row r="409" spans="1:16" ht="15" customHeight="1" x14ac:dyDescent="0.25">
      <c r="A409" s="552"/>
      <c r="B409" s="559"/>
      <c r="C409" s="110">
        <v>17</v>
      </c>
      <c r="D409" s="12"/>
      <c r="E409" s="12"/>
      <c r="F409" s="12"/>
      <c r="G409" s="12"/>
      <c r="H409" s="12"/>
      <c r="I409" s="12"/>
      <c r="J409" s="12"/>
      <c r="K409" s="12"/>
      <c r="L409" s="12"/>
      <c r="M409" s="12"/>
      <c r="N409" s="12"/>
      <c r="O409" s="12"/>
      <c r="P409" s="55">
        <f t="shared" si="31"/>
        <v>0</v>
      </c>
    </row>
    <row r="410" spans="1:16" ht="15" customHeight="1" x14ac:dyDescent="0.25">
      <c r="A410" s="552"/>
      <c r="B410" s="559"/>
      <c r="C410" s="110">
        <v>25</v>
      </c>
      <c r="D410" s="12"/>
      <c r="E410" s="12"/>
      <c r="F410" s="12"/>
      <c r="G410" s="12"/>
      <c r="H410" s="12"/>
      <c r="I410" s="12"/>
      <c r="J410" s="12"/>
      <c r="K410" s="12"/>
      <c r="L410" s="12"/>
      <c r="M410" s="12"/>
      <c r="N410" s="12"/>
      <c r="O410" s="12"/>
      <c r="P410" s="55">
        <f t="shared" si="31"/>
        <v>0</v>
      </c>
    </row>
    <row r="411" spans="1:16" ht="15" customHeight="1" x14ac:dyDescent="0.25">
      <c r="A411" s="552"/>
      <c r="B411" s="559"/>
      <c r="C411" s="110">
        <v>26</v>
      </c>
      <c r="D411" s="12"/>
      <c r="E411" s="12"/>
      <c r="F411" s="12"/>
      <c r="G411" s="12"/>
      <c r="H411" s="12"/>
      <c r="I411" s="12"/>
      <c r="J411" s="12"/>
      <c r="K411" s="12"/>
      <c r="L411" s="12"/>
      <c r="M411" s="12"/>
      <c r="N411" s="12"/>
      <c r="O411" s="12"/>
      <c r="P411" s="55">
        <f t="shared" si="31"/>
        <v>0</v>
      </c>
    </row>
    <row r="412" spans="1:16" ht="15" customHeight="1" x14ac:dyDescent="0.25">
      <c r="A412" s="553"/>
      <c r="B412" s="559"/>
      <c r="C412" s="110">
        <v>27</v>
      </c>
      <c r="D412" s="12"/>
      <c r="E412" s="12"/>
      <c r="F412" s="12"/>
      <c r="G412" s="12"/>
      <c r="H412" s="12"/>
      <c r="I412" s="12"/>
      <c r="J412" s="12"/>
      <c r="K412" s="12"/>
      <c r="L412" s="12"/>
      <c r="M412" s="12"/>
      <c r="N412" s="12"/>
      <c r="O412" s="12"/>
      <c r="P412" s="55">
        <f t="shared" si="31"/>
        <v>0</v>
      </c>
    </row>
    <row r="413" spans="1:16" ht="15" customHeight="1" x14ac:dyDescent="0.25">
      <c r="A413" s="551">
        <v>243</v>
      </c>
      <c r="B413" s="558" t="s">
        <v>82</v>
      </c>
      <c r="C413" s="110">
        <v>11</v>
      </c>
      <c r="D413" s="12"/>
      <c r="E413" s="12">
        <v>8850</v>
      </c>
      <c r="F413" s="12"/>
      <c r="G413" s="12"/>
      <c r="H413" s="12"/>
      <c r="I413" s="12">
        <v>9167</v>
      </c>
      <c r="J413" s="12"/>
      <c r="K413" s="12"/>
      <c r="L413" s="12"/>
      <c r="M413" s="12"/>
      <c r="N413" s="12">
        <v>5698</v>
      </c>
      <c r="O413" s="12"/>
      <c r="P413" s="55">
        <f t="shared" si="31"/>
        <v>23715</v>
      </c>
    </row>
    <row r="414" spans="1:16" ht="15" customHeight="1" x14ac:dyDescent="0.25">
      <c r="A414" s="552"/>
      <c r="B414" s="559"/>
      <c r="C414" s="110">
        <v>12</v>
      </c>
      <c r="D414" s="12"/>
      <c r="E414" s="12"/>
      <c r="F414" s="12"/>
      <c r="G414" s="12"/>
      <c r="H414" s="12"/>
      <c r="I414" s="12"/>
      <c r="J414" s="12"/>
      <c r="K414" s="12"/>
      <c r="L414" s="12"/>
      <c r="M414" s="12"/>
      <c r="N414" s="12"/>
      <c r="O414" s="12"/>
      <c r="P414" s="55">
        <f t="shared" si="31"/>
        <v>0</v>
      </c>
    </row>
    <row r="415" spans="1:16" ht="15" customHeight="1" x14ac:dyDescent="0.25">
      <c r="A415" s="552"/>
      <c r="B415" s="559"/>
      <c r="C415" s="110">
        <v>13</v>
      </c>
      <c r="D415" s="12"/>
      <c r="E415" s="12"/>
      <c r="F415" s="12"/>
      <c r="G415" s="12"/>
      <c r="H415" s="12"/>
      <c r="I415" s="12"/>
      <c r="J415" s="12"/>
      <c r="K415" s="12"/>
      <c r="L415" s="12"/>
      <c r="M415" s="12"/>
      <c r="N415" s="12"/>
      <c r="O415" s="12"/>
      <c r="P415" s="55">
        <f t="shared" si="31"/>
        <v>0</v>
      </c>
    </row>
    <row r="416" spans="1:16" ht="15" customHeight="1" x14ac:dyDescent="0.25">
      <c r="A416" s="552"/>
      <c r="B416" s="559"/>
      <c r="C416" s="110">
        <v>14</v>
      </c>
      <c r="D416" s="12"/>
      <c r="E416" s="12"/>
      <c r="F416" s="12"/>
      <c r="G416" s="12"/>
      <c r="H416" s="12"/>
      <c r="I416" s="12"/>
      <c r="J416" s="12"/>
      <c r="K416" s="12"/>
      <c r="L416" s="12"/>
      <c r="M416" s="12"/>
      <c r="N416" s="12"/>
      <c r="O416" s="12"/>
      <c r="P416" s="55">
        <f t="shared" si="31"/>
        <v>0</v>
      </c>
    </row>
    <row r="417" spans="1:16" ht="15" customHeight="1" x14ac:dyDescent="0.25">
      <c r="A417" s="552"/>
      <c r="B417" s="559"/>
      <c r="C417" s="110">
        <v>15</v>
      </c>
      <c r="D417" s="12"/>
      <c r="E417" s="12"/>
      <c r="F417" s="12"/>
      <c r="G417" s="12">
        <v>11856</v>
      </c>
      <c r="H417" s="12">
        <v>8284</v>
      </c>
      <c r="I417" s="12"/>
      <c r="J417" s="12">
        <v>9108</v>
      </c>
      <c r="K417" s="12"/>
      <c r="L417" s="12">
        <v>4200</v>
      </c>
      <c r="M417" s="12"/>
      <c r="N417" s="12"/>
      <c r="O417" s="12"/>
      <c r="P417" s="55">
        <f t="shared" si="31"/>
        <v>33448</v>
      </c>
    </row>
    <row r="418" spans="1:16" ht="15" customHeight="1" x14ac:dyDescent="0.25">
      <c r="A418" s="552"/>
      <c r="B418" s="559"/>
      <c r="C418" s="110">
        <v>16</v>
      </c>
      <c r="D418" s="12"/>
      <c r="E418" s="12"/>
      <c r="F418" s="12"/>
      <c r="G418" s="12"/>
      <c r="H418" s="12"/>
      <c r="I418" s="12"/>
      <c r="J418" s="12"/>
      <c r="K418" s="12"/>
      <c r="L418" s="12"/>
      <c r="M418" s="12"/>
      <c r="N418" s="12"/>
      <c r="O418" s="12"/>
      <c r="P418" s="55">
        <f t="shared" si="31"/>
        <v>0</v>
      </c>
    </row>
    <row r="419" spans="1:16" ht="15" customHeight="1" x14ac:dyDescent="0.25">
      <c r="A419" s="552"/>
      <c r="B419" s="559"/>
      <c r="C419" s="110">
        <v>17</v>
      </c>
      <c r="D419" s="12"/>
      <c r="E419" s="12"/>
      <c r="F419" s="12"/>
      <c r="G419" s="12"/>
      <c r="H419" s="12"/>
      <c r="I419" s="12"/>
      <c r="J419" s="12"/>
      <c r="K419" s="12"/>
      <c r="L419" s="12"/>
      <c r="M419" s="12"/>
      <c r="N419" s="12"/>
      <c r="O419" s="12"/>
      <c r="P419" s="55">
        <f t="shared" si="31"/>
        <v>0</v>
      </c>
    </row>
    <row r="420" spans="1:16" ht="15" customHeight="1" x14ac:dyDescent="0.25">
      <c r="A420" s="552"/>
      <c r="B420" s="559"/>
      <c r="C420" s="110">
        <v>25</v>
      </c>
      <c r="D420" s="12"/>
      <c r="E420" s="12"/>
      <c r="F420" s="12"/>
      <c r="G420" s="12"/>
      <c r="H420" s="12"/>
      <c r="I420" s="12"/>
      <c r="J420" s="12"/>
      <c r="K420" s="12"/>
      <c r="L420" s="12"/>
      <c r="M420" s="12"/>
      <c r="N420" s="12"/>
      <c r="O420" s="12"/>
      <c r="P420" s="55">
        <f t="shared" si="31"/>
        <v>0</v>
      </c>
    </row>
    <row r="421" spans="1:16" ht="15" customHeight="1" x14ac:dyDescent="0.25">
      <c r="A421" s="552"/>
      <c r="B421" s="559"/>
      <c r="C421" s="110">
        <v>26</v>
      </c>
      <c r="D421" s="12"/>
      <c r="E421" s="12"/>
      <c r="F421" s="12"/>
      <c r="G421" s="12"/>
      <c r="H421" s="12"/>
      <c r="I421" s="12"/>
      <c r="J421" s="12"/>
      <c r="K421" s="12"/>
      <c r="L421" s="12"/>
      <c r="M421" s="12"/>
      <c r="N421" s="12"/>
      <c r="O421" s="12"/>
      <c r="P421" s="55">
        <f t="shared" si="31"/>
        <v>0</v>
      </c>
    </row>
    <row r="422" spans="1:16" ht="15" customHeight="1" x14ac:dyDescent="0.25">
      <c r="A422" s="553"/>
      <c r="B422" s="559"/>
      <c r="C422" s="110">
        <v>27</v>
      </c>
      <c r="D422" s="12"/>
      <c r="E422" s="12"/>
      <c r="F422" s="12"/>
      <c r="G422" s="12"/>
      <c r="H422" s="12"/>
      <c r="I422" s="12"/>
      <c r="J422" s="12"/>
      <c r="K422" s="12"/>
      <c r="L422" s="12"/>
      <c r="M422" s="12"/>
      <c r="N422" s="12"/>
      <c r="O422" s="12"/>
      <c r="P422" s="55">
        <f t="shared" si="31"/>
        <v>0</v>
      </c>
    </row>
    <row r="423" spans="1:16" ht="15" customHeight="1" x14ac:dyDescent="0.25">
      <c r="A423" s="551">
        <v>244</v>
      </c>
      <c r="B423" s="558" t="s">
        <v>83</v>
      </c>
      <c r="C423" s="110">
        <v>11</v>
      </c>
      <c r="D423" s="12"/>
      <c r="E423" s="12">
        <v>4560</v>
      </c>
      <c r="F423" s="12"/>
      <c r="G423" s="12"/>
      <c r="H423" s="12"/>
      <c r="I423" s="12"/>
      <c r="J423" s="12"/>
      <c r="K423" s="12"/>
      <c r="L423" s="12"/>
      <c r="M423" s="12"/>
      <c r="N423" s="12"/>
      <c r="O423" s="12"/>
      <c r="P423" s="55">
        <f t="shared" si="31"/>
        <v>4560</v>
      </c>
    </row>
    <row r="424" spans="1:16" ht="15" customHeight="1" x14ac:dyDescent="0.25">
      <c r="A424" s="552"/>
      <c r="B424" s="559"/>
      <c r="C424" s="110">
        <v>12</v>
      </c>
      <c r="D424" s="12"/>
      <c r="E424" s="12"/>
      <c r="F424" s="12"/>
      <c r="G424" s="12"/>
      <c r="H424" s="12"/>
      <c r="I424" s="12"/>
      <c r="J424" s="12"/>
      <c r="K424" s="12"/>
      <c r="L424" s="12"/>
      <c r="M424" s="12"/>
      <c r="N424" s="12"/>
      <c r="O424" s="12"/>
      <c r="P424" s="55">
        <f t="shared" si="31"/>
        <v>0</v>
      </c>
    </row>
    <row r="425" spans="1:16" ht="15" customHeight="1" x14ac:dyDescent="0.25">
      <c r="A425" s="552"/>
      <c r="B425" s="559"/>
      <c r="C425" s="110">
        <v>13</v>
      </c>
      <c r="D425" s="12"/>
      <c r="E425" s="12"/>
      <c r="F425" s="12"/>
      <c r="G425" s="12"/>
      <c r="H425" s="12"/>
      <c r="I425" s="12"/>
      <c r="J425" s="12"/>
      <c r="K425" s="12"/>
      <c r="L425" s="12"/>
      <c r="M425" s="12"/>
      <c r="N425" s="12"/>
      <c r="O425" s="12"/>
      <c r="P425" s="55">
        <f t="shared" si="31"/>
        <v>0</v>
      </c>
    </row>
    <row r="426" spans="1:16" ht="15" customHeight="1" x14ac:dyDescent="0.25">
      <c r="A426" s="552"/>
      <c r="B426" s="559"/>
      <c r="C426" s="110">
        <v>14</v>
      </c>
      <c r="D426" s="12"/>
      <c r="E426" s="12"/>
      <c r="F426" s="12"/>
      <c r="G426" s="12"/>
      <c r="H426" s="12"/>
      <c r="I426" s="12"/>
      <c r="J426" s="12"/>
      <c r="K426" s="12"/>
      <c r="L426" s="12"/>
      <c r="M426" s="12"/>
      <c r="N426" s="12"/>
      <c r="O426" s="12"/>
      <c r="P426" s="55">
        <f t="shared" si="31"/>
        <v>0</v>
      </c>
    </row>
    <row r="427" spans="1:16" ht="15" customHeight="1" x14ac:dyDescent="0.25">
      <c r="A427" s="552"/>
      <c r="B427" s="559"/>
      <c r="C427" s="110">
        <v>15</v>
      </c>
      <c r="D427" s="12"/>
      <c r="E427" s="12"/>
      <c r="F427" s="12"/>
      <c r="G427" s="12"/>
      <c r="H427" s="12">
        <v>5890</v>
      </c>
      <c r="I427" s="12"/>
      <c r="J427" s="12"/>
      <c r="K427" s="12"/>
      <c r="L427" s="12"/>
      <c r="M427" s="12"/>
      <c r="N427" s="12"/>
      <c r="O427" s="12"/>
      <c r="P427" s="55">
        <f t="shared" si="31"/>
        <v>5890</v>
      </c>
    </row>
    <row r="428" spans="1:16" ht="15" customHeight="1" x14ac:dyDescent="0.25">
      <c r="A428" s="552"/>
      <c r="B428" s="559"/>
      <c r="C428" s="110">
        <v>16</v>
      </c>
      <c r="D428" s="12"/>
      <c r="E428" s="12"/>
      <c r="F428" s="12"/>
      <c r="G428" s="12"/>
      <c r="H428" s="12"/>
      <c r="I428" s="12"/>
      <c r="J428" s="12"/>
      <c r="K428" s="12"/>
      <c r="L428" s="12"/>
      <c r="M428" s="12"/>
      <c r="N428" s="12"/>
      <c r="O428" s="12"/>
      <c r="P428" s="55">
        <f t="shared" si="31"/>
        <v>0</v>
      </c>
    </row>
    <row r="429" spans="1:16" ht="15" customHeight="1" x14ac:dyDescent="0.25">
      <c r="A429" s="552"/>
      <c r="B429" s="559"/>
      <c r="C429" s="110">
        <v>17</v>
      </c>
      <c r="D429" s="12"/>
      <c r="E429" s="12"/>
      <c r="F429" s="12"/>
      <c r="G429" s="12"/>
      <c r="H429" s="12"/>
      <c r="I429" s="12"/>
      <c r="J429" s="12"/>
      <c r="K429" s="12"/>
      <c r="L429" s="12"/>
      <c r="M429" s="12"/>
      <c r="N429" s="12"/>
      <c r="O429" s="12"/>
      <c r="P429" s="55">
        <f t="shared" si="31"/>
        <v>0</v>
      </c>
    </row>
    <row r="430" spans="1:16" ht="15" customHeight="1" x14ac:dyDescent="0.25">
      <c r="A430" s="552"/>
      <c r="B430" s="559"/>
      <c r="C430" s="110">
        <v>25</v>
      </c>
      <c r="D430" s="12"/>
      <c r="E430" s="12"/>
      <c r="F430" s="12"/>
      <c r="G430" s="12"/>
      <c r="H430" s="12"/>
      <c r="I430" s="12"/>
      <c r="J430" s="12"/>
      <c r="K430" s="12"/>
      <c r="L430" s="12"/>
      <c r="M430" s="12"/>
      <c r="N430" s="12"/>
      <c r="O430" s="12"/>
      <c r="P430" s="55">
        <f t="shared" si="31"/>
        <v>0</v>
      </c>
    </row>
    <row r="431" spans="1:16" ht="15" customHeight="1" x14ac:dyDescent="0.25">
      <c r="A431" s="552"/>
      <c r="B431" s="559"/>
      <c r="C431" s="110">
        <v>26</v>
      </c>
      <c r="D431" s="12"/>
      <c r="E431" s="12"/>
      <c r="F431" s="12"/>
      <c r="G431" s="12"/>
      <c r="H431" s="12"/>
      <c r="I431" s="12"/>
      <c r="J431" s="12"/>
      <c r="K431" s="12"/>
      <c r="L431" s="12"/>
      <c r="M431" s="12"/>
      <c r="N431" s="12"/>
      <c r="O431" s="12"/>
      <c r="P431" s="55">
        <f t="shared" si="31"/>
        <v>0</v>
      </c>
    </row>
    <row r="432" spans="1:16" ht="15" customHeight="1" x14ac:dyDescent="0.25">
      <c r="A432" s="553"/>
      <c r="B432" s="559"/>
      <c r="C432" s="110">
        <v>27</v>
      </c>
      <c r="D432" s="12"/>
      <c r="E432" s="12"/>
      <c r="F432" s="12"/>
      <c r="G432" s="12"/>
      <c r="H432" s="12"/>
      <c r="I432" s="12"/>
      <c r="J432" s="12"/>
      <c r="K432" s="12"/>
      <c r="L432" s="12"/>
      <c r="M432" s="12"/>
      <c r="N432" s="12"/>
      <c r="O432" s="12"/>
      <c r="P432" s="55">
        <f t="shared" si="31"/>
        <v>0</v>
      </c>
    </row>
    <row r="433" spans="1:16" ht="15" customHeight="1" x14ac:dyDescent="0.25">
      <c r="A433" s="551">
        <v>245</v>
      </c>
      <c r="B433" s="558" t="s">
        <v>84</v>
      </c>
      <c r="C433" s="110">
        <v>11</v>
      </c>
      <c r="D433" s="12"/>
      <c r="E433" s="12"/>
      <c r="F433" s="12">
        <v>2690</v>
      </c>
      <c r="G433" s="12"/>
      <c r="H433" s="12"/>
      <c r="I433" s="12"/>
      <c r="J433" s="12"/>
      <c r="K433" s="12"/>
      <c r="L433" s="12"/>
      <c r="M433" s="12"/>
      <c r="N433" s="12"/>
      <c r="O433" s="12"/>
      <c r="P433" s="55">
        <f t="shared" si="31"/>
        <v>2690</v>
      </c>
    </row>
    <row r="434" spans="1:16" ht="15" customHeight="1" x14ac:dyDescent="0.25">
      <c r="A434" s="552"/>
      <c r="B434" s="559"/>
      <c r="C434" s="110">
        <v>12</v>
      </c>
      <c r="D434" s="12"/>
      <c r="E434" s="12"/>
      <c r="F434" s="12"/>
      <c r="G434" s="12"/>
      <c r="H434" s="12"/>
      <c r="I434" s="12"/>
      <c r="J434" s="12"/>
      <c r="K434" s="12"/>
      <c r="L434" s="12"/>
      <c r="M434" s="12"/>
      <c r="N434" s="12"/>
      <c r="O434" s="12"/>
      <c r="P434" s="55">
        <f t="shared" si="31"/>
        <v>0</v>
      </c>
    </row>
    <row r="435" spans="1:16" ht="15" customHeight="1" x14ac:dyDescent="0.25">
      <c r="A435" s="552"/>
      <c r="B435" s="559"/>
      <c r="C435" s="110">
        <v>13</v>
      </c>
      <c r="D435" s="12"/>
      <c r="E435" s="12"/>
      <c r="F435" s="12"/>
      <c r="G435" s="12"/>
      <c r="H435" s="12"/>
      <c r="I435" s="12"/>
      <c r="J435" s="12"/>
      <c r="K435" s="12"/>
      <c r="L435" s="12"/>
      <c r="M435" s="12"/>
      <c r="N435" s="12"/>
      <c r="O435" s="12"/>
      <c r="P435" s="55">
        <f t="shared" si="31"/>
        <v>0</v>
      </c>
    </row>
    <row r="436" spans="1:16" ht="15" customHeight="1" x14ac:dyDescent="0.25">
      <c r="A436" s="552"/>
      <c r="B436" s="559"/>
      <c r="C436" s="110">
        <v>14</v>
      </c>
      <c r="D436" s="12"/>
      <c r="E436" s="12"/>
      <c r="F436" s="12"/>
      <c r="G436" s="12"/>
      <c r="H436" s="12"/>
      <c r="I436" s="12"/>
      <c r="J436" s="12"/>
      <c r="K436" s="12"/>
      <c r="L436" s="12"/>
      <c r="M436" s="12"/>
      <c r="N436" s="12"/>
      <c r="O436" s="12"/>
      <c r="P436" s="55">
        <f t="shared" si="31"/>
        <v>0</v>
      </c>
    </row>
    <row r="437" spans="1:16" ht="15" customHeight="1" x14ac:dyDescent="0.25">
      <c r="A437" s="552"/>
      <c r="B437" s="559"/>
      <c r="C437" s="110">
        <v>15</v>
      </c>
      <c r="D437" s="12"/>
      <c r="E437" s="12"/>
      <c r="F437" s="12"/>
      <c r="G437" s="12"/>
      <c r="H437" s="12"/>
      <c r="I437" s="12"/>
      <c r="J437" s="12">
        <v>1890</v>
      </c>
      <c r="K437" s="12"/>
      <c r="L437" s="12"/>
      <c r="M437" s="12"/>
      <c r="N437" s="12"/>
      <c r="O437" s="12"/>
      <c r="P437" s="55">
        <f t="shared" si="31"/>
        <v>1890</v>
      </c>
    </row>
    <row r="438" spans="1:16" ht="15" customHeight="1" x14ac:dyDescent="0.25">
      <c r="A438" s="552"/>
      <c r="B438" s="559"/>
      <c r="C438" s="110">
        <v>16</v>
      </c>
      <c r="D438" s="12"/>
      <c r="E438" s="12"/>
      <c r="F438" s="12"/>
      <c r="G438" s="12"/>
      <c r="H438" s="12"/>
      <c r="I438" s="12"/>
      <c r="J438" s="12"/>
      <c r="K438" s="12"/>
      <c r="L438" s="12"/>
      <c r="M438" s="12"/>
      <c r="N438" s="12"/>
      <c r="O438" s="12"/>
      <c r="P438" s="55">
        <f t="shared" si="31"/>
        <v>0</v>
      </c>
    </row>
    <row r="439" spans="1:16" ht="15" customHeight="1" x14ac:dyDescent="0.25">
      <c r="A439" s="552"/>
      <c r="B439" s="559"/>
      <c r="C439" s="110">
        <v>17</v>
      </c>
      <c r="D439" s="12"/>
      <c r="E439" s="12"/>
      <c r="F439" s="12"/>
      <c r="G439" s="12"/>
      <c r="H439" s="12"/>
      <c r="I439" s="12"/>
      <c r="J439" s="12"/>
      <c r="K439" s="12"/>
      <c r="L439" s="12"/>
      <c r="M439" s="12"/>
      <c r="N439" s="12"/>
      <c r="O439" s="12"/>
      <c r="P439" s="55">
        <f t="shared" si="31"/>
        <v>0</v>
      </c>
    </row>
    <row r="440" spans="1:16" ht="15" customHeight="1" x14ac:dyDescent="0.25">
      <c r="A440" s="552"/>
      <c r="B440" s="559"/>
      <c r="C440" s="110">
        <v>25</v>
      </c>
      <c r="D440" s="12"/>
      <c r="E440" s="12"/>
      <c r="F440" s="12"/>
      <c r="G440" s="12"/>
      <c r="H440" s="12"/>
      <c r="I440" s="12"/>
      <c r="J440" s="12"/>
      <c r="K440" s="12"/>
      <c r="L440" s="12"/>
      <c r="M440" s="12"/>
      <c r="N440" s="12"/>
      <c r="O440" s="12"/>
      <c r="P440" s="55">
        <f t="shared" si="31"/>
        <v>0</v>
      </c>
    </row>
    <row r="441" spans="1:16" ht="15" customHeight="1" x14ac:dyDescent="0.25">
      <c r="A441" s="552"/>
      <c r="B441" s="559"/>
      <c r="C441" s="110">
        <v>26</v>
      </c>
      <c r="D441" s="12"/>
      <c r="E441" s="12"/>
      <c r="F441" s="12"/>
      <c r="G441" s="12"/>
      <c r="H441" s="12"/>
      <c r="I441" s="12"/>
      <c r="J441" s="12"/>
      <c r="K441" s="12"/>
      <c r="L441" s="12"/>
      <c r="M441" s="12"/>
      <c r="N441" s="12"/>
      <c r="O441" s="12"/>
      <c r="P441" s="55">
        <f t="shared" si="31"/>
        <v>0</v>
      </c>
    </row>
    <row r="442" spans="1:16" ht="15" customHeight="1" x14ac:dyDescent="0.25">
      <c r="A442" s="553"/>
      <c r="B442" s="559"/>
      <c r="C442" s="110">
        <v>27</v>
      </c>
      <c r="D442" s="12"/>
      <c r="E442" s="12"/>
      <c r="F442" s="12"/>
      <c r="G442" s="12"/>
      <c r="H442" s="12"/>
      <c r="I442" s="12"/>
      <c r="J442" s="12"/>
      <c r="K442" s="12"/>
      <c r="L442" s="12"/>
      <c r="M442" s="12"/>
      <c r="N442" s="12"/>
      <c r="O442" s="12"/>
      <c r="P442" s="55">
        <f t="shared" si="31"/>
        <v>0</v>
      </c>
    </row>
    <row r="443" spans="1:16" ht="15" customHeight="1" x14ac:dyDescent="0.25">
      <c r="A443" s="551">
        <v>246</v>
      </c>
      <c r="B443" s="558" t="s">
        <v>85</v>
      </c>
      <c r="C443" s="110">
        <v>11</v>
      </c>
      <c r="D443" s="12">
        <v>67921</v>
      </c>
      <c r="E443" s="12">
        <v>29560</v>
      </c>
      <c r="F443" s="12"/>
      <c r="G443" s="12">
        <v>35000</v>
      </c>
      <c r="H443" s="12"/>
      <c r="I443" s="12">
        <v>15896</v>
      </c>
      <c r="J443" s="12"/>
      <c r="K443" s="12"/>
      <c r="L443" s="12"/>
      <c r="M443" s="12">
        <v>18223</v>
      </c>
      <c r="N443" s="12"/>
      <c r="O443" s="12"/>
      <c r="P443" s="55">
        <f t="shared" si="31"/>
        <v>166600</v>
      </c>
    </row>
    <row r="444" spans="1:16" ht="15" customHeight="1" x14ac:dyDescent="0.25">
      <c r="A444" s="552"/>
      <c r="B444" s="559"/>
      <c r="C444" s="110">
        <v>12</v>
      </c>
      <c r="D444" s="12"/>
      <c r="E444" s="12"/>
      <c r="F444" s="12"/>
      <c r="G444" s="12"/>
      <c r="H444" s="12"/>
      <c r="I444" s="12"/>
      <c r="J444" s="12"/>
      <c r="K444" s="12"/>
      <c r="L444" s="12"/>
      <c r="M444" s="12"/>
      <c r="N444" s="12"/>
      <c r="O444" s="12"/>
      <c r="P444" s="55">
        <f t="shared" si="31"/>
        <v>0</v>
      </c>
    </row>
    <row r="445" spans="1:16" ht="15" customHeight="1" x14ac:dyDescent="0.25">
      <c r="A445" s="552"/>
      <c r="B445" s="559"/>
      <c r="C445" s="110">
        <v>13</v>
      </c>
      <c r="D445" s="12"/>
      <c r="E445" s="12"/>
      <c r="F445" s="12"/>
      <c r="G445" s="12"/>
      <c r="H445" s="12"/>
      <c r="I445" s="12"/>
      <c r="J445" s="12"/>
      <c r="K445" s="12"/>
      <c r="L445" s="12"/>
      <c r="M445" s="12"/>
      <c r="N445" s="12"/>
      <c r="O445" s="12"/>
      <c r="P445" s="55">
        <f t="shared" si="31"/>
        <v>0</v>
      </c>
    </row>
    <row r="446" spans="1:16" ht="15" customHeight="1" x14ac:dyDescent="0.25">
      <c r="A446" s="552"/>
      <c r="B446" s="559"/>
      <c r="C446" s="110">
        <v>14</v>
      </c>
      <c r="D446" s="12"/>
      <c r="E446" s="12"/>
      <c r="F446" s="12"/>
      <c r="G446" s="12"/>
      <c r="H446" s="12"/>
      <c r="I446" s="12"/>
      <c r="J446" s="12"/>
      <c r="K446" s="12"/>
      <c r="L446" s="12"/>
      <c r="M446" s="12"/>
      <c r="N446" s="12"/>
      <c r="O446" s="12"/>
      <c r="P446" s="55">
        <f t="shared" si="31"/>
        <v>0</v>
      </c>
    </row>
    <row r="447" spans="1:16" ht="15" customHeight="1" x14ac:dyDescent="0.25">
      <c r="A447" s="552"/>
      <c r="B447" s="559"/>
      <c r="C447" s="110">
        <v>15</v>
      </c>
      <c r="D447" s="12">
        <v>15896</v>
      </c>
      <c r="E447" s="12">
        <v>25896</v>
      </c>
      <c r="F447" s="12">
        <v>46096</v>
      </c>
      <c r="G447" s="12">
        <v>19239</v>
      </c>
      <c r="H447" s="12">
        <v>27477</v>
      </c>
      <c r="I447" s="12">
        <v>20582</v>
      </c>
      <c r="J447" s="12">
        <v>25384</v>
      </c>
      <c r="K447" s="12">
        <v>30306</v>
      </c>
      <c r="L447" s="12">
        <v>19085</v>
      </c>
      <c r="M447" s="12">
        <v>36372</v>
      </c>
      <c r="N447" s="12">
        <v>33487</v>
      </c>
      <c r="O447" s="12">
        <v>31895</v>
      </c>
      <c r="P447" s="55">
        <f t="shared" si="31"/>
        <v>331715</v>
      </c>
    </row>
    <row r="448" spans="1:16" ht="15" customHeight="1" x14ac:dyDescent="0.25">
      <c r="A448" s="552"/>
      <c r="B448" s="559"/>
      <c r="C448" s="110">
        <v>16</v>
      </c>
      <c r="D448" s="12"/>
      <c r="E448" s="12"/>
      <c r="F448" s="12"/>
      <c r="G448" s="12"/>
      <c r="H448" s="12"/>
      <c r="I448" s="12"/>
      <c r="J448" s="12"/>
      <c r="K448" s="12"/>
      <c r="L448" s="12"/>
      <c r="M448" s="12"/>
      <c r="N448" s="12"/>
      <c r="O448" s="12"/>
      <c r="P448" s="55">
        <f t="shared" si="31"/>
        <v>0</v>
      </c>
    </row>
    <row r="449" spans="1:16" ht="15" customHeight="1" x14ac:dyDescent="0.25">
      <c r="A449" s="552"/>
      <c r="B449" s="559"/>
      <c r="C449" s="110">
        <v>17</v>
      </c>
      <c r="D449" s="12"/>
      <c r="E449" s="12"/>
      <c r="F449" s="12"/>
      <c r="G449" s="12"/>
      <c r="H449" s="12"/>
      <c r="I449" s="12"/>
      <c r="J449" s="12"/>
      <c r="K449" s="12"/>
      <c r="L449" s="12"/>
      <c r="M449" s="12"/>
      <c r="N449" s="12"/>
      <c r="O449" s="12"/>
      <c r="P449" s="55">
        <f t="shared" si="31"/>
        <v>0</v>
      </c>
    </row>
    <row r="450" spans="1:16" ht="15" customHeight="1" x14ac:dyDescent="0.25">
      <c r="A450" s="552"/>
      <c r="B450" s="559"/>
      <c r="C450" s="110">
        <v>25</v>
      </c>
      <c r="D450" s="12"/>
      <c r="E450" s="12"/>
      <c r="F450" s="12"/>
      <c r="G450" s="12"/>
      <c r="H450" s="12"/>
      <c r="I450" s="12"/>
      <c r="J450" s="12"/>
      <c r="K450" s="12"/>
      <c r="L450" s="12"/>
      <c r="M450" s="12"/>
      <c r="N450" s="12"/>
      <c r="O450" s="12"/>
      <c r="P450" s="55">
        <f t="shared" si="31"/>
        <v>0</v>
      </c>
    </row>
    <row r="451" spans="1:16" ht="15" customHeight="1" x14ac:dyDescent="0.25">
      <c r="A451" s="552"/>
      <c r="B451" s="559"/>
      <c r="C451" s="110">
        <v>26</v>
      </c>
      <c r="D451" s="12"/>
      <c r="E451" s="12"/>
      <c r="F451" s="12"/>
      <c r="G451" s="12"/>
      <c r="H451" s="12"/>
      <c r="I451" s="12"/>
      <c r="J451" s="12"/>
      <c r="K451" s="12"/>
      <c r="L451" s="12"/>
      <c r="M451" s="12"/>
      <c r="N451" s="12"/>
      <c r="O451" s="12"/>
      <c r="P451" s="55">
        <f t="shared" si="31"/>
        <v>0</v>
      </c>
    </row>
    <row r="452" spans="1:16" ht="15" customHeight="1" x14ac:dyDescent="0.25">
      <c r="A452" s="553"/>
      <c r="B452" s="559"/>
      <c r="C452" s="110">
        <v>27</v>
      </c>
      <c r="D452" s="12"/>
      <c r="E452" s="12"/>
      <c r="F452" s="12"/>
      <c r="G452" s="12"/>
      <c r="H452" s="12"/>
      <c r="I452" s="12"/>
      <c r="J452" s="12"/>
      <c r="K452" s="12"/>
      <c r="L452" s="12"/>
      <c r="M452" s="12"/>
      <c r="N452" s="12"/>
      <c r="O452" s="12"/>
      <c r="P452" s="55">
        <f t="shared" si="31"/>
        <v>0</v>
      </c>
    </row>
    <row r="453" spans="1:16" ht="15" customHeight="1" x14ac:dyDescent="0.25">
      <c r="A453" s="551">
        <v>247</v>
      </c>
      <c r="B453" s="558" t="s">
        <v>86</v>
      </c>
      <c r="C453" s="110">
        <v>11</v>
      </c>
      <c r="D453" s="12">
        <v>23176</v>
      </c>
      <c r="E453" s="12">
        <v>12956</v>
      </c>
      <c r="F453" s="12"/>
      <c r="G453" s="12"/>
      <c r="H453" s="12">
        <v>1187</v>
      </c>
      <c r="I453" s="12"/>
      <c r="J453" s="12">
        <v>12569</v>
      </c>
      <c r="K453" s="12"/>
      <c r="L453" s="12">
        <v>9850</v>
      </c>
      <c r="M453" s="12"/>
      <c r="N453" s="12"/>
      <c r="O453" s="12"/>
      <c r="P453" s="55">
        <f t="shared" si="31"/>
        <v>59738</v>
      </c>
    </row>
    <row r="454" spans="1:16" ht="15" customHeight="1" x14ac:dyDescent="0.25">
      <c r="A454" s="552"/>
      <c r="B454" s="559"/>
      <c r="C454" s="110">
        <v>12</v>
      </c>
      <c r="D454" s="12"/>
      <c r="E454" s="12"/>
      <c r="F454" s="12"/>
      <c r="G454" s="12"/>
      <c r="H454" s="12"/>
      <c r="I454" s="12"/>
      <c r="J454" s="12"/>
      <c r="K454" s="12"/>
      <c r="L454" s="12"/>
      <c r="M454" s="12"/>
      <c r="N454" s="12"/>
      <c r="O454" s="12"/>
      <c r="P454" s="55">
        <f t="shared" si="31"/>
        <v>0</v>
      </c>
    </row>
    <row r="455" spans="1:16" ht="15" customHeight="1" x14ac:dyDescent="0.25">
      <c r="A455" s="552"/>
      <c r="B455" s="559"/>
      <c r="C455" s="110">
        <v>13</v>
      </c>
      <c r="D455" s="12"/>
      <c r="E455" s="12"/>
      <c r="F455" s="12"/>
      <c r="G455" s="12"/>
      <c r="H455" s="12"/>
      <c r="I455" s="12"/>
      <c r="J455" s="12"/>
      <c r="K455" s="12"/>
      <c r="L455" s="12"/>
      <c r="M455" s="12"/>
      <c r="N455" s="12"/>
      <c r="O455" s="12"/>
      <c r="P455" s="55">
        <f t="shared" si="31"/>
        <v>0</v>
      </c>
    </row>
    <row r="456" spans="1:16" ht="15" customHeight="1" x14ac:dyDescent="0.25">
      <c r="A456" s="552"/>
      <c r="B456" s="559"/>
      <c r="C456" s="110">
        <v>14</v>
      </c>
      <c r="D456" s="12"/>
      <c r="E456" s="12"/>
      <c r="F456" s="12"/>
      <c r="G456" s="12"/>
      <c r="H456" s="12"/>
      <c r="I456" s="12"/>
      <c r="J456" s="12"/>
      <c r="K456" s="12"/>
      <c r="L456" s="12"/>
      <c r="M456" s="12"/>
      <c r="N456" s="12"/>
      <c r="O456" s="12"/>
      <c r="P456" s="55">
        <f t="shared" si="31"/>
        <v>0</v>
      </c>
    </row>
    <row r="457" spans="1:16" ht="15" customHeight="1" x14ac:dyDescent="0.25">
      <c r="A457" s="552"/>
      <c r="B457" s="559"/>
      <c r="C457" s="110">
        <v>15</v>
      </c>
      <c r="D457" s="12">
        <v>15181</v>
      </c>
      <c r="E457" s="12">
        <v>15379</v>
      </c>
      <c r="F457" s="12">
        <v>29691</v>
      </c>
      <c r="G457" s="12">
        <v>35501</v>
      </c>
      <c r="H457" s="12">
        <v>21224</v>
      </c>
      <c r="I457" s="12">
        <v>26615</v>
      </c>
      <c r="J457" s="12"/>
      <c r="K457" s="12">
        <v>29845</v>
      </c>
      <c r="L457" s="12">
        <v>22789</v>
      </c>
      <c r="M457" s="12">
        <v>33125</v>
      </c>
      <c r="N457" s="12">
        <v>28756</v>
      </c>
      <c r="O457" s="12">
        <v>22639</v>
      </c>
      <c r="P457" s="55">
        <f t="shared" si="31"/>
        <v>280745</v>
      </c>
    </row>
    <row r="458" spans="1:16" ht="15" customHeight="1" x14ac:dyDescent="0.25">
      <c r="A458" s="552"/>
      <c r="B458" s="559"/>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2"/>
      <c r="B459" s="559"/>
      <c r="C459" s="110">
        <v>17</v>
      </c>
      <c r="D459" s="12"/>
      <c r="E459" s="12"/>
      <c r="F459" s="12"/>
      <c r="G459" s="12"/>
      <c r="H459" s="12"/>
      <c r="I459" s="12"/>
      <c r="J459" s="12"/>
      <c r="K459" s="12"/>
      <c r="L459" s="12"/>
      <c r="M459" s="12"/>
      <c r="N459" s="12"/>
      <c r="O459" s="12"/>
      <c r="P459" s="55">
        <f t="shared" si="32"/>
        <v>0</v>
      </c>
    </row>
    <row r="460" spans="1:16" ht="15" customHeight="1" x14ac:dyDescent="0.25">
      <c r="A460" s="552"/>
      <c r="B460" s="559"/>
      <c r="C460" s="110">
        <v>25</v>
      </c>
      <c r="D460" s="12"/>
      <c r="E460" s="12"/>
      <c r="F460" s="12"/>
      <c r="G460" s="12"/>
      <c r="H460" s="12"/>
      <c r="I460" s="12"/>
      <c r="J460" s="12"/>
      <c r="K460" s="12"/>
      <c r="L460" s="12"/>
      <c r="M460" s="12"/>
      <c r="N460" s="12"/>
      <c r="O460" s="12"/>
      <c r="P460" s="55">
        <f t="shared" si="32"/>
        <v>0</v>
      </c>
    </row>
    <row r="461" spans="1:16" ht="15" customHeight="1" x14ac:dyDescent="0.25">
      <c r="A461" s="552"/>
      <c r="B461" s="559"/>
      <c r="C461" s="110">
        <v>26</v>
      </c>
      <c r="D461" s="12"/>
      <c r="E461" s="12"/>
      <c r="F461" s="12"/>
      <c r="G461" s="12"/>
      <c r="H461" s="12"/>
      <c r="I461" s="12"/>
      <c r="J461" s="12"/>
      <c r="K461" s="12"/>
      <c r="L461" s="12"/>
      <c r="M461" s="12"/>
      <c r="N461" s="12"/>
      <c r="O461" s="12"/>
      <c r="P461" s="55">
        <f t="shared" si="32"/>
        <v>0</v>
      </c>
    </row>
    <row r="462" spans="1:16" ht="15" customHeight="1" x14ac:dyDescent="0.25">
      <c r="A462" s="553"/>
      <c r="B462" s="559"/>
      <c r="C462" s="110">
        <v>27</v>
      </c>
      <c r="D462" s="12"/>
      <c r="E462" s="12"/>
      <c r="F462" s="12"/>
      <c r="G462" s="12"/>
      <c r="H462" s="12"/>
      <c r="I462" s="12"/>
      <c r="J462" s="12"/>
      <c r="K462" s="12"/>
      <c r="L462" s="12"/>
      <c r="M462" s="12"/>
      <c r="N462" s="12"/>
      <c r="O462" s="12"/>
      <c r="P462" s="55">
        <f t="shared" si="32"/>
        <v>0</v>
      </c>
    </row>
    <row r="463" spans="1:16" ht="15" customHeight="1" x14ac:dyDescent="0.25">
      <c r="A463" s="551">
        <v>248</v>
      </c>
      <c r="B463" s="558" t="s">
        <v>87</v>
      </c>
      <c r="C463" s="110">
        <v>11</v>
      </c>
      <c r="D463" s="12"/>
      <c r="E463" s="12"/>
      <c r="F463" s="12"/>
      <c r="G463" s="12"/>
      <c r="H463" s="12"/>
      <c r="I463" s="12">
        <v>16895</v>
      </c>
      <c r="J463" s="12"/>
      <c r="K463" s="12"/>
      <c r="L463" s="12"/>
      <c r="M463" s="12"/>
      <c r="N463" s="12"/>
      <c r="O463" s="12"/>
      <c r="P463" s="55">
        <f t="shared" si="32"/>
        <v>16895</v>
      </c>
    </row>
    <row r="464" spans="1:16" ht="15" customHeight="1" x14ac:dyDescent="0.25">
      <c r="A464" s="552"/>
      <c r="B464" s="559"/>
      <c r="C464" s="110">
        <v>12</v>
      </c>
      <c r="D464" s="12"/>
      <c r="E464" s="12"/>
      <c r="F464" s="12"/>
      <c r="G464" s="12"/>
      <c r="H464" s="12"/>
      <c r="I464" s="12"/>
      <c r="J464" s="12"/>
      <c r="K464" s="12"/>
      <c r="L464" s="12"/>
      <c r="M464" s="12"/>
      <c r="N464" s="12"/>
      <c r="O464" s="12"/>
      <c r="P464" s="55">
        <f t="shared" si="32"/>
        <v>0</v>
      </c>
    </row>
    <row r="465" spans="1:16" ht="15" customHeight="1" x14ac:dyDescent="0.25">
      <c r="A465" s="552"/>
      <c r="B465" s="559"/>
      <c r="C465" s="110">
        <v>13</v>
      </c>
      <c r="D465" s="12"/>
      <c r="E465" s="12"/>
      <c r="F465" s="12"/>
      <c r="G465" s="12"/>
      <c r="H465" s="12"/>
      <c r="I465" s="12"/>
      <c r="J465" s="12"/>
      <c r="K465" s="12"/>
      <c r="L465" s="12"/>
      <c r="M465" s="12"/>
      <c r="N465" s="12"/>
      <c r="O465" s="12"/>
      <c r="P465" s="55">
        <f t="shared" si="32"/>
        <v>0</v>
      </c>
    </row>
    <row r="466" spans="1:16" ht="15" customHeight="1" x14ac:dyDescent="0.25">
      <c r="A466" s="552"/>
      <c r="B466" s="559"/>
      <c r="C466" s="110">
        <v>14</v>
      </c>
      <c r="D466" s="12"/>
      <c r="E466" s="12"/>
      <c r="F466" s="12"/>
      <c r="G466" s="12"/>
      <c r="H466" s="12"/>
      <c r="I466" s="12"/>
      <c r="J466" s="12"/>
      <c r="K466" s="12"/>
      <c r="L466" s="12"/>
      <c r="M466" s="12"/>
      <c r="N466" s="12"/>
      <c r="O466" s="12"/>
      <c r="P466" s="55">
        <f t="shared" si="32"/>
        <v>0</v>
      </c>
    </row>
    <row r="467" spans="1:16" ht="15" customHeight="1" x14ac:dyDescent="0.25">
      <c r="A467" s="552"/>
      <c r="B467" s="559"/>
      <c r="C467" s="110">
        <v>15</v>
      </c>
      <c r="D467" s="12"/>
      <c r="E467" s="12"/>
      <c r="F467" s="12"/>
      <c r="G467" s="12"/>
      <c r="H467" s="12"/>
      <c r="I467" s="12"/>
      <c r="J467" s="12"/>
      <c r="K467" s="12"/>
      <c r="L467" s="12"/>
      <c r="M467" s="12"/>
      <c r="N467" s="12"/>
      <c r="O467" s="12"/>
      <c r="P467" s="55">
        <f t="shared" si="32"/>
        <v>0</v>
      </c>
    </row>
    <row r="468" spans="1:16" ht="15" customHeight="1" x14ac:dyDescent="0.25">
      <c r="A468" s="552"/>
      <c r="B468" s="559"/>
      <c r="C468" s="110">
        <v>16</v>
      </c>
      <c r="D468" s="12"/>
      <c r="E468" s="12"/>
      <c r="F468" s="12"/>
      <c r="G468" s="12"/>
      <c r="H468" s="12"/>
      <c r="I468" s="12"/>
      <c r="J468" s="12"/>
      <c r="K468" s="12"/>
      <c r="L468" s="12"/>
      <c r="M468" s="12"/>
      <c r="N468" s="12"/>
      <c r="O468" s="12"/>
      <c r="P468" s="55">
        <f t="shared" si="32"/>
        <v>0</v>
      </c>
    </row>
    <row r="469" spans="1:16" ht="15" customHeight="1" x14ac:dyDescent="0.25">
      <c r="A469" s="552"/>
      <c r="B469" s="559"/>
      <c r="C469" s="110">
        <v>17</v>
      </c>
      <c r="D469" s="12"/>
      <c r="E469" s="12"/>
      <c r="F469" s="12"/>
      <c r="G469" s="12"/>
      <c r="H469" s="12"/>
      <c r="I469" s="12"/>
      <c r="J469" s="12"/>
      <c r="K469" s="12"/>
      <c r="L469" s="12"/>
      <c r="M469" s="12"/>
      <c r="N469" s="12"/>
      <c r="O469" s="12"/>
      <c r="P469" s="55">
        <f t="shared" si="32"/>
        <v>0</v>
      </c>
    </row>
    <row r="470" spans="1:16" ht="15" customHeight="1" x14ac:dyDescent="0.25">
      <c r="A470" s="552"/>
      <c r="B470" s="559"/>
      <c r="C470" s="110">
        <v>25</v>
      </c>
      <c r="D470" s="12"/>
      <c r="E470" s="12"/>
      <c r="F470" s="12"/>
      <c r="G470" s="12"/>
      <c r="H470" s="12"/>
      <c r="I470" s="12"/>
      <c r="J470" s="12"/>
      <c r="K470" s="12"/>
      <c r="L470" s="12"/>
      <c r="M470" s="12"/>
      <c r="N470" s="12"/>
      <c r="O470" s="12"/>
      <c r="P470" s="55">
        <f t="shared" si="32"/>
        <v>0</v>
      </c>
    </row>
    <row r="471" spans="1:16" ht="15" customHeight="1" x14ac:dyDescent="0.25">
      <c r="A471" s="552"/>
      <c r="B471" s="559"/>
      <c r="C471" s="110">
        <v>26</v>
      </c>
      <c r="D471" s="12"/>
      <c r="E471" s="12"/>
      <c r="F471" s="12"/>
      <c r="G471" s="12"/>
      <c r="H471" s="12"/>
      <c r="I471" s="12"/>
      <c r="J471" s="12"/>
      <c r="K471" s="12"/>
      <c r="L471" s="12"/>
      <c r="M471" s="12"/>
      <c r="N471" s="12"/>
      <c r="O471" s="12"/>
      <c r="P471" s="55">
        <f t="shared" si="32"/>
        <v>0</v>
      </c>
    </row>
    <row r="472" spans="1:16" ht="15" customHeight="1" x14ac:dyDescent="0.25">
      <c r="A472" s="553"/>
      <c r="B472" s="559"/>
      <c r="C472" s="110">
        <v>27</v>
      </c>
      <c r="D472" s="12"/>
      <c r="E472" s="12"/>
      <c r="F472" s="12"/>
      <c r="G472" s="12"/>
      <c r="H472" s="12"/>
      <c r="I472" s="12"/>
      <c r="J472" s="12"/>
      <c r="K472" s="12"/>
      <c r="L472" s="12"/>
      <c r="M472" s="12"/>
      <c r="N472" s="12"/>
      <c r="O472" s="12"/>
      <c r="P472" s="55">
        <f t="shared" si="32"/>
        <v>0</v>
      </c>
    </row>
    <row r="473" spans="1:16" ht="15" customHeight="1" x14ac:dyDescent="0.25">
      <c r="A473" s="551">
        <v>249</v>
      </c>
      <c r="B473" s="558" t="s">
        <v>88</v>
      </c>
      <c r="C473" s="110">
        <v>11</v>
      </c>
      <c r="D473" s="12">
        <v>18590</v>
      </c>
      <c r="E473" s="12">
        <v>15480</v>
      </c>
      <c r="F473" s="12"/>
      <c r="G473" s="12"/>
      <c r="H473" s="12">
        <v>39125</v>
      </c>
      <c r="I473" s="12">
        <v>20000</v>
      </c>
      <c r="J473" s="12"/>
      <c r="K473" s="12">
        <v>38910</v>
      </c>
      <c r="L473" s="12"/>
      <c r="M473" s="12">
        <v>18590</v>
      </c>
      <c r="N473" s="12"/>
      <c r="O473" s="12"/>
      <c r="P473" s="55">
        <f t="shared" si="32"/>
        <v>150695</v>
      </c>
    </row>
    <row r="474" spans="1:16" ht="15" customHeight="1" x14ac:dyDescent="0.25">
      <c r="A474" s="552"/>
      <c r="B474" s="559"/>
      <c r="C474" s="110">
        <v>12</v>
      </c>
      <c r="D474" s="12"/>
      <c r="E474" s="12"/>
      <c r="F474" s="12"/>
      <c r="G474" s="12"/>
      <c r="H474" s="12"/>
      <c r="I474" s="12"/>
      <c r="J474" s="12"/>
      <c r="K474" s="12"/>
      <c r="L474" s="12"/>
      <c r="M474" s="12"/>
      <c r="N474" s="12"/>
      <c r="O474" s="12"/>
      <c r="P474" s="55">
        <f t="shared" si="32"/>
        <v>0</v>
      </c>
    </row>
    <row r="475" spans="1:16" ht="15" customHeight="1" x14ac:dyDescent="0.25">
      <c r="A475" s="552"/>
      <c r="B475" s="559"/>
      <c r="C475" s="110">
        <v>13</v>
      </c>
      <c r="D475" s="12"/>
      <c r="E475" s="12"/>
      <c r="F475" s="12"/>
      <c r="G475" s="12"/>
      <c r="H475" s="12"/>
      <c r="I475" s="12"/>
      <c r="J475" s="12"/>
      <c r="K475" s="12"/>
      <c r="L475" s="12"/>
      <c r="M475" s="12"/>
      <c r="N475" s="12"/>
      <c r="O475" s="12"/>
      <c r="P475" s="55">
        <f t="shared" si="32"/>
        <v>0</v>
      </c>
    </row>
    <row r="476" spans="1:16" ht="15" customHeight="1" x14ac:dyDescent="0.25">
      <c r="A476" s="552"/>
      <c r="B476" s="559"/>
      <c r="C476" s="110">
        <v>14</v>
      </c>
      <c r="D476" s="12"/>
      <c r="E476" s="12"/>
      <c r="F476" s="12"/>
      <c r="G476" s="12"/>
      <c r="H476" s="12"/>
      <c r="I476" s="12"/>
      <c r="J476" s="12"/>
      <c r="K476" s="12"/>
      <c r="L476" s="12"/>
      <c r="M476" s="12"/>
      <c r="N476" s="12"/>
      <c r="O476" s="12"/>
      <c r="P476" s="55">
        <f t="shared" si="32"/>
        <v>0</v>
      </c>
    </row>
    <row r="477" spans="1:16" ht="15" customHeight="1" x14ac:dyDescent="0.25">
      <c r="A477" s="552"/>
      <c r="B477" s="559"/>
      <c r="C477" s="110">
        <v>15</v>
      </c>
      <c r="D477" s="12">
        <v>23241</v>
      </c>
      <c r="E477" s="12">
        <v>62505</v>
      </c>
      <c r="F477" s="12">
        <v>34020</v>
      </c>
      <c r="G477" s="12">
        <v>31638</v>
      </c>
      <c r="H477" s="12">
        <v>44068</v>
      </c>
      <c r="I477" s="12">
        <v>34653</v>
      </c>
      <c r="J477" s="12">
        <v>51253</v>
      </c>
      <c r="K477" s="12">
        <v>29546</v>
      </c>
      <c r="L477" s="12">
        <v>39752</v>
      </c>
      <c r="M477" s="12">
        <v>50452</v>
      </c>
      <c r="N477" s="12">
        <v>50850</v>
      </c>
      <c r="O477" s="12">
        <v>55148</v>
      </c>
      <c r="P477" s="55">
        <f t="shared" si="32"/>
        <v>507126</v>
      </c>
    </row>
    <row r="478" spans="1:16" ht="15" customHeight="1" x14ac:dyDescent="0.25">
      <c r="A478" s="552"/>
      <c r="B478" s="559"/>
      <c r="C478" s="110">
        <v>16</v>
      </c>
      <c r="D478" s="12"/>
      <c r="E478" s="12"/>
      <c r="F478" s="12"/>
      <c r="G478" s="12"/>
      <c r="H478" s="12"/>
      <c r="I478" s="12"/>
      <c r="J478" s="12"/>
      <c r="K478" s="12"/>
      <c r="L478" s="12"/>
      <c r="M478" s="12"/>
      <c r="N478" s="12"/>
      <c r="O478" s="12"/>
      <c r="P478" s="55">
        <f t="shared" si="32"/>
        <v>0</v>
      </c>
    </row>
    <row r="479" spans="1:16" ht="15" customHeight="1" x14ac:dyDescent="0.25">
      <c r="A479" s="552"/>
      <c r="B479" s="559"/>
      <c r="C479" s="110">
        <v>17</v>
      </c>
      <c r="D479" s="12"/>
      <c r="E479" s="12"/>
      <c r="F479" s="12"/>
      <c r="G479" s="12"/>
      <c r="H479" s="12"/>
      <c r="I479" s="12"/>
      <c r="J479" s="12"/>
      <c r="K479" s="12"/>
      <c r="L479" s="12"/>
      <c r="M479" s="12"/>
      <c r="N479" s="12"/>
      <c r="O479" s="12"/>
      <c r="P479" s="55">
        <f t="shared" si="32"/>
        <v>0</v>
      </c>
    </row>
    <row r="480" spans="1:16" ht="15" customHeight="1" x14ac:dyDescent="0.25">
      <c r="A480" s="552"/>
      <c r="B480" s="559"/>
      <c r="C480" s="110">
        <v>25</v>
      </c>
      <c r="D480" s="12"/>
      <c r="E480" s="12"/>
      <c r="F480" s="12"/>
      <c r="G480" s="12"/>
      <c r="H480" s="12"/>
      <c r="I480" s="12"/>
      <c r="J480" s="12"/>
      <c r="K480" s="12"/>
      <c r="L480" s="12"/>
      <c r="M480" s="12"/>
      <c r="N480" s="12"/>
      <c r="O480" s="12"/>
      <c r="P480" s="55">
        <f t="shared" si="32"/>
        <v>0</v>
      </c>
    </row>
    <row r="481" spans="1:16" ht="15" customHeight="1" x14ac:dyDescent="0.25">
      <c r="A481" s="552"/>
      <c r="B481" s="559"/>
      <c r="C481" s="110">
        <v>26</v>
      </c>
      <c r="D481" s="12"/>
      <c r="E481" s="12"/>
      <c r="F481" s="12"/>
      <c r="G481" s="12"/>
      <c r="H481" s="12"/>
      <c r="I481" s="12"/>
      <c r="J481" s="12"/>
      <c r="K481" s="12"/>
      <c r="L481" s="12"/>
      <c r="M481" s="12"/>
      <c r="N481" s="12"/>
      <c r="O481" s="12"/>
      <c r="P481" s="55">
        <f t="shared" si="32"/>
        <v>0</v>
      </c>
    </row>
    <row r="482" spans="1:16" ht="15" customHeight="1" x14ac:dyDescent="0.25">
      <c r="A482" s="553"/>
      <c r="B482" s="559"/>
      <c r="C482" s="110">
        <v>27</v>
      </c>
      <c r="D482" s="12"/>
      <c r="E482" s="12"/>
      <c r="F482" s="12"/>
      <c r="G482" s="12"/>
      <c r="H482" s="12"/>
      <c r="I482" s="12"/>
      <c r="J482" s="12"/>
      <c r="K482" s="12"/>
      <c r="L482" s="12"/>
      <c r="M482" s="12"/>
      <c r="N482" s="12"/>
      <c r="O482" s="12"/>
      <c r="P482" s="55">
        <f t="shared" si="32"/>
        <v>0</v>
      </c>
    </row>
    <row r="483" spans="1:16" x14ac:dyDescent="0.25">
      <c r="A483" s="74">
        <v>2500</v>
      </c>
      <c r="B483" s="305" t="s">
        <v>2288</v>
      </c>
      <c r="C483" s="306"/>
      <c r="D483" s="72">
        <f>SUM(D484:D553)</f>
        <v>112075</v>
      </c>
      <c r="E483" s="72">
        <f t="shared" ref="E483:O483" si="33">SUM(E484:E553)</f>
        <v>107599</v>
      </c>
      <c r="F483" s="72">
        <f t="shared" si="33"/>
        <v>83321</v>
      </c>
      <c r="G483" s="72">
        <f t="shared" si="33"/>
        <v>91069</v>
      </c>
      <c r="H483" s="72">
        <f t="shared" si="33"/>
        <v>99431</v>
      </c>
      <c r="I483" s="72">
        <f t="shared" si="33"/>
        <v>44379</v>
      </c>
      <c r="J483" s="72">
        <f t="shared" si="33"/>
        <v>84202</v>
      </c>
      <c r="K483" s="72">
        <f t="shared" si="33"/>
        <v>84252</v>
      </c>
      <c r="L483" s="72">
        <f t="shared" si="33"/>
        <v>54175</v>
      </c>
      <c r="M483" s="72">
        <f t="shared" si="33"/>
        <v>114234</v>
      </c>
      <c r="N483" s="72">
        <f t="shared" si="33"/>
        <v>40718</v>
      </c>
      <c r="O483" s="72">
        <f t="shared" si="33"/>
        <v>68898</v>
      </c>
      <c r="P483" s="72">
        <f>SUM(P484:P553)</f>
        <v>984353</v>
      </c>
    </row>
    <row r="484" spans="1:16" ht="15" customHeight="1" x14ac:dyDescent="0.25">
      <c r="A484" s="551">
        <v>251</v>
      </c>
      <c r="B484" s="558" t="s">
        <v>90</v>
      </c>
      <c r="C484" s="110">
        <v>11</v>
      </c>
      <c r="D484" s="12"/>
      <c r="E484" s="12"/>
      <c r="F484" s="12"/>
      <c r="G484" s="12"/>
      <c r="H484" s="12"/>
      <c r="I484" s="12"/>
      <c r="J484" s="12"/>
      <c r="K484" s="12"/>
      <c r="L484" s="12"/>
      <c r="M484" s="12"/>
      <c r="N484" s="12"/>
      <c r="O484" s="12"/>
      <c r="P484" s="55">
        <f>SUM(D484:O484)</f>
        <v>0</v>
      </c>
    </row>
    <row r="485" spans="1:16" ht="15" customHeight="1" x14ac:dyDescent="0.25">
      <c r="A485" s="552"/>
      <c r="B485" s="559"/>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2"/>
      <c r="B486" s="559"/>
      <c r="C486" s="110">
        <v>13</v>
      </c>
      <c r="D486" s="12"/>
      <c r="E486" s="12"/>
      <c r="F486" s="12"/>
      <c r="G486" s="12"/>
      <c r="H486" s="12"/>
      <c r="I486" s="12"/>
      <c r="J486" s="12"/>
      <c r="K486" s="12"/>
      <c r="L486" s="12"/>
      <c r="M486" s="12"/>
      <c r="N486" s="12"/>
      <c r="O486" s="12"/>
      <c r="P486" s="55">
        <f t="shared" si="34"/>
        <v>0</v>
      </c>
    </row>
    <row r="487" spans="1:16" ht="15" customHeight="1" x14ac:dyDescent="0.25">
      <c r="A487" s="552"/>
      <c r="B487" s="559"/>
      <c r="C487" s="110">
        <v>14</v>
      </c>
      <c r="D487" s="12"/>
      <c r="E487" s="12"/>
      <c r="F487" s="12"/>
      <c r="G487" s="12"/>
      <c r="H487" s="12"/>
      <c r="I487" s="12"/>
      <c r="J487" s="12"/>
      <c r="K487" s="12"/>
      <c r="L487" s="12"/>
      <c r="M487" s="12"/>
      <c r="N487" s="12"/>
      <c r="O487" s="12"/>
      <c r="P487" s="55">
        <f t="shared" si="34"/>
        <v>0</v>
      </c>
    </row>
    <row r="488" spans="1:16" ht="15" customHeight="1" x14ac:dyDescent="0.25">
      <c r="A488" s="552"/>
      <c r="B488" s="559"/>
      <c r="C488" s="110">
        <v>15</v>
      </c>
      <c r="D488" s="12"/>
      <c r="E488" s="12"/>
      <c r="F488" s="12"/>
      <c r="G488" s="12"/>
      <c r="H488" s="12"/>
      <c r="I488" s="12"/>
      <c r="J488" s="12"/>
      <c r="K488" s="12"/>
      <c r="L488" s="12"/>
      <c r="M488" s="12"/>
      <c r="N488" s="12"/>
      <c r="O488" s="12"/>
      <c r="P488" s="55">
        <f t="shared" si="34"/>
        <v>0</v>
      </c>
    </row>
    <row r="489" spans="1:16" ht="15" customHeight="1" x14ac:dyDescent="0.25">
      <c r="A489" s="552"/>
      <c r="B489" s="559"/>
      <c r="C489" s="110">
        <v>16</v>
      </c>
      <c r="D489" s="12"/>
      <c r="E489" s="12"/>
      <c r="F489" s="12"/>
      <c r="G489" s="12"/>
      <c r="H489" s="12"/>
      <c r="I489" s="12"/>
      <c r="J489" s="12"/>
      <c r="K489" s="12"/>
      <c r="L489" s="12"/>
      <c r="M489" s="12"/>
      <c r="N489" s="12"/>
      <c r="O489" s="12"/>
      <c r="P489" s="55">
        <f t="shared" si="34"/>
        <v>0</v>
      </c>
    </row>
    <row r="490" spans="1:16" ht="15" customHeight="1" x14ac:dyDescent="0.25">
      <c r="A490" s="552"/>
      <c r="B490" s="559"/>
      <c r="C490" s="110">
        <v>17</v>
      </c>
      <c r="D490" s="12"/>
      <c r="E490" s="12"/>
      <c r="F490" s="12"/>
      <c r="G490" s="12"/>
      <c r="H490" s="12"/>
      <c r="I490" s="12"/>
      <c r="J490" s="12"/>
      <c r="K490" s="12"/>
      <c r="L490" s="12"/>
      <c r="M490" s="12"/>
      <c r="N490" s="12"/>
      <c r="O490" s="12"/>
      <c r="P490" s="55">
        <f t="shared" si="34"/>
        <v>0</v>
      </c>
    </row>
    <row r="491" spans="1:16" ht="15" customHeight="1" x14ac:dyDescent="0.25">
      <c r="A491" s="552"/>
      <c r="B491" s="559"/>
      <c r="C491" s="110">
        <v>25</v>
      </c>
      <c r="D491" s="12"/>
      <c r="E491" s="12"/>
      <c r="F491" s="12"/>
      <c r="G491" s="12"/>
      <c r="H491" s="12"/>
      <c r="I491" s="12"/>
      <c r="J491" s="12"/>
      <c r="K491" s="12"/>
      <c r="L491" s="12"/>
      <c r="M491" s="12"/>
      <c r="N491" s="12"/>
      <c r="O491" s="12"/>
      <c r="P491" s="55">
        <f t="shared" si="34"/>
        <v>0</v>
      </c>
    </row>
    <row r="492" spans="1:16" ht="15" customHeight="1" x14ac:dyDescent="0.25">
      <c r="A492" s="552"/>
      <c r="B492" s="559"/>
      <c r="C492" s="110">
        <v>26</v>
      </c>
      <c r="D492" s="12"/>
      <c r="E492" s="12"/>
      <c r="F492" s="12"/>
      <c r="G492" s="12"/>
      <c r="H492" s="12"/>
      <c r="I492" s="12"/>
      <c r="J492" s="12"/>
      <c r="K492" s="12"/>
      <c r="L492" s="12"/>
      <c r="M492" s="12"/>
      <c r="N492" s="12"/>
      <c r="O492" s="12"/>
      <c r="P492" s="55">
        <f t="shared" si="34"/>
        <v>0</v>
      </c>
    </row>
    <row r="493" spans="1:16" ht="15" customHeight="1" x14ac:dyDescent="0.25">
      <c r="A493" s="553"/>
      <c r="B493" s="559"/>
      <c r="C493" s="110">
        <v>27</v>
      </c>
      <c r="D493" s="12"/>
      <c r="E493" s="12"/>
      <c r="F493" s="12"/>
      <c r="G493" s="12"/>
      <c r="H493" s="12"/>
      <c r="I493" s="12"/>
      <c r="J493" s="12"/>
      <c r="K493" s="12"/>
      <c r="L493" s="12"/>
      <c r="M493" s="12"/>
      <c r="N493" s="12"/>
      <c r="O493" s="12"/>
      <c r="P493" s="55">
        <f t="shared" si="34"/>
        <v>0</v>
      </c>
    </row>
    <row r="494" spans="1:16" ht="15" customHeight="1" x14ac:dyDescent="0.25">
      <c r="A494" s="551">
        <v>252</v>
      </c>
      <c r="B494" s="558" t="s">
        <v>91</v>
      </c>
      <c r="C494" s="110">
        <v>11</v>
      </c>
      <c r="D494" s="12">
        <v>9850</v>
      </c>
      <c r="E494" s="12"/>
      <c r="F494" s="12"/>
      <c r="G494" s="12"/>
      <c r="H494" s="12"/>
      <c r="I494" s="12"/>
      <c r="J494" s="12"/>
      <c r="K494" s="12"/>
      <c r="L494" s="12"/>
      <c r="M494" s="12">
        <v>7850</v>
      </c>
      <c r="N494" s="12"/>
      <c r="O494" s="12"/>
      <c r="P494" s="55">
        <f t="shared" si="34"/>
        <v>17700</v>
      </c>
    </row>
    <row r="495" spans="1:16" ht="15" customHeight="1" x14ac:dyDescent="0.25">
      <c r="A495" s="552"/>
      <c r="B495" s="559"/>
      <c r="C495" s="110">
        <v>12</v>
      </c>
      <c r="D495" s="12"/>
      <c r="E495" s="12"/>
      <c r="F495" s="12"/>
      <c r="G495" s="12"/>
      <c r="H495" s="12"/>
      <c r="I495" s="12"/>
      <c r="J495" s="12"/>
      <c r="K495" s="12"/>
      <c r="L495" s="12"/>
      <c r="M495" s="12"/>
      <c r="N495" s="12"/>
      <c r="O495" s="12"/>
      <c r="P495" s="55">
        <f t="shared" si="34"/>
        <v>0</v>
      </c>
    </row>
    <row r="496" spans="1:16" ht="15" customHeight="1" x14ac:dyDescent="0.25">
      <c r="A496" s="552"/>
      <c r="B496" s="559"/>
      <c r="C496" s="110">
        <v>13</v>
      </c>
      <c r="D496" s="12"/>
      <c r="E496" s="12"/>
      <c r="F496" s="12"/>
      <c r="G496" s="12"/>
      <c r="H496" s="12"/>
      <c r="I496" s="12"/>
      <c r="J496" s="12"/>
      <c r="K496" s="12"/>
      <c r="L496" s="12"/>
      <c r="M496" s="12"/>
      <c r="N496" s="12"/>
      <c r="O496" s="12"/>
      <c r="P496" s="55">
        <f t="shared" si="34"/>
        <v>0</v>
      </c>
    </row>
    <row r="497" spans="1:16" ht="15" customHeight="1" x14ac:dyDescent="0.25">
      <c r="A497" s="552"/>
      <c r="B497" s="559"/>
      <c r="C497" s="110">
        <v>14</v>
      </c>
      <c r="D497" s="12"/>
      <c r="E497" s="12"/>
      <c r="F497" s="12"/>
      <c r="G497" s="12"/>
      <c r="H497" s="12"/>
      <c r="I497" s="12"/>
      <c r="J497" s="12"/>
      <c r="K497" s="12"/>
      <c r="L497" s="12"/>
      <c r="M497" s="12"/>
      <c r="N497" s="12"/>
      <c r="O497" s="12"/>
      <c r="P497" s="55">
        <f t="shared" si="34"/>
        <v>0</v>
      </c>
    </row>
    <row r="498" spans="1:16" ht="15" customHeight="1" x14ac:dyDescent="0.25">
      <c r="A498" s="552"/>
      <c r="B498" s="559"/>
      <c r="C498" s="110">
        <v>15</v>
      </c>
      <c r="D498" s="12"/>
      <c r="E498" s="12"/>
      <c r="F498" s="12"/>
      <c r="G498" s="12"/>
      <c r="H498" s="12">
        <v>25450</v>
      </c>
      <c r="I498" s="12"/>
      <c r="J498" s="12"/>
      <c r="K498" s="12">
        <v>13570</v>
      </c>
      <c r="L498" s="12"/>
      <c r="M498" s="12"/>
      <c r="N498" s="12"/>
      <c r="O498" s="12">
        <v>15690</v>
      </c>
      <c r="P498" s="55">
        <f t="shared" si="34"/>
        <v>54710</v>
      </c>
    </row>
    <row r="499" spans="1:16" ht="15" customHeight="1" x14ac:dyDescent="0.25">
      <c r="A499" s="552"/>
      <c r="B499" s="559"/>
      <c r="C499" s="110">
        <v>16</v>
      </c>
      <c r="D499" s="12"/>
      <c r="E499" s="12"/>
      <c r="F499" s="12"/>
      <c r="G499" s="12"/>
      <c r="H499" s="12"/>
      <c r="I499" s="12"/>
      <c r="J499" s="12"/>
      <c r="K499" s="12"/>
      <c r="L499" s="12"/>
      <c r="M499" s="12"/>
      <c r="N499" s="12"/>
      <c r="O499" s="12"/>
      <c r="P499" s="55">
        <f t="shared" si="34"/>
        <v>0</v>
      </c>
    </row>
    <row r="500" spans="1:16" ht="15" customHeight="1" x14ac:dyDescent="0.25">
      <c r="A500" s="552"/>
      <c r="B500" s="559"/>
      <c r="C500" s="110">
        <v>17</v>
      </c>
      <c r="D500" s="12"/>
      <c r="E500" s="12"/>
      <c r="F500" s="12"/>
      <c r="G500" s="12"/>
      <c r="H500" s="12"/>
      <c r="I500" s="12"/>
      <c r="J500" s="12"/>
      <c r="K500" s="12"/>
      <c r="L500" s="12"/>
      <c r="M500" s="12"/>
      <c r="N500" s="12"/>
      <c r="O500" s="12"/>
      <c r="P500" s="55">
        <f t="shared" si="34"/>
        <v>0</v>
      </c>
    </row>
    <row r="501" spans="1:16" ht="15" customHeight="1" x14ac:dyDescent="0.25">
      <c r="A501" s="552"/>
      <c r="B501" s="559"/>
      <c r="C501" s="110">
        <v>25</v>
      </c>
      <c r="D501" s="12"/>
      <c r="E501" s="12"/>
      <c r="F501" s="12"/>
      <c r="G501" s="12"/>
      <c r="H501" s="12"/>
      <c r="I501" s="12"/>
      <c r="J501" s="12"/>
      <c r="K501" s="12"/>
      <c r="L501" s="12"/>
      <c r="M501" s="12"/>
      <c r="N501" s="12"/>
      <c r="O501" s="12"/>
      <c r="P501" s="55">
        <f t="shared" si="34"/>
        <v>0</v>
      </c>
    </row>
    <row r="502" spans="1:16" ht="15" customHeight="1" x14ac:dyDescent="0.25">
      <c r="A502" s="552"/>
      <c r="B502" s="559"/>
      <c r="C502" s="110">
        <v>26</v>
      </c>
      <c r="D502" s="12"/>
      <c r="E502" s="12"/>
      <c r="F502" s="12"/>
      <c r="G502" s="12"/>
      <c r="H502" s="12"/>
      <c r="I502" s="12"/>
      <c r="J502" s="12"/>
      <c r="K502" s="12"/>
      <c r="L502" s="12"/>
      <c r="M502" s="12"/>
      <c r="N502" s="12"/>
      <c r="O502" s="12"/>
      <c r="P502" s="55">
        <f t="shared" si="34"/>
        <v>0</v>
      </c>
    </row>
    <row r="503" spans="1:16" ht="15" customHeight="1" x14ac:dyDescent="0.25">
      <c r="A503" s="553"/>
      <c r="B503" s="559"/>
      <c r="C503" s="110">
        <v>27</v>
      </c>
      <c r="D503" s="12"/>
      <c r="E503" s="12"/>
      <c r="F503" s="12"/>
      <c r="G503" s="12"/>
      <c r="H503" s="12"/>
      <c r="I503" s="12"/>
      <c r="J503" s="12"/>
      <c r="K503" s="12"/>
      <c r="L503" s="12"/>
      <c r="M503" s="12"/>
      <c r="N503" s="12"/>
      <c r="O503" s="12"/>
      <c r="P503" s="55">
        <f t="shared" si="34"/>
        <v>0</v>
      </c>
    </row>
    <row r="504" spans="1:16" ht="15" customHeight="1" x14ac:dyDescent="0.25">
      <c r="A504" s="551">
        <v>253</v>
      </c>
      <c r="B504" s="558" t="s">
        <v>92</v>
      </c>
      <c r="C504" s="110">
        <v>11</v>
      </c>
      <c r="D504" s="12">
        <v>25890</v>
      </c>
      <c r="E504" s="12"/>
      <c r="F504" s="12">
        <v>25690</v>
      </c>
      <c r="G504" s="12"/>
      <c r="H504" s="12"/>
      <c r="I504" s="12"/>
      <c r="J504" s="12"/>
      <c r="K504" s="12">
        <v>35000</v>
      </c>
      <c r="L504" s="12"/>
      <c r="M504" s="12"/>
      <c r="N504" s="12"/>
      <c r="O504" s="12"/>
      <c r="P504" s="55">
        <f t="shared" si="34"/>
        <v>86580</v>
      </c>
    </row>
    <row r="505" spans="1:16" ht="15" customHeight="1" x14ac:dyDescent="0.25">
      <c r="A505" s="552"/>
      <c r="B505" s="559"/>
      <c r="C505" s="110">
        <v>12</v>
      </c>
      <c r="D505" s="12"/>
      <c r="E505" s="12"/>
      <c r="F505" s="12"/>
      <c r="G505" s="12"/>
      <c r="H505" s="12"/>
      <c r="I505" s="12"/>
      <c r="J505" s="12"/>
      <c r="K505" s="12"/>
      <c r="L505" s="12"/>
      <c r="M505" s="12"/>
      <c r="N505" s="12"/>
      <c r="O505" s="12"/>
      <c r="P505" s="55">
        <f t="shared" si="34"/>
        <v>0</v>
      </c>
    </row>
    <row r="506" spans="1:16" ht="15" customHeight="1" x14ac:dyDescent="0.25">
      <c r="A506" s="552"/>
      <c r="B506" s="559"/>
      <c r="C506" s="110">
        <v>13</v>
      </c>
      <c r="D506" s="12"/>
      <c r="E506" s="12"/>
      <c r="F506" s="12"/>
      <c r="G506" s="12"/>
      <c r="H506" s="12"/>
      <c r="I506" s="12"/>
      <c r="J506" s="12"/>
      <c r="K506" s="12"/>
      <c r="L506" s="12"/>
      <c r="M506" s="12"/>
      <c r="N506" s="12"/>
      <c r="O506" s="12"/>
      <c r="P506" s="55">
        <f t="shared" si="34"/>
        <v>0</v>
      </c>
    </row>
    <row r="507" spans="1:16" ht="15" customHeight="1" x14ac:dyDescent="0.25">
      <c r="A507" s="552"/>
      <c r="B507" s="559"/>
      <c r="C507" s="110">
        <v>14</v>
      </c>
      <c r="D507" s="12"/>
      <c r="E507" s="12"/>
      <c r="F507" s="12"/>
      <c r="G507" s="12"/>
      <c r="H507" s="12"/>
      <c r="I507" s="12"/>
      <c r="J507" s="12"/>
      <c r="K507" s="12"/>
      <c r="L507" s="12"/>
      <c r="M507" s="12"/>
      <c r="N507" s="12"/>
      <c r="O507" s="12"/>
      <c r="P507" s="55">
        <f t="shared" si="34"/>
        <v>0</v>
      </c>
    </row>
    <row r="508" spans="1:16" ht="15" customHeight="1" x14ac:dyDescent="0.25">
      <c r="A508" s="552"/>
      <c r="B508" s="559"/>
      <c r="C508" s="110">
        <v>15</v>
      </c>
      <c r="D508" s="12">
        <v>28560</v>
      </c>
      <c r="E508" s="12">
        <v>69711</v>
      </c>
      <c r="F508" s="12">
        <v>45482</v>
      </c>
      <c r="G508" s="12">
        <v>53973</v>
      </c>
      <c r="H508" s="12">
        <v>36456</v>
      </c>
      <c r="I508" s="12">
        <v>42551</v>
      </c>
      <c r="J508" s="12">
        <v>53184</v>
      </c>
      <c r="K508" s="12">
        <v>31120</v>
      </c>
      <c r="L508" s="12">
        <v>42579</v>
      </c>
      <c r="M508" s="12">
        <v>57742</v>
      </c>
      <c r="N508" s="12">
        <v>40718</v>
      </c>
      <c r="O508" s="12">
        <v>40363</v>
      </c>
      <c r="P508" s="55">
        <f t="shared" si="34"/>
        <v>542439</v>
      </c>
    </row>
    <row r="509" spans="1:16" ht="15" customHeight="1" x14ac:dyDescent="0.25">
      <c r="A509" s="552"/>
      <c r="B509" s="559"/>
      <c r="C509" s="110">
        <v>16</v>
      </c>
      <c r="D509" s="12"/>
      <c r="E509" s="12"/>
      <c r="F509" s="12"/>
      <c r="G509" s="12"/>
      <c r="H509" s="12"/>
      <c r="I509" s="12"/>
      <c r="J509" s="12"/>
      <c r="K509" s="12"/>
      <c r="L509" s="12"/>
      <c r="M509" s="12"/>
      <c r="N509" s="12"/>
      <c r="O509" s="12"/>
      <c r="P509" s="55">
        <f t="shared" si="34"/>
        <v>0</v>
      </c>
    </row>
    <row r="510" spans="1:16" ht="15" customHeight="1" x14ac:dyDescent="0.25">
      <c r="A510" s="552"/>
      <c r="B510" s="559"/>
      <c r="C510" s="110">
        <v>17</v>
      </c>
      <c r="D510" s="12"/>
      <c r="E510" s="12"/>
      <c r="F510" s="12"/>
      <c r="G510" s="12"/>
      <c r="H510" s="12"/>
      <c r="I510" s="12"/>
      <c r="J510" s="12"/>
      <c r="K510" s="12"/>
      <c r="L510" s="12"/>
      <c r="M510" s="12"/>
      <c r="N510" s="12"/>
      <c r="O510" s="12"/>
      <c r="P510" s="55">
        <f t="shared" si="34"/>
        <v>0</v>
      </c>
    </row>
    <row r="511" spans="1:16" ht="15" customHeight="1" x14ac:dyDescent="0.25">
      <c r="A511" s="552"/>
      <c r="B511" s="559"/>
      <c r="C511" s="110">
        <v>25</v>
      </c>
      <c r="D511" s="12"/>
      <c r="E511" s="12"/>
      <c r="F511" s="12"/>
      <c r="G511" s="12"/>
      <c r="H511" s="12"/>
      <c r="I511" s="12"/>
      <c r="J511" s="12"/>
      <c r="K511" s="12"/>
      <c r="L511" s="12"/>
      <c r="M511" s="12"/>
      <c r="N511" s="12"/>
      <c r="O511" s="12"/>
      <c r="P511" s="55">
        <f t="shared" si="34"/>
        <v>0</v>
      </c>
    </row>
    <row r="512" spans="1:16" ht="15" customHeight="1" x14ac:dyDescent="0.25">
      <c r="A512" s="552"/>
      <c r="B512" s="559"/>
      <c r="C512" s="110">
        <v>26</v>
      </c>
      <c r="D512" s="12"/>
      <c r="E512" s="12"/>
      <c r="F512" s="12"/>
      <c r="G512" s="12"/>
      <c r="H512" s="12"/>
      <c r="I512" s="12"/>
      <c r="J512" s="12"/>
      <c r="K512" s="12"/>
      <c r="L512" s="12"/>
      <c r="M512" s="12"/>
      <c r="N512" s="12"/>
      <c r="O512" s="12"/>
      <c r="P512" s="55">
        <f t="shared" si="34"/>
        <v>0</v>
      </c>
    </row>
    <row r="513" spans="1:16" ht="15" customHeight="1" x14ac:dyDescent="0.25">
      <c r="A513" s="553"/>
      <c r="B513" s="559"/>
      <c r="C513" s="110">
        <v>27</v>
      </c>
      <c r="D513" s="12"/>
      <c r="E513" s="12"/>
      <c r="F513" s="12"/>
      <c r="G513" s="12"/>
      <c r="H513" s="12"/>
      <c r="I513" s="12"/>
      <c r="J513" s="12"/>
      <c r="K513" s="12"/>
      <c r="L513" s="12"/>
      <c r="M513" s="12"/>
      <c r="N513" s="12"/>
      <c r="O513" s="12"/>
      <c r="P513" s="55">
        <f t="shared" si="34"/>
        <v>0</v>
      </c>
    </row>
    <row r="514" spans="1:16" ht="15" customHeight="1" x14ac:dyDescent="0.25">
      <c r="A514" s="551">
        <v>254</v>
      </c>
      <c r="B514" s="558" t="s">
        <v>93</v>
      </c>
      <c r="C514" s="110">
        <v>11</v>
      </c>
      <c r="D514" s="12"/>
      <c r="E514" s="12">
        <v>19210</v>
      </c>
      <c r="F514" s="12"/>
      <c r="G514" s="12"/>
      <c r="H514" s="12"/>
      <c r="I514" s="12"/>
      <c r="J514" s="12">
        <v>19765</v>
      </c>
      <c r="K514" s="12"/>
      <c r="L514" s="12"/>
      <c r="M514" s="12"/>
      <c r="N514" s="12"/>
      <c r="O514" s="12"/>
      <c r="P514" s="55">
        <f t="shared" si="34"/>
        <v>38975</v>
      </c>
    </row>
    <row r="515" spans="1:16" ht="15" customHeight="1" x14ac:dyDescent="0.25">
      <c r="A515" s="552"/>
      <c r="B515" s="559"/>
      <c r="C515" s="110">
        <v>12</v>
      </c>
      <c r="D515" s="12"/>
      <c r="E515" s="12"/>
      <c r="F515" s="12"/>
      <c r="G515" s="12"/>
      <c r="H515" s="12"/>
      <c r="I515" s="12"/>
      <c r="J515" s="12"/>
      <c r="K515" s="12"/>
      <c r="L515" s="12"/>
      <c r="M515" s="12"/>
      <c r="N515" s="12"/>
      <c r="O515" s="12"/>
      <c r="P515" s="55">
        <f t="shared" si="34"/>
        <v>0</v>
      </c>
    </row>
    <row r="516" spans="1:16" ht="15" customHeight="1" x14ac:dyDescent="0.25">
      <c r="A516" s="552"/>
      <c r="B516" s="559"/>
      <c r="C516" s="110">
        <v>13</v>
      </c>
      <c r="D516" s="12"/>
      <c r="E516" s="12"/>
      <c r="F516" s="12"/>
      <c r="G516" s="12"/>
      <c r="H516" s="12"/>
      <c r="I516" s="12"/>
      <c r="J516" s="12"/>
      <c r="K516" s="12"/>
      <c r="L516" s="12"/>
      <c r="M516" s="12"/>
      <c r="N516" s="12"/>
      <c r="O516" s="12"/>
      <c r="P516" s="55">
        <f t="shared" si="34"/>
        <v>0</v>
      </c>
    </row>
    <row r="517" spans="1:16" ht="15" customHeight="1" x14ac:dyDescent="0.25">
      <c r="A517" s="552"/>
      <c r="B517" s="559"/>
      <c r="C517" s="110">
        <v>14</v>
      </c>
      <c r="D517" s="12"/>
      <c r="E517" s="12"/>
      <c r="F517" s="12"/>
      <c r="G517" s="12"/>
      <c r="H517" s="12"/>
      <c r="I517" s="12"/>
      <c r="J517" s="12"/>
      <c r="K517" s="12"/>
      <c r="L517" s="12"/>
      <c r="M517" s="12"/>
      <c r="N517" s="12"/>
      <c r="O517" s="12"/>
      <c r="P517" s="55">
        <f t="shared" si="34"/>
        <v>0</v>
      </c>
    </row>
    <row r="518" spans="1:16" ht="15" customHeight="1" x14ac:dyDescent="0.25">
      <c r="A518" s="552"/>
      <c r="B518" s="559"/>
      <c r="C518" s="110">
        <v>15</v>
      </c>
      <c r="D518" s="12"/>
      <c r="E518" s="12"/>
      <c r="F518" s="12"/>
      <c r="G518" s="12">
        <v>13058</v>
      </c>
      <c r="H518" s="12">
        <v>17069</v>
      </c>
      <c r="I518" s="12"/>
      <c r="J518" s="12"/>
      <c r="K518" s="12"/>
      <c r="L518" s="12"/>
      <c r="M518" s="12">
        <v>14596</v>
      </c>
      <c r="N518" s="12"/>
      <c r="O518" s="12">
        <v>11589</v>
      </c>
      <c r="P518" s="55">
        <f t="shared" si="34"/>
        <v>56312</v>
      </c>
    </row>
    <row r="519" spans="1:16" ht="15" customHeight="1" x14ac:dyDescent="0.25">
      <c r="A519" s="552"/>
      <c r="B519" s="559"/>
      <c r="C519" s="110">
        <v>16</v>
      </c>
      <c r="D519" s="12"/>
      <c r="E519" s="12"/>
      <c r="F519" s="12"/>
      <c r="G519" s="12"/>
      <c r="H519" s="12"/>
      <c r="I519" s="12"/>
      <c r="J519" s="12"/>
      <c r="K519" s="12"/>
      <c r="L519" s="12"/>
      <c r="M519" s="12"/>
      <c r="N519" s="12"/>
      <c r="O519" s="12"/>
      <c r="P519" s="55">
        <f t="shared" si="34"/>
        <v>0</v>
      </c>
    </row>
    <row r="520" spans="1:16" ht="15" customHeight="1" x14ac:dyDescent="0.25">
      <c r="A520" s="552"/>
      <c r="B520" s="559"/>
      <c r="C520" s="110">
        <v>17</v>
      </c>
      <c r="D520" s="12"/>
      <c r="E520" s="12"/>
      <c r="F520" s="12"/>
      <c r="G520" s="12"/>
      <c r="H520" s="12"/>
      <c r="I520" s="12"/>
      <c r="J520" s="12"/>
      <c r="K520" s="12"/>
      <c r="L520" s="12"/>
      <c r="M520" s="12"/>
      <c r="N520" s="12"/>
      <c r="O520" s="12"/>
      <c r="P520" s="55">
        <f t="shared" si="34"/>
        <v>0</v>
      </c>
    </row>
    <row r="521" spans="1:16" ht="15" customHeight="1" x14ac:dyDescent="0.25">
      <c r="A521" s="552"/>
      <c r="B521" s="559"/>
      <c r="C521" s="110">
        <v>25</v>
      </c>
      <c r="D521" s="12"/>
      <c r="E521" s="12"/>
      <c r="F521" s="12"/>
      <c r="G521" s="12"/>
      <c r="H521" s="12"/>
      <c r="I521" s="12"/>
      <c r="J521" s="12"/>
      <c r="K521" s="12"/>
      <c r="L521" s="12"/>
      <c r="M521" s="12"/>
      <c r="N521" s="12"/>
      <c r="O521" s="12"/>
      <c r="P521" s="55">
        <f t="shared" si="34"/>
        <v>0</v>
      </c>
    </row>
    <row r="522" spans="1:16" ht="15" customHeight="1" x14ac:dyDescent="0.25">
      <c r="A522" s="552"/>
      <c r="B522" s="559"/>
      <c r="C522" s="110">
        <v>26</v>
      </c>
      <c r="D522" s="12"/>
      <c r="E522" s="12"/>
      <c r="F522" s="12"/>
      <c r="G522" s="12"/>
      <c r="H522" s="12"/>
      <c r="I522" s="12"/>
      <c r="J522" s="12"/>
      <c r="K522" s="12"/>
      <c r="L522" s="12"/>
      <c r="M522" s="12"/>
      <c r="N522" s="12"/>
      <c r="O522" s="12"/>
      <c r="P522" s="55">
        <f t="shared" si="34"/>
        <v>0</v>
      </c>
    </row>
    <row r="523" spans="1:16" ht="15" customHeight="1" x14ac:dyDescent="0.25">
      <c r="A523" s="553"/>
      <c r="B523" s="559"/>
      <c r="C523" s="110">
        <v>27</v>
      </c>
      <c r="D523" s="12"/>
      <c r="E523" s="12"/>
      <c r="F523" s="12"/>
      <c r="G523" s="12"/>
      <c r="H523" s="12"/>
      <c r="I523" s="12"/>
      <c r="J523" s="12"/>
      <c r="K523" s="12"/>
      <c r="L523" s="12"/>
      <c r="M523" s="12"/>
      <c r="N523" s="12"/>
      <c r="O523" s="12"/>
      <c r="P523" s="55">
        <f t="shared" si="34"/>
        <v>0</v>
      </c>
    </row>
    <row r="524" spans="1:16" ht="15" customHeight="1" x14ac:dyDescent="0.25">
      <c r="A524" s="551">
        <v>255</v>
      </c>
      <c r="B524" s="558" t="s">
        <v>94</v>
      </c>
      <c r="C524" s="110">
        <v>11</v>
      </c>
      <c r="D524" s="12"/>
      <c r="E524" s="12"/>
      <c r="F524" s="12"/>
      <c r="G524" s="12"/>
      <c r="H524" s="12"/>
      <c r="I524" s="12"/>
      <c r="J524" s="12"/>
      <c r="K524" s="12"/>
      <c r="L524" s="12"/>
      <c r="M524" s="12"/>
      <c r="N524" s="12"/>
      <c r="O524" s="12"/>
      <c r="P524" s="55">
        <f t="shared" si="34"/>
        <v>0</v>
      </c>
    </row>
    <row r="525" spans="1:16" ht="15" customHeight="1" x14ac:dyDescent="0.25">
      <c r="A525" s="552"/>
      <c r="B525" s="559"/>
      <c r="C525" s="110">
        <v>12</v>
      </c>
      <c r="D525" s="12"/>
      <c r="E525" s="12"/>
      <c r="F525" s="12"/>
      <c r="G525" s="12"/>
      <c r="H525" s="12"/>
      <c r="I525" s="12"/>
      <c r="J525" s="12"/>
      <c r="K525" s="12"/>
      <c r="L525" s="12"/>
      <c r="M525" s="12"/>
      <c r="N525" s="12"/>
      <c r="O525" s="12"/>
      <c r="P525" s="55">
        <f t="shared" si="34"/>
        <v>0</v>
      </c>
    </row>
    <row r="526" spans="1:16" ht="15" customHeight="1" x14ac:dyDescent="0.25">
      <c r="A526" s="552"/>
      <c r="B526" s="559"/>
      <c r="C526" s="110">
        <v>13</v>
      </c>
      <c r="D526" s="12"/>
      <c r="E526" s="12"/>
      <c r="F526" s="12"/>
      <c r="G526" s="12"/>
      <c r="H526" s="12"/>
      <c r="I526" s="12"/>
      <c r="J526" s="12"/>
      <c r="K526" s="12"/>
      <c r="L526" s="12"/>
      <c r="M526" s="12"/>
      <c r="N526" s="12"/>
      <c r="O526" s="12"/>
      <c r="P526" s="55">
        <f t="shared" si="34"/>
        <v>0</v>
      </c>
    </row>
    <row r="527" spans="1:16" ht="15" customHeight="1" x14ac:dyDescent="0.25">
      <c r="A527" s="552"/>
      <c r="B527" s="559"/>
      <c r="C527" s="110">
        <v>14</v>
      </c>
      <c r="D527" s="12"/>
      <c r="E527" s="12"/>
      <c r="F527" s="12"/>
      <c r="G527" s="12"/>
      <c r="H527" s="12"/>
      <c r="I527" s="12"/>
      <c r="J527" s="12"/>
      <c r="K527" s="12"/>
      <c r="L527" s="12"/>
      <c r="M527" s="12"/>
      <c r="N527" s="12"/>
      <c r="O527" s="12"/>
      <c r="P527" s="55">
        <f t="shared" si="34"/>
        <v>0</v>
      </c>
    </row>
    <row r="528" spans="1:16" ht="15" customHeight="1" x14ac:dyDescent="0.25">
      <c r="A528" s="552"/>
      <c r="B528" s="559"/>
      <c r="C528" s="110">
        <v>15</v>
      </c>
      <c r="D528" s="12"/>
      <c r="E528" s="12"/>
      <c r="F528" s="12"/>
      <c r="G528" s="12"/>
      <c r="H528" s="12"/>
      <c r="I528" s="12"/>
      <c r="J528" s="12"/>
      <c r="K528" s="12"/>
      <c r="L528" s="12"/>
      <c r="M528" s="12"/>
      <c r="N528" s="12"/>
      <c r="O528" s="12"/>
      <c r="P528" s="55">
        <f t="shared" si="34"/>
        <v>0</v>
      </c>
    </row>
    <row r="529" spans="1:16" ht="15" customHeight="1" x14ac:dyDescent="0.25">
      <c r="A529" s="552"/>
      <c r="B529" s="559"/>
      <c r="C529" s="110">
        <v>16</v>
      </c>
      <c r="D529" s="12"/>
      <c r="E529" s="12"/>
      <c r="F529" s="12"/>
      <c r="G529" s="12"/>
      <c r="H529" s="12"/>
      <c r="I529" s="12"/>
      <c r="J529" s="12"/>
      <c r="K529" s="12"/>
      <c r="L529" s="12"/>
      <c r="M529" s="12"/>
      <c r="N529" s="12"/>
      <c r="O529" s="12"/>
      <c r="P529" s="55">
        <f t="shared" si="34"/>
        <v>0</v>
      </c>
    </row>
    <row r="530" spans="1:16" ht="15" customHeight="1" x14ac:dyDescent="0.25">
      <c r="A530" s="552"/>
      <c r="B530" s="559"/>
      <c r="C530" s="110">
        <v>17</v>
      </c>
      <c r="D530" s="12"/>
      <c r="E530" s="12"/>
      <c r="F530" s="12"/>
      <c r="G530" s="12"/>
      <c r="H530" s="12"/>
      <c r="I530" s="12"/>
      <c r="J530" s="12"/>
      <c r="K530" s="12"/>
      <c r="L530" s="12"/>
      <c r="M530" s="12"/>
      <c r="N530" s="12"/>
      <c r="O530" s="12"/>
      <c r="P530" s="55">
        <f t="shared" si="34"/>
        <v>0</v>
      </c>
    </row>
    <row r="531" spans="1:16" ht="15" customHeight="1" x14ac:dyDescent="0.25">
      <c r="A531" s="552"/>
      <c r="B531" s="559"/>
      <c r="C531" s="110">
        <v>25</v>
      </c>
      <c r="D531" s="12"/>
      <c r="E531" s="12"/>
      <c r="F531" s="12"/>
      <c r="G531" s="12"/>
      <c r="H531" s="12"/>
      <c r="I531" s="12"/>
      <c r="J531" s="12"/>
      <c r="K531" s="12"/>
      <c r="L531" s="12"/>
      <c r="M531" s="12"/>
      <c r="N531" s="12"/>
      <c r="O531" s="12"/>
      <c r="P531" s="55">
        <f t="shared" si="34"/>
        <v>0</v>
      </c>
    </row>
    <row r="532" spans="1:16" ht="15" customHeight="1" x14ac:dyDescent="0.25">
      <c r="A532" s="552"/>
      <c r="B532" s="559"/>
      <c r="C532" s="110">
        <v>26</v>
      </c>
      <c r="D532" s="12"/>
      <c r="E532" s="12"/>
      <c r="F532" s="12"/>
      <c r="G532" s="12"/>
      <c r="H532" s="12"/>
      <c r="I532" s="12"/>
      <c r="J532" s="12"/>
      <c r="K532" s="12"/>
      <c r="L532" s="12"/>
      <c r="M532" s="12"/>
      <c r="N532" s="12"/>
      <c r="O532" s="12"/>
      <c r="P532" s="55">
        <f t="shared" si="34"/>
        <v>0</v>
      </c>
    </row>
    <row r="533" spans="1:16" ht="15" customHeight="1" x14ac:dyDescent="0.25">
      <c r="A533" s="553"/>
      <c r="B533" s="559"/>
      <c r="C533" s="110">
        <v>27</v>
      </c>
      <c r="D533" s="12"/>
      <c r="E533" s="12"/>
      <c r="F533" s="12"/>
      <c r="G533" s="12"/>
      <c r="H533" s="12"/>
      <c r="I533" s="12"/>
      <c r="J533" s="12"/>
      <c r="K533" s="12"/>
      <c r="L533" s="12"/>
      <c r="M533" s="12"/>
      <c r="N533" s="12"/>
      <c r="O533" s="12"/>
      <c r="P533" s="55">
        <f t="shared" si="34"/>
        <v>0</v>
      </c>
    </row>
    <row r="534" spans="1:16" ht="15" customHeight="1" x14ac:dyDescent="0.25">
      <c r="A534" s="551">
        <v>256</v>
      </c>
      <c r="B534" s="558" t="s">
        <v>95</v>
      </c>
      <c r="C534" s="110">
        <v>11</v>
      </c>
      <c r="D534" s="12">
        <v>13658</v>
      </c>
      <c r="E534" s="12"/>
      <c r="F534" s="12"/>
      <c r="G534" s="12">
        <v>1950</v>
      </c>
      <c r="H534" s="12"/>
      <c r="I534" s="12"/>
      <c r="J534" s="12"/>
      <c r="K534" s="12">
        <v>4562</v>
      </c>
      <c r="L534" s="12"/>
      <c r="M534" s="12"/>
      <c r="N534" s="12"/>
      <c r="O534" s="12">
        <v>1256</v>
      </c>
      <c r="P534" s="55">
        <f t="shared" si="34"/>
        <v>21426</v>
      </c>
    </row>
    <row r="535" spans="1:16" ht="15" customHeight="1" x14ac:dyDescent="0.25">
      <c r="A535" s="552"/>
      <c r="B535" s="559"/>
      <c r="C535" s="110">
        <v>12</v>
      </c>
      <c r="D535" s="12"/>
      <c r="E535" s="12"/>
      <c r="F535" s="12"/>
      <c r="G535" s="12"/>
      <c r="H535" s="12"/>
      <c r="I535" s="12"/>
      <c r="J535" s="12"/>
      <c r="K535" s="12"/>
      <c r="L535" s="12"/>
      <c r="M535" s="12"/>
      <c r="N535" s="12"/>
      <c r="O535" s="12"/>
      <c r="P535" s="55">
        <f t="shared" si="34"/>
        <v>0</v>
      </c>
    </row>
    <row r="536" spans="1:16" ht="15" customHeight="1" x14ac:dyDescent="0.25">
      <c r="A536" s="552"/>
      <c r="B536" s="559"/>
      <c r="C536" s="110">
        <v>13</v>
      </c>
      <c r="D536" s="12"/>
      <c r="E536" s="12"/>
      <c r="F536" s="12"/>
      <c r="G536" s="12"/>
      <c r="H536" s="12"/>
      <c r="I536" s="12"/>
      <c r="J536" s="12"/>
      <c r="K536" s="12"/>
      <c r="L536" s="12"/>
      <c r="M536" s="12"/>
      <c r="N536" s="12"/>
      <c r="O536" s="12"/>
      <c r="P536" s="55">
        <f t="shared" si="34"/>
        <v>0</v>
      </c>
    </row>
    <row r="537" spans="1:16" ht="15" customHeight="1" x14ac:dyDescent="0.25">
      <c r="A537" s="552"/>
      <c r="B537" s="559"/>
      <c r="C537" s="110">
        <v>14</v>
      </c>
      <c r="D537" s="12"/>
      <c r="E537" s="12"/>
      <c r="F537" s="12"/>
      <c r="G537" s="12"/>
      <c r="H537" s="12"/>
      <c r="I537" s="12"/>
      <c r="J537" s="12"/>
      <c r="K537" s="12"/>
      <c r="L537" s="12"/>
      <c r="M537" s="12"/>
      <c r="N537" s="12"/>
      <c r="O537" s="12"/>
      <c r="P537" s="55">
        <f t="shared" si="34"/>
        <v>0</v>
      </c>
    </row>
    <row r="538" spans="1:16" ht="15" customHeight="1" x14ac:dyDescent="0.25">
      <c r="A538" s="552"/>
      <c r="B538" s="559"/>
      <c r="C538" s="110">
        <v>15</v>
      </c>
      <c r="D538" s="12">
        <v>1236</v>
      </c>
      <c r="E538" s="12">
        <v>7551</v>
      </c>
      <c r="F538" s="12">
        <v>896</v>
      </c>
      <c r="G538" s="12"/>
      <c r="H538" s="12">
        <v>20456</v>
      </c>
      <c r="I538" s="12">
        <v>1828</v>
      </c>
      <c r="J538" s="12"/>
      <c r="K538" s="12"/>
      <c r="L538" s="12"/>
      <c r="M538" s="12">
        <v>12456</v>
      </c>
      <c r="N538" s="12"/>
      <c r="O538" s="12"/>
      <c r="P538" s="55">
        <f t="shared" si="34"/>
        <v>44423</v>
      </c>
    </row>
    <row r="539" spans="1:16" ht="15" customHeight="1" x14ac:dyDescent="0.25">
      <c r="A539" s="552"/>
      <c r="B539" s="559"/>
      <c r="C539" s="110">
        <v>16</v>
      </c>
      <c r="D539" s="12"/>
      <c r="E539" s="12"/>
      <c r="F539" s="12"/>
      <c r="G539" s="12"/>
      <c r="H539" s="12"/>
      <c r="I539" s="12"/>
      <c r="J539" s="12"/>
      <c r="K539" s="12"/>
      <c r="L539" s="12"/>
      <c r="M539" s="12"/>
      <c r="N539" s="12"/>
      <c r="O539" s="12"/>
      <c r="P539" s="55">
        <f t="shared" si="34"/>
        <v>0</v>
      </c>
    </row>
    <row r="540" spans="1:16" ht="15" customHeight="1" x14ac:dyDescent="0.25">
      <c r="A540" s="552"/>
      <c r="B540" s="559"/>
      <c r="C540" s="110">
        <v>17</v>
      </c>
      <c r="D540" s="12"/>
      <c r="E540" s="12"/>
      <c r="F540" s="12"/>
      <c r="G540" s="12"/>
      <c r="H540" s="12"/>
      <c r="I540" s="12"/>
      <c r="J540" s="12"/>
      <c r="K540" s="12"/>
      <c r="L540" s="12"/>
      <c r="M540" s="12"/>
      <c r="N540" s="12"/>
      <c r="O540" s="12"/>
      <c r="P540" s="55">
        <f t="shared" si="34"/>
        <v>0</v>
      </c>
    </row>
    <row r="541" spans="1:16" ht="15" customHeight="1" x14ac:dyDescent="0.25">
      <c r="A541" s="552"/>
      <c r="B541" s="559"/>
      <c r="C541" s="110">
        <v>25</v>
      </c>
      <c r="D541" s="12"/>
      <c r="E541" s="12"/>
      <c r="F541" s="12"/>
      <c r="G541" s="12"/>
      <c r="H541" s="12"/>
      <c r="I541" s="12"/>
      <c r="J541" s="12"/>
      <c r="K541" s="12"/>
      <c r="L541" s="12"/>
      <c r="M541" s="12"/>
      <c r="N541" s="12"/>
      <c r="O541" s="12"/>
      <c r="P541" s="55">
        <f t="shared" si="34"/>
        <v>0</v>
      </c>
    </row>
    <row r="542" spans="1:16" ht="15" customHeight="1" x14ac:dyDescent="0.25">
      <c r="A542" s="552"/>
      <c r="B542" s="559"/>
      <c r="C542" s="110">
        <v>26</v>
      </c>
      <c r="D542" s="12"/>
      <c r="E542" s="12"/>
      <c r="F542" s="12"/>
      <c r="G542" s="12"/>
      <c r="H542" s="12"/>
      <c r="I542" s="12"/>
      <c r="J542" s="12"/>
      <c r="K542" s="12"/>
      <c r="L542" s="12"/>
      <c r="M542" s="12"/>
      <c r="N542" s="12"/>
      <c r="O542" s="12"/>
      <c r="P542" s="55">
        <f t="shared" si="34"/>
        <v>0</v>
      </c>
    </row>
    <row r="543" spans="1:16" ht="15" customHeight="1" x14ac:dyDescent="0.25">
      <c r="A543" s="553"/>
      <c r="B543" s="559"/>
      <c r="C543" s="110">
        <v>27</v>
      </c>
      <c r="D543" s="12"/>
      <c r="E543" s="12"/>
      <c r="F543" s="12"/>
      <c r="G543" s="12"/>
      <c r="H543" s="12"/>
      <c r="I543" s="12"/>
      <c r="J543" s="12"/>
      <c r="K543" s="12"/>
      <c r="L543" s="12"/>
      <c r="M543" s="12"/>
      <c r="N543" s="12"/>
      <c r="O543" s="12"/>
      <c r="P543" s="55">
        <f t="shared" si="34"/>
        <v>0</v>
      </c>
    </row>
    <row r="544" spans="1:16" ht="15" customHeight="1" x14ac:dyDescent="0.25">
      <c r="A544" s="551">
        <v>259</v>
      </c>
      <c r="B544" s="558" t="s">
        <v>96</v>
      </c>
      <c r="C544" s="110">
        <v>11</v>
      </c>
      <c r="D544" s="12">
        <v>21948</v>
      </c>
      <c r="E544" s="12"/>
      <c r="F544" s="12"/>
      <c r="G544" s="12"/>
      <c r="H544" s="12"/>
      <c r="I544" s="12"/>
      <c r="J544" s="12"/>
      <c r="K544" s="12"/>
      <c r="L544" s="12">
        <v>11596</v>
      </c>
      <c r="M544" s="12"/>
      <c r="N544" s="12"/>
      <c r="O544" s="12"/>
      <c r="P544" s="55">
        <f t="shared" si="34"/>
        <v>33544</v>
      </c>
    </row>
    <row r="545" spans="1:16" ht="15" customHeight="1" x14ac:dyDescent="0.25">
      <c r="A545" s="552"/>
      <c r="B545" s="559"/>
      <c r="C545" s="110">
        <v>12</v>
      </c>
      <c r="D545" s="12"/>
      <c r="E545" s="12"/>
      <c r="F545" s="12"/>
      <c r="G545" s="12"/>
      <c r="H545" s="12"/>
      <c r="I545" s="12"/>
      <c r="J545" s="12"/>
      <c r="K545" s="12"/>
      <c r="L545" s="12"/>
      <c r="M545" s="12"/>
      <c r="N545" s="12"/>
      <c r="O545" s="12"/>
      <c r="P545" s="55">
        <f t="shared" si="34"/>
        <v>0</v>
      </c>
    </row>
    <row r="546" spans="1:16" ht="15" customHeight="1" x14ac:dyDescent="0.25">
      <c r="A546" s="552"/>
      <c r="B546" s="559"/>
      <c r="C546" s="110">
        <v>13</v>
      </c>
      <c r="D546" s="12"/>
      <c r="E546" s="12"/>
      <c r="F546" s="12"/>
      <c r="G546" s="12"/>
      <c r="H546" s="12"/>
      <c r="I546" s="12"/>
      <c r="J546" s="12"/>
      <c r="K546" s="12"/>
      <c r="L546" s="12"/>
      <c r="M546" s="12"/>
      <c r="N546" s="12"/>
      <c r="O546" s="12"/>
      <c r="P546" s="55">
        <f t="shared" si="34"/>
        <v>0</v>
      </c>
    </row>
    <row r="547" spans="1:16" ht="15" customHeight="1" x14ac:dyDescent="0.25">
      <c r="A547" s="552"/>
      <c r="B547" s="559"/>
      <c r="C547" s="110">
        <v>14</v>
      </c>
      <c r="D547" s="12"/>
      <c r="E547" s="12"/>
      <c r="F547" s="12"/>
      <c r="G547" s="12"/>
      <c r="H547" s="12"/>
      <c r="I547" s="12"/>
      <c r="J547" s="12"/>
      <c r="K547" s="12"/>
      <c r="L547" s="12"/>
      <c r="M547" s="12"/>
      <c r="N547" s="12"/>
      <c r="O547" s="12"/>
      <c r="P547" s="55">
        <f t="shared" si="34"/>
        <v>0</v>
      </c>
    </row>
    <row r="548" spans="1:16" ht="15" customHeight="1" x14ac:dyDescent="0.25">
      <c r="A548" s="552"/>
      <c r="B548" s="559"/>
      <c r="C548" s="110">
        <v>15</v>
      </c>
      <c r="D548" s="12">
        <v>10933</v>
      </c>
      <c r="E548" s="12">
        <v>11127</v>
      </c>
      <c r="F548" s="12">
        <v>11253</v>
      </c>
      <c r="G548" s="12">
        <v>22088</v>
      </c>
      <c r="H548" s="12"/>
      <c r="I548" s="12"/>
      <c r="J548" s="12">
        <v>11253</v>
      </c>
      <c r="K548" s="12"/>
      <c r="L548" s="12"/>
      <c r="M548" s="12">
        <v>21590</v>
      </c>
      <c r="N548" s="12"/>
      <c r="O548" s="12"/>
      <c r="P548" s="55">
        <f t="shared" si="34"/>
        <v>88244</v>
      </c>
    </row>
    <row r="549" spans="1:16" ht="15" customHeight="1" x14ac:dyDescent="0.25">
      <c r="A549" s="552"/>
      <c r="B549" s="559"/>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2"/>
      <c r="B550" s="559"/>
      <c r="C550" s="110">
        <v>17</v>
      </c>
      <c r="D550" s="12"/>
      <c r="E550" s="12"/>
      <c r="F550" s="12"/>
      <c r="G550" s="12"/>
      <c r="H550" s="12"/>
      <c r="I550" s="12"/>
      <c r="J550" s="12"/>
      <c r="K550" s="12"/>
      <c r="L550" s="12"/>
      <c r="M550" s="12"/>
      <c r="N550" s="12"/>
      <c r="O550" s="12"/>
      <c r="P550" s="55">
        <f t="shared" si="35"/>
        <v>0</v>
      </c>
    </row>
    <row r="551" spans="1:16" ht="15" customHeight="1" x14ac:dyDescent="0.25">
      <c r="A551" s="552"/>
      <c r="B551" s="559"/>
      <c r="C551" s="110">
        <v>25</v>
      </c>
      <c r="D551" s="66"/>
      <c r="E551" s="66"/>
      <c r="F551" s="66"/>
      <c r="G551" s="66"/>
      <c r="H551" s="66"/>
      <c r="I551" s="66"/>
      <c r="J551" s="66"/>
      <c r="K551" s="66"/>
      <c r="L551" s="66"/>
      <c r="M551" s="66"/>
      <c r="N551" s="66"/>
      <c r="O551" s="66"/>
      <c r="P551" s="55">
        <f t="shared" si="35"/>
        <v>0</v>
      </c>
    </row>
    <row r="552" spans="1:16" ht="15" customHeight="1" x14ac:dyDescent="0.25">
      <c r="A552" s="552"/>
      <c r="B552" s="559"/>
      <c r="C552" s="110">
        <v>26</v>
      </c>
      <c r="D552" s="66"/>
      <c r="E552" s="66"/>
      <c r="F552" s="66"/>
      <c r="G552" s="66"/>
      <c r="H552" s="66"/>
      <c r="I552" s="66"/>
      <c r="J552" s="66"/>
      <c r="K552" s="66"/>
      <c r="L552" s="66"/>
      <c r="M552" s="66"/>
      <c r="N552" s="66"/>
      <c r="O552" s="66"/>
      <c r="P552" s="55">
        <f t="shared" si="35"/>
        <v>0</v>
      </c>
    </row>
    <row r="553" spans="1:16" ht="15" customHeight="1" x14ac:dyDescent="0.25">
      <c r="A553" s="553"/>
      <c r="B553" s="559"/>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726348</v>
      </c>
      <c r="E554" s="72">
        <f t="shared" ref="E554:O554" si="36">SUM(E555:E574)</f>
        <v>606592</v>
      </c>
      <c r="F554" s="72">
        <f t="shared" si="36"/>
        <v>823875</v>
      </c>
      <c r="G554" s="72">
        <f t="shared" si="36"/>
        <v>738316</v>
      </c>
      <c r="H554" s="72">
        <f t="shared" si="36"/>
        <v>628210</v>
      </c>
      <c r="I554" s="72">
        <f t="shared" si="36"/>
        <v>668351</v>
      </c>
      <c r="J554" s="72">
        <f t="shared" si="36"/>
        <v>642131</v>
      </c>
      <c r="K554" s="72">
        <f t="shared" si="36"/>
        <v>610712</v>
      </c>
      <c r="L554" s="72">
        <f t="shared" si="36"/>
        <v>662599</v>
      </c>
      <c r="M554" s="72">
        <f t="shared" si="36"/>
        <v>610248</v>
      </c>
      <c r="N554" s="72">
        <f t="shared" si="36"/>
        <v>611897</v>
      </c>
      <c r="O554" s="72">
        <f t="shared" si="36"/>
        <v>727266</v>
      </c>
      <c r="P554" s="72">
        <f>SUM(P555:P574)</f>
        <v>8056545</v>
      </c>
    </row>
    <row r="555" spans="1:16" ht="15" customHeight="1" x14ac:dyDescent="0.25">
      <c r="A555" s="551">
        <v>261</v>
      </c>
      <c r="B555" s="558" t="s">
        <v>98</v>
      </c>
      <c r="C555" s="110">
        <v>11</v>
      </c>
      <c r="D555" s="12">
        <v>252280</v>
      </c>
      <c r="E555" s="12">
        <v>95260</v>
      </c>
      <c r="F555" s="12">
        <v>174290</v>
      </c>
      <c r="G555" s="12">
        <v>180354</v>
      </c>
      <c r="H555" s="12"/>
      <c r="I555" s="12">
        <v>176927</v>
      </c>
      <c r="J555" s="12"/>
      <c r="K555" s="12"/>
      <c r="L555" s="12">
        <v>100000</v>
      </c>
      <c r="M555" s="12"/>
      <c r="N555" s="12"/>
      <c r="O555" s="12"/>
      <c r="P555" s="55">
        <f>SUM(D555:O555)</f>
        <v>979111</v>
      </c>
    </row>
    <row r="556" spans="1:16" ht="15" customHeight="1" x14ac:dyDescent="0.25">
      <c r="A556" s="552"/>
      <c r="B556" s="559"/>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2"/>
      <c r="B557" s="559"/>
      <c r="C557" s="110">
        <v>13</v>
      </c>
      <c r="D557" s="12"/>
      <c r="E557" s="12"/>
      <c r="F557" s="12"/>
      <c r="G557" s="12"/>
      <c r="H557" s="12"/>
      <c r="I557" s="12"/>
      <c r="J557" s="12"/>
      <c r="K557" s="12"/>
      <c r="L557" s="12"/>
      <c r="M557" s="12"/>
      <c r="N557" s="12"/>
      <c r="O557" s="12"/>
      <c r="P557" s="55">
        <f t="shared" si="37"/>
        <v>0</v>
      </c>
    </row>
    <row r="558" spans="1:16" ht="15" customHeight="1" x14ac:dyDescent="0.25">
      <c r="A558" s="552"/>
      <c r="B558" s="559"/>
      <c r="C558" s="110">
        <v>14</v>
      </c>
      <c r="D558" s="12"/>
      <c r="E558" s="12"/>
      <c r="F558" s="12"/>
      <c r="G558" s="12"/>
      <c r="H558" s="12"/>
      <c r="I558" s="12"/>
      <c r="J558" s="12"/>
      <c r="K558" s="12"/>
      <c r="L558" s="12"/>
      <c r="M558" s="12"/>
      <c r="N558" s="12"/>
      <c r="O558" s="12"/>
      <c r="P558" s="55">
        <f t="shared" si="37"/>
        <v>0</v>
      </c>
    </row>
    <row r="559" spans="1:16" ht="15" customHeight="1" x14ac:dyDescent="0.25">
      <c r="A559" s="552"/>
      <c r="B559" s="559"/>
      <c r="C559" s="110">
        <v>15</v>
      </c>
      <c r="D559" s="12">
        <v>297218</v>
      </c>
      <c r="E559" s="12">
        <v>426332</v>
      </c>
      <c r="F559" s="12">
        <v>463735</v>
      </c>
      <c r="G559" s="12">
        <v>378312</v>
      </c>
      <c r="H559" s="12">
        <v>445650</v>
      </c>
      <c r="I559" s="12">
        <v>314834</v>
      </c>
      <c r="J559" s="12">
        <v>446711</v>
      </c>
      <c r="K559" s="12">
        <v>438508</v>
      </c>
      <c r="L559" s="12">
        <v>378039</v>
      </c>
      <c r="M559" s="12">
        <v>438638</v>
      </c>
      <c r="N559" s="12">
        <v>430337</v>
      </c>
      <c r="O559" s="12">
        <v>544350</v>
      </c>
      <c r="P559" s="55">
        <f t="shared" si="37"/>
        <v>5002664</v>
      </c>
    </row>
    <row r="560" spans="1:16" ht="15" customHeight="1" x14ac:dyDescent="0.25">
      <c r="A560" s="552"/>
      <c r="B560" s="559"/>
      <c r="C560" s="110">
        <v>16</v>
      </c>
      <c r="D560" s="12"/>
      <c r="E560" s="12"/>
      <c r="F560" s="12"/>
      <c r="G560" s="12"/>
      <c r="H560" s="12"/>
      <c r="I560" s="12"/>
      <c r="J560" s="12"/>
      <c r="K560" s="12"/>
      <c r="L560" s="12"/>
      <c r="M560" s="12"/>
      <c r="N560" s="12"/>
      <c r="O560" s="12"/>
      <c r="P560" s="55">
        <f t="shared" si="37"/>
        <v>0</v>
      </c>
    </row>
    <row r="561" spans="1:16" ht="15" customHeight="1" x14ac:dyDescent="0.25">
      <c r="A561" s="552"/>
      <c r="B561" s="559"/>
      <c r="C561" s="110">
        <v>17</v>
      </c>
      <c r="D561" s="12"/>
      <c r="E561" s="12"/>
      <c r="F561" s="12"/>
      <c r="G561" s="12"/>
      <c r="H561" s="12"/>
      <c r="I561" s="12"/>
      <c r="J561" s="12"/>
      <c r="K561" s="12"/>
      <c r="L561" s="12"/>
      <c r="M561" s="12"/>
      <c r="N561" s="12"/>
      <c r="O561" s="12"/>
      <c r="P561" s="55">
        <f t="shared" si="37"/>
        <v>0</v>
      </c>
    </row>
    <row r="562" spans="1:16" ht="15" customHeight="1" x14ac:dyDescent="0.25">
      <c r="A562" s="552"/>
      <c r="B562" s="559"/>
      <c r="C562" s="110">
        <v>25</v>
      </c>
      <c r="D562" s="12">
        <v>176850</v>
      </c>
      <c r="E562" s="12">
        <v>85000</v>
      </c>
      <c r="F562" s="12">
        <v>185850</v>
      </c>
      <c r="G562" s="12">
        <v>179650</v>
      </c>
      <c r="H562" s="12">
        <v>182560</v>
      </c>
      <c r="I562" s="12">
        <v>176590</v>
      </c>
      <c r="J562" s="12">
        <v>195420</v>
      </c>
      <c r="K562" s="12">
        <v>172204</v>
      </c>
      <c r="L562" s="12">
        <v>184560</v>
      </c>
      <c r="M562" s="12">
        <v>171610</v>
      </c>
      <c r="N562" s="12">
        <v>181560</v>
      </c>
      <c r="O562" s="12">
        <v>182916</v>
      </c>
      <c r="P562" s="55">
        <f t="shared" si="37"/>
        <v>2074770</v>
      </c>
    </row>
    <row r="563" spans="1:16" ht="15" customHeight="1" x14ac:dyDescent="0.25">
      <c r="A563" s="552"/>
      <c r="B563" s="559"/>
      <c r="C563" s="110">
        <v>26</v>
      </c>
      <c r="D563" s="12"/>
      <c r="E563" s="12"/>
      <c r="F563" s="12"/>
      <c r="G563" s="12"/>
      <c r="H563" s="12"/>
      <c r="I563" s="12"/>
      <c r="J563" s="12"/>
      <c r="K563" s="12"/>
      <c r="L563" s="12"/>
      <c r="M563" s="12"/>
      <c r="N563" s="12"/>
      <c r="O563" s="12"/>
      <c r="P563" s="55">
        <f t="shared" si="37"/>
        <v>0</v>
      </c>
    </row>
    <row r="564" spans="1:16" ht="15" customHeight="1" x14ac:dyDescent="0.25">
      <c r="A564" s="553"/>
      <c r="B564" s="559"/>
      <c r="C564" s="110">
        <v>27</v>
      </c>
      <c r="D564" s="12"/>
      <c r="E564" s="12"/>
      <c r="F564" s="12"/>
      <c r="G564" s="12"/>
      <c r="H564" s="12"/>
      <c r="I564" s="12"/>
      <c r="J564" s="12"/>
      <c r="K564" s="12"/>
      <c r="L564" s="12"/>
      <c r="M564" s="12"/>
      <c r="N564" s="12"/>
      <c r="O564" s="12"/>
      <c r="P564" s="55">
        <f t="shared" si="37"/>
        <v>0</v>
      </c>
    </row>
    <row r="565" spans="1:16" ht="15" customHeight="1" x14ac:dyDescent="0.25">
      <c r="A565" s="551">
        <v>262</v>
      </c>
      <c r="B565" s="558" t="s">
        <v>99</v>
      </c>
      <c r="C565" s="110">
        <v>11</v>
      </c>
      <c r="D565" s="12"/>
      <c r="E565" s="12"/>
      <c r="F565" s="12"/>
      <c r="G565" s="12"/>
      <c r="H565" s="12"/>
      <c r="I565" s="12"/>
      <c r="J565" s="12"/>
      <c r="K565" s="12"/>
      <c r="L565" s="12"/>
      <c r="M565" s="12"/>
      <c r="N565" s="12"/>
      <c r="O565" s="12"/>
      <c r="P565" s="55">
        <f t="shared" si="37"/>
        <v>0</v>
      </c>
    </row>
    <row r="566" spans="1:16" ht="15" customHeight="1" x14ac:dyDescent="0.25">
      <c r="A566" s="552"/>
      <c r="B566" s="559"/>
      <c r="C566" s="110">
        <v>12</v>
      </c>
      <c r="D566" s="12"/>
      <c r="E566" s="12"/>
      <c r="F566" s="12"/>
      <c r="G566" s="12"/>
      <c r="H566" s="12"/>
      <c r="I566" s="12"/>
      <c r="J566" s="12"/>
      <c r="K566" s="12"/>
      <c r="L566" s="12"/>
      <c r="M566" s="12"/>
      <c r="N566" s="12"/>
      <c r="O566" s="12"/>
      <c r="P566" s="55">
        <f t="shared" si="37"/>
        <v>0</v>
      </c>
    </row>
    <row r="567" spans="1:16" ht="15" customHeight="1" x14ac:dyDescent="0.25">
      <c r="A567" s="552"/>
      <c r="B567" s="559"/>
      <c r="C567" s="110">
        <v>13</v>
      </c>
      <c r="D567" s="12"/>
      <c r="E567" s="12"/>
      <c r="F567" s="12"/>
      <c r="G567" s="12"/>
      <c r="H567" s="12"/>
      <c r="I567" s="12"/>
      <c r="J567" s="12"/>
      <c r="K567" s="12"/>
      <c r="L567" s="12"/>
      <c r="M567" s="12"/>
      <c r="N567" s="12"/>
      <c r="O567" s="12"/>
      <c r="P567" s="55">
        <f t="shared" si="37"/>
        <v>0</v>
      </c>
    </row>
    <row r="568" spans="1:16" ht="15" customHeight="1" x14ac:dyDescent="0.25">
      <c r="A568" s="552"/>
      <c r="B568" s="559"/>
      <c r="C568" s="110">
        <v>14</v>
      </c>
      <c r="D568" s="12"/>
      <c r="E568" s="12"/>
      <c r="F568" s="12"/>
      <c r="G568" s="12"/>
      <c r="H568" s="12"/>
      <c r="I568" s="12"/>
      <c r="J568" s="12"/>
      <c r="K568" s="12"/>
      <c r="L568" s="12"/>
      <c r="M568" s="12"/>
      <c r="N568" s="12"/>
      <c r="O568" s="12"/>
      <c r="P568" s="55">
        <f t="shared" si="37"/>
        <v>0</v>
      </c>
    </row>
    <row r="569" spans="1:16" ht="15" customHeight="1" x14ac:dyDescent="0.25">
      <c r="A569" s="552"/>
      <c r="B569" s="559"/>
      <c r="C569" s="110">
        <v>15</v>
      </c>
      <c r="D569" s="12"/>
      <c r="E569" s="12"/>
      <c r="F569" s="12"/>
      <c r="G569" s="12"/>
      <c r="H569" s="12"/>
      <c r="I569" s="12"/>
      <c r="J569" s="12"/>
      <c r="K569" s="12"/>
      <c r="L569" s="12"/>
      <c r="M569" s="12"/>
      <c r="N569" s="12"/>
      <c r="O569" s="12"/>
      <c r="P569" s="55">
        <f t="shared" si="37"/>
        <v>0</v>
      </c>
    </row>
    <row r="570" spans="1:16" ht="15" customHeight="1" x14ac:dyDescent="0.25">
      <c r="A570" s="552"/>
      <c r="B570" s="559"/>
      <c r="C570" s="110">
        <v>16</v>
      </c>
      <c r="D570" s="12"/>
      <c r="E570" s="12"/>
      <c r="F570" s="12"/>
      <c r="G570" s="12"/>
      <c r="H570" s="12"/>
      <c r="I570" s="12"/>
      <c r="J570" s="12"/>
      <c r="K570" s="12"/>
      <c r="L570" s="12"/>
      <c r="M570" s="12"/>
      <c r="N570" s="12"/>
      <c r="O570" s="12"/>
      <c r="P570" s="55">
        <f t="shared" si="37"/>
        <v>0</v>
      </c>
    </row>
    <row r="571" spans="1:16" ht="15" customHeight="1" x14ac:dyDescent="0.25">
      <c r="A571" s="552"/>
      <c r="B571" s="559"/>
      <c r="C571" s="110">
        <v>17</v>
      </c>
      <c r="D571" s="12"/>
      <c r="E571" s="12"/>
      <c r="F571" s="12"/>
      <c r="G571" s="12"/>
      <c r="H571" s="12"/>
      <c r="I571" s="12"/>
      <c r="J571" s="12"/>
      <c r="K571" s="12"/>
      <c r="L571" s="12"/>
      <c r="M571" s="12"/>
      <c r="N571" s="12"/>
      <c r="O571" s="12"/>
      <c r="P571" s="55">
        <f t="shared" si="37"/>
        <v>0</v>
      </c>
    </row>
    <row r="572" spans="1:16" ht="15" customHeight="1" x14ac:dyDescent="0.25">
      <c r="A572" s="552"/>
      <c r="B572" s="559"/>
      <c r="C572" s="110">
        <v>25</v>
      </c>
      <c r="D572" s="66"/>
      <c r="E572" s="66"/>
      <c r="F572" s="66"/>
      <c r="G572" s="66"/>
      <c r="H572" s="66"/>
      <c r="I572" s="66"/>
      <c r="J572" s="66"/>
      <c r="K572" s="66"/>
      <c r="L572" s="66"/>
      <c r="M572" s="66"/>
      <c r="N572" s="66"/>
      <c r="O572" s="66"/>
      <c r="P572" s="55">
        <f t="shared" si="37"/>
        <v>0</v>
      </c>
    </row>
    <row r="573" spans="1:16" ht="15" customHeight="1" x14ac:dyDescent="0.25">
      <c r="A573" s="552"/>
      <c r="B573" s="559"/>
      <c r="C573" s="110">
        <v>26</v>
      </c>
      <c r="D573" s="66"/>
      <c r="E573" s="66"/>
      <c r="F573" s="66"/>
      <c r="G573" s="66"/>
      <c r="H573" s="66"/>
      <c r="I573" s="66"/>
      <c r="J573" s="66"/>
      <c r="K573" s="66"/>
      <c r="L573" s="66"/>
      <c r="M573" s="66"/>
      <c r="N573" s="66"/>
      <c r="O573" s="66"/>
      <c r="P573" s="55">
        <f t="shared" si="37"/>
        <v>0</v>
      </c>
    </row>
    <row r="574" spans="1:16" ht="15" customHeight="1" x14ac:dyDescent="0.25">
      <c r="A574" s="553"/>
      <c r="B574" s="559"/>
      <c r="C574" s="110">
        <v>27</v>
      </c>
      <c r="D574" s="66"/>
      <c r="E574" s="66"/>
      <c r="F574" s="66"/>
      <c r="G574" s="66"/>
      <c r="H574" s="66"/>
      <c r="I574" s="66"/>
      <c r="J574" s="66"/>
      <c r="K574" s="66"/>
      <c r="L574" s="66"/>
      <c r="M574" s="66"/>
      <c r="N574" s="66"/>
      <c r="O574" s="66"/>
      <c r="P574" s="55">
        <f t="shared" si="37"/>
        <v>0</v>
      </c>
    </row>
    <row r="575" spans="1:16" x14ac:dyDescent="0.25">
      <c r="A575" s="74">
        <v>2700</v>
      </c>
      <c r="B575" s="305" t="s">
        <v>2289</v>
      </c>
      <c r="C575" s="306"/>
      <c r="D575" s="72">
        <f>SUM(D576:D625)</f>
        <v>20467</v>
      </c>
      <c r="E575" s="72">
        <f t="shared" ref="E575:O575" si="38">SUM(E576:E625)</f>
        <v>0</v>
      </c>
      <c r="F575" s="72">
        <f t="shared" si="38"/>
        <v>164467</v>
      </c>
      <c r="G575" s="72">
        <f t="shared" si="38"/>
        <v>80363</v>
      </c>
      <c r="H575" s="72">
        <f t="shared" si="38"/>
        <v>20431</v>
      </c>
      <c r="I575" s="72">
        <f t="shared" si="38"/>
        <v>3150</v>
      </c>
      <c r="J575" s="72">
        <f t="shared" si="38"/>
        <v>48070</v>
      </c>
      <c r="K575" s="72">
        <f t="shared" si="38"/>
        <v>70750</v>
      </c>
      <c r="L575" s="72">
        <f t="shared" si="38"/>
        <v>53406</v>
      </c>
      <c r="M575" s="72">
        <f t="shared" si="38"/>
        <v>0</v>
      </c>
      <c r="N575" s="72">
        <f t="shared" si="38"/>
        <v>26036</v>
      </c>
      <c r="O575" s="72">
        <f t="shared" si="38"/>
        <v>0</v>
      </c>
      <c r="P575" s="72">
        <f>SUM(P576:P625)</f>
        <v>487140</v>
      </c>
    </row>
    <row r="576" spans="1:16" ht="15" customHeight="1" x14ac:dyDescent="0.25">
      <c r="A576" s="551">
        <v>271</v>
      </c>
      <c r="B576" s="558" t="s">
        <v>101</v>
      </c>
      <c r="C576" s="110">
        <v>11</v>
      </c>
      <c r="D576" s="12"/>
      <c r="E576" s="12"/>
      <c r="F576" s="12"/>
      <c r="G576" s="12"/>
      <c r="H576" s="12"/>
      <c r="I576" s="12"/>
      <c r="J576" s="12"/>
      <c r="K576" s="12"/>
      <c r="L576" s="12">
        <v>15690</v>
      </c>
      <c r="M576" s="12"/>
      <c r="N576" s="12"/>
      <c r="O576" s="12"/>
      <c r="P576" s="55">
        <f>SUM(D576:O576)</f>
        <v>15690</v>
      </c>
    </row>
    <row r="577" spans="1:16" ht="15" customHeight="1" x14ac:dyDescent="0.25">
      <c r="A577" s="552"/>
      <c r="B577" s="559"/>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2"/>
      <c r="B578" s="559"/>
      <c r="C578" s="110">
        <v>13</v>
      </c>
      <c r="D578" s="12"/>
      <c r="E578" s="12"/>
      <c r="F578" s="12"/>
      <c r="G578" s="12"/>
      <c r="H578" s="12"/>
      <c r="I578" s="12"/>
      <c r="J578" s="12"/>
      <c r="K578" s="12"/>
      <c r="L578" s="12"/>
      <c r="M578" s="12"/>
      <c r="N578" s="12"/>
      <c r="O578" s="12"/>
      <c r="P578" s="55">
        <f t="shared" si="39"/>
        <v>0</v>
      </c>
    </row>
    <row r="579" spans="1:16" ht="15" customHeight="1" x14ac:dyDescent="0.25">
      <c r="A579" s="552"/>
      <c r="B579" s="559"/>
      <c r="C579" s="110">
        <v>14</v>
      </c>
      <c r="D579" s="12"/>
      <c r="E579" s="12"/>
      <c r="F579" s="12"/>
      <c r="G579" s="12"/>
      <c r="H579" s="12"/>
      <c r="I579" s="12"/>
      <c r="J579" s="12"/>
      <c r="K579" s="12"/>
      <c r="L579" s="12"/>
      <c r="M579" s="12"/>
      <c r="N579" s="12"/>
      <c r="O579" s="12"/>
      <c r="P579" s="55">
        <f t="shared" si="39"/>
        <v>0</v>
      </c>
    </row>
    <row r="580" spans="1:16" ht="15" customHeight="1" x14ac:dyDescent="0.25">
      <c r="A580" s="552"/>
      <c r="B580" s="559"/>
      <c r="C580" s="110">
        <v>15</v>
      </c>
      <c r="D580" s="12">
        <v>11582</v>
      </c>
      <c r="E580" s="12"/>
      <c r="F580" s="12">
        <v>96580</v>
      </c>
      <c r="G580" s="12">
        <v>36304</v>
      </c>
      <c r="H580" s="12"/>
      <c r="I580" s="12">
        <v>3150</v>
      </c>
      <c r="J580" s="12"/>
      <c r="K580" s="12"/>
      <c r="L580" s="12"/>
      <c r="M580" s="12"/>
      <c r="N580" s="12">
        <v>16456</v>
      </c>
      <c r="O580" s="12"/>
      <c r="P580" s="55">
        <f t="shared" si="39"/>
        <v>164072</v>
      </c>
    </row>
    <row r="581" spans="1:16" ht="15" customHeight="1" x14ac:dyDescent="0.25">
      <c r="A581" s="552"/>
      <c r="B581" s="559"/>
      <c r="C581" s="110">
        <v>16</v>
      </c>
      <c r="D581" s="12"/>
      <c r="E581" s="12"/>
      <c r="F581" s="12"/>
      <c r="G581" s="12"/>
      <c r="H581" s="12"/>
      <c r="I581" s="12"/>
      <c r="J581" s="12"/>
      <c r="K581" s="12"/>
      <c r="L581" s="12"/>
      <c r="M581" s="12"/>
      <c r="N581" s="12"/>
      <c r="O581" s="12"/>
      <c r="P581" s="55">
        <f t="shared" si="39"/>
        <v>0</v>
      </c>
    </row>
    <row r="582" spans="1:16" ht="15" customHeight="1" x14ac:dyDescent="0.25">
      <c r="A582" s="552"/>
      <c r="B582" s="559"/>
      <c r="C582" s="110">
        <v>17</v>
      </c>
      <c r="D582" s="12"/>
      <c r="E582" s="12"/>
      <c r="F582" s="12"/>
      <c r="G582" s="12"/>
      <c r="H582" s="12"/>
      <c r="I582" s="12"/>
      <c r="J582" s="12"/>
      <c r="K582" s="12"/>
      <c r="L582" s="12"/>
      <c r="M582" s="12"/>
      <c r="N582" s="12"/>
      <c r="O582" s="12"/>
      <c r="P582" s="55">
        <f t="shared" si="39"/>
        <v>0</v>
      </c>
    </row>
    <row r="583" spans="1:16" ht="15" customHeight="1" x14ac:dyDescent="0.25">
      <c r="A583" s="552"/>
      <c r="B583" s="559"/>
      <c r="C583" s="110">
        <v>25</v>
      </c>
      <c r="D583" s="12"/>
      <c r="E583" s="12"/>
      <c r="F583" s="12"/>
      <c r="G583" s="12">
        <v>44059</v>
      </c>
      <c r="H583" s="12"/>
      <c r="I583" s="12"/>
      <c r="J583" s="12">
        <v>12783</v>
      </c>
      <c r="K583" s="12">
        <v>70750</v>
      </c>
      <c r="L583" s="12"/>
      <c r="M583" s="12"/>
      <c r="N583" s="12"/>
      <c r="O583" s="12"/>
      <c r="P583" s="55">
        <f t="shared" si="39"/>
        <v>127592</v>
      </c>
    </row>
    <row r="584" spans="1:16" ht="15" customHeight="1" x14ac:dyDescent="0.25">
      <c r="A584" s="552"/>
      <c r="B584" s="559"/>
      <c r="C584" s="110">
        <v>26</v>
      </c>
      <c r="D584" s="12"/>
      <c r="E584" s="12"/>
      <c r="F584" s="12"/>
      <c r="G584" s="12"/>
      <c r="H584" s="12"/>
      <c r="I584" s="12"/>
      <c r="J584" s="12"/>
      <c r="K584" s="12"/>
      <c r="L584" s="12"/>
      <c r="M584" s="12"/>
      <c r="N584" s="12"/>
      <c r="O584" s="12"/>
      <c r="P584" s="55">
        <f t="shared" si="39"/>
        <v>0</v>
      </c>
    </row>
    <row r="585" spans="1:16" ht="15" customHeight="1" x14ac:dyDescent="0.25">
      <c r="A585" s="553"/>
      <c r="B585" s="559"/>
      <c r="C585" s="110">
        <v>27</v>
      </c>
      <c r="D585" s="12"/>
      <c r="E585" s="12"/>
      <c r="F585" s="12"/>
      <c r="G585" s="12"/>
      <c r="H585" s="12"/>
      <c r="I585" s="12"/>
      <c r="J585" s="12"/>
      <c r="K585" s="12"/>
      <c r="L585" s="12"/>
      <c r="M585" s="12"/>
      <c r="N585" s="12"/>
      <c r="O585" s="12"/>
      <c r="P585" s="55">
        <f t="shared" si="39"/>
        <v>0</v>
      </c>
    </row>
    <row r="586" spans="1:16" ht="15" customHeight="1" x14ac:dyDescent="0.25">
      <c r="A586" s="551">
        <v>272</v>
      </c>
      <c r="B586" s="558" t="s">
        <v>102</v>
      </c>
      <c r="C586" s="110">
        <v>11</v>
      </c>
      <c r="D586" s="12"/>
      <c r="E586" s="12"/>
      <c r="F586" s="12"/>
      <c r="G586" s="12"/>
      <c r="H586" s="12"/>
      <c r="I586" s="12"/>
      <c r="J586" s="12"/>
      <c r="K586" s="12"/>
      <c r="L586" s="12"/>
      <c r="M586" s="12"/>
      <c r="N586" s="12"/>
      <c r="O586" s="12"/>
      <c r="P586" s="55">
        <f t="shared" si="39"/>
        <v>0</v>
      </c>
    </row>
    <row r="587" spans="1:16" ht="15" customHeight="1" x14ac:dyDescent="0.25">
      <c r="A587" s="552"/>
      <c r="B587" s="559"/>
      <c r="C587" s="110">
        <v>12</v>
      </c>
      <c r="D587" s="12"/>
      <c r="E587" s="12"/>
      <c r="F587" s="12"/>
      <c r="G587" s="12"/>
      <c r="H587" s="12"/>
      <c r="I587" s="12"/>
      <c r="J587" s="12"/>
      <c r="K587" s="12"/>
      <c r="L587" s="12"/>
      <c r="M587" s="12"/>
      <c r="N587" s="12"/>
      <c r="O587" s="12"/>
      <c r="P587" s="55">
        <f t="shared" si="39"/>
        <v>0</v>
      </c>
    </row>
    <row r="588" spans="1:16" ht="15" customHeight="1" x14ac:dyDescent="0.25">
      <c r="A588" s="552"/>
      <c r="B588" s="559"/>
      <c r="C588" s="110">
        <v>13</v>
      </c>
      <c r="D588" s="12"/>
      <c r="E588" s="12"/>
      <c r="F588" s="12"/>
      <c r="G588" s="12"/>
      <c r="H588" s="12"/>
      <c r="I588" s="12"/>
      <c r="J588" s="12"/>
      <c r="K588" s="12"/>
      <c r="L588" s="12"/>
      <c r="M588" s="12"/>
      <c r="N588" s="12"/>
      <c r="O588" s="12"/>
      <c r="P588" s="55">
        <f t="shared" si="39"/>
        <v>0</v>
      </c>
    </row>
    <row r="589" spans="1:16" ht="15" customHeight="1" x14ac:dyDescent="0.25">
      <c r="A589" s="552"/>
      <c r="B589" s="559"/>
      <c r="C589" s="110">
        <v>14</v>
      </c>
      <c r="D589" s="12"/>
      <c r="E589" s="12"/>
      <c r="F589" s="12"/>
      <c r="G589" s="12"/>
      <c r="H589" s="12"/>
      <c r="I589" s="12"/>
      <c r="J589" s="12"/>
      <c r="K589" s="12"/>
      <c r="L589" s="12"/>
      <c r="M589" s="12"/>
      <c r="N589" s="12"/>
      <c r="O589" s="12"/>
      <c r="P589" s="55">
        <f t="shared" si="39"/>
        <v>0</v>
      </c>
    </row>
    <row r="590" spans="1:16" ht="15" customHeight="1" x14ac:dyDescent="0.25">
      <c r="A590" s="552"/>
      <c r="B590" s="559"/>
      <c r="C590" s="110">
        <v>15</v>
      </c>
      <c r="D590" s="12"/>
      <c r="E590" s="12"/>
      <c r="F590" s="12">
        <v>30736</v>
      </c>
      <c r="G590" s="12"/>
      <c r="H590" s="12"/>
      <c r="I590" s="12"/>
      <c r="J590" s="12"/>
      <c r="K590" s="12"/>
      <c r="L590" s="12">
        <v>22456</v>
      </c>
      <c r="M590" s="12"/>
      <c r="N590" s="12"/>
      <c r="O590" s="12"/>
      <c r="P590" s="55">
        <f t="shared" si="39"/>
        <v>53192</v>
      </c>
    </row>
    <row r="591" spans="1:16" ht="15" customHeight="1" x14ac:dyDescent="0.25">
      <c r="A591" s="552"/>
      <c r="B591" s="559"/>
      <c r="C591" s="110">
        <v>16</v>
      </c>
      <c r="D591" s="12"/>
      <c r="E591" s="12"/>
      <c r="F591" s="12"/>
      <c r="G591" s="12"/>
      <c r="H591" s="12"/>
      <c r="I591" s="12"/>
      <c r="J591" s="12"/>
      <c r="K591" s="12"/>
      <c r="L591" s="12"/>
      <c r="M591" s="12"/>
      <c r="N591" s="12"/>
      <c r="O591" s="12"/>
      <c r="P591" s="55">
        <f t="shared" si="39"/>
        <v>0</v>
      </c>
    </row>
    <row r="592" spans="1:16" ht="15" customHeight="1" x14ac:dyDescent="0.25">
      <c r="A592" s="552"/>
      <c r="B592" s="559"/>
      <c r="C592" s="110">
        <v>17</v>
      </c>
      <c r="D592" s="12"/>
      <c r="E592" s="12"/>
      <c r="F592" s="12"/>
      <c r="G592" s="12"/>
      <c r="H592" s="12"/>
      <c r="I592" s="12"/>
      <c r="J592" s="12"/>
      <c r="K592" s="12"/>
      <c r="L592" s="12"/>
      <c r="M592" s="12"/>
      <c r="N592" s="12"/>
      <c r="O592" s="12"/>
      <c r="P592" s="55">
        <f t="shared" si="39"/>
        <v>0</v>
      </c>
    </row>
    <row r="593" spans="1:16" ht="15" customHeight="1" x14ac:dyDescent="0.25">
      <c r="A593" s="552"/>
      <c r="B593" s="559"/>
      <c r="C593" s="110">
        <v>25</v>
      </c>
      <c r="D593" s="12"/>
      <c r="E593" s="12"/>
      <c r="F593" s="12">
        <v>10850</v>
      </c>
      <c r="G593" s="12"/>
      <c r="H593" s="12">
        <v>20431</v>
      </c>
      <c r="I593" s="12"/>
      <c r="J593" s="12">
        <v>15587</v>
      </c>
      <c r="K593" s="12"/>
      <c r="L593" s="12"/>
      <c r="M593" s="12"/>
      <c r="N593" s="12"/>
      <c r="O593" s="12"/>
      <c r="P593" s="55">
        <f t="shared" si="39"/>
        <v>46868</v>
      </c>
    </row>
    <row r="594" spans="1:16" ht="15" customHeight="1" x14ac:dyDescent="0.25">
      <c r="A594" s="552"/>
      <c r="B594" s="559"/>
      <c r="C594" s="110">
        <v>26</v>
      </c>
      <c r="D594" s="12"/>
      <c r="E594" s="12"/>
      <c r="F594" s="12"/>
      <c r="G594" s="12"/>
      <c r="H594" s="12"/>
      <c r="I594" s="12"/>
      <c r="J594" s="12"/>
      <c r="K594" s="12"/>
      <c r="L594" s="12"/>
      <c r="M594" s="12"/>
      <c r="N594" s="12"/>
      <c r="O594" s="12"/>
      <c r="P594" s="55">
        <f t="shared" si="39"/>
        <v>0</v>
      </c>
    </row>
    <row r="595" spans="1:16" ht="15" customHeight="1" x14ac:dyDescent="0.25">
      <c r="A595" s="553"/>
      <c r="B595" s="559"/>
      <c r="C595" s="110">
        <v>27</v>
      </c>
      <c r="D595" s="12"/>
      <c r="E595" s="12"/>
      <c r="F595" s="12"/>
      <c r="G595" s="12"/>
      <c r="H595" s="12"/>
      <c r="I595" s="12"/>
      <c r="J595" s="12"/>
      <c r="K595" s="12"/>
      <c r="L595" s="12"/>
      <c r="M595" s="12"/>
      <c r="N595" s="12"/>
      <c r="O595" s="12"/>
      <c r="P595" s="55">
        <f t="shared" si="39"/>
        <v>0</v>
      </c>
    </row>
    <row r="596" spans="1:16" ht="15" customHeight="1" x14ac:dyDescent="0.25">
      <c r="A596" s="551">
        <v>273</v>
      </c>
      <c r="B596" s="558" t="s">
        <v>103</v>
      </c>
      <c r="C596" s="110">
        <v>11</v>
      </c>
      <c r="D596" s="12"/>
      <c r="E596" s="12"/>
      <c r="F596" s="12"/>
      <c r="G596" s="12"/>
      <c r="H596" s="12"/>
      <c r="I596" s="12"/>
      <c r="J596" s="12">
        <v>9850</v>
      </c>
      <c r="K596" s="12"/>
      <c r="L596" s="12"/>
      <c r="M596" s="12"/>
      <c r="N596" s="12">
        <v>9580</v>
      </c>
      <c r="O596" s="12"/>
      <c r="P596" s="55">
        <f t="shared" si="39"/>
        <v>19430</v>
      </c>
    </row>
    <row r="597" spans="1:16" ht="15" customHeight="1" x14ac:dyDescent="0.25">
      <c r="A597" s="552"/>
      <c r="B597" s="559"/>
      <c r="C597" s="110">
        <v>12</v>
      </c>
      <c r="D597" s="12"/>
      <c r="E597" s="12"/>
      <c r="F597" s="12"/>
      <c r="G597" s="12"/>
      <c r="H597" s="12"/>
      <c r="I597" s="12"/>
      <c r="J597" s="12"/>
      <c r="K597" s="12"/>
      <c r="L597" s="12"/>
      <c r="M597" s="12"/>
      <c r="N597" s="12"/>
      <c r="O597" s="12"/>
      <c r="P597" s="55">
        <f t="shared" si="39"/>
        <v>0</v>
      </c>
    </row>
    <row r="598" spans="1:16" ht="15" customHeight="1" x14ac:dyDescent="0.25">
      <c r="A598" s="552"/>
      <c r="B598" s="559"/>
      <c r="C598" s="110">
        <v>13</v>
      </c>
      <c r="D598" s="12"/>
      <c r="E598" s="12"/>
      <c r="F598" s="12"/>
      <c r="G598" s="12"/>
      <c r="H598" s="12"/>
      <c r="I598" s="12"/>
      <c r="J598" s="12"/>
      <c r="K598" s="12"/>
      <c r="L598" s="12"/>
      <c r="M598" s="12"/>
      <c r="N598" s="12"/>
      <c r="O598" s="12"/>
      <c r="P598" s="55">
        <f t="shared" si="39"/>
        <v>0</v>
      </c>
    </row>
    <row r="599" spans="1:16" ht="15" customHeight="1" x14ac:dyDescent="0.25">
      <c r="A599" s="552"/>
      <c r="B599" s="559"/>
      <c r="C599" s="110">
        <v>14</v>
      </c>
      <c r="D599" s="12"/>
      <c r="E599" s="12"/>
      <c r="F599" s="12"/>
      <c r="G599" s="12"/>
      <c r="H599" s="12"/>
      <c r="I599" s="12"/>
      <c r="J599" s="12"/>
      <c r="K599" s="12"/>
      <c r="L599" s="12"/>
      <c r="M599" s="12"/>
      <c r="N599" s="12"/>
      <c r="O599" s="12"/>
      <c r="P599" s="55">
        <f t="shared" si="39"/>
        <v>0</v>
      </c>
    </row>
    <row r="600" spans="1:16" ht="15" customHeight="1" x14ac:dyDescent="0.25">
      <c r="A600" s="552"/>
      <c r="B600" s="559"/>
      <c r="C600" s="110">
        <v>15</v>
      </c>
      <c r="D600" s="12"/>
      <c r="E600" s="12"/>
      <c r="F600" s="12">
        <v>15469</v>
      </c>
      <c r="G600" s="12"/>
      <c r="H600" s="12"/>
      <c r="I600" s="12"/>
      <c r="J600" s="12"/>
      <c r="K600" s="12"/>
      <c r="L600" s="12">
        <v>15260</v>
      </c>
      <c r="M600" s="12"/>
      <c r="N600" s="12"/>
      <c r="O600" s="12"/>
      <c r="P600" s="55">
        <f t="shared" si="39"/>
        <v>30729</v>
      </c>
    </row>
    <row r="601" spans="1:16" ht="15" customHeight="1" x14ac:dyDescent="0.25">
      <c r="A601" s="552"/>
      <c r="B601" s="559"/>
      <c r="C601" s="110">
        <v>16</v>
      </c>
      <c r="D601" s="12"/>
      <c r="E601" s="12"/>
      <c r="F601" s="12"/>
      <c r="G601" s="12"/>
      <c r="H601" s="12"/>
      <c r="I601" s="12"/>
      <c r="J601" s="12"/>
      <c r="K601" s="12"/>
      <c r="L601" s="12"/>
      <c r="M601" s="12"/>
      <c r="N601" s="12"/>
      <c r="O601" s="12"/>
      <c r="P601" s="55">
        <f t="shared" si="39"/>
        <v>0</v>
      </c>
    </row>
    <row r="602" spans="1:16" ht="15" customHeight="1" x14ac:dyDescent="0.25">
      <c r="A602" s="552"/>
      <c r="B602" s="559"/>
      <c r="C602" s="110">
        <v>17</v>
      </c>
      <c r="D602" s="12"/>
      <c r="E602" s="12"/>
      <c r="F602" s="12"/>
      <c r="G602" s="12"/>
      <c r="H602" s="12"/>
      <c r="I602" s="12"/>
      <c r="J602" s="12"/>
      <c r="K602" s="12"/>
      <c r="L602" s="12"/>
      <c r="M602" s="12"/>
      <c r="N602" s="12"/>
      <c r="O602" s="12"/>
      <c r="P602" s="55">
        <f t="shared" si="39"/>
        <v>0</v>
      </c>
    </row>
    <row r="603" spans="1:16" ht="15" customHeight="1" x14ac:dyDescent="0.25">
      <c r="A603" s="552"/>
      <c r="B603" s="559"/>
      <c r="C603" s="110">
        <v>25</v>
      </c>
      <c r="D603" s="12"/>
      <c r="E603" s="12"/>
      <c r="F603" s="12"/>
      <c r="G603" s="12"/>
      <c r="H603" s="12"/>
      <c r="I603" s="12"/>
      <c r="J603" s="12"/>
      <c r="K603" s="12"/>
      <c r="L603" s="12"/>
      <c r="M603" s="12"/>
      <c r="N603" s="12"/>
      <c r="O603" s="12"/>
      <c r="P603" s="55">
        <f t="shared" si="39"/>
        <v>0</v>
      </c>
    </row>
    <row r="604" spans="1:16" ht="15" customHeight="1" x14ac:dyDescent="0.25">
      <c r="A604" s="552"/>
      <c r="B604" s="559"/>
      <c r="C604" s="110">
        <v>26</v>
      </c>
      <c r="D604" s="12"/>
      <c r="E604" s="12"/>
      <c r="F604" s="12"/>
      <c r="G604" s="12"/>
      <c r="H604" s="12"/>
      <c r="I604" s="12"/>
      <c r="J604" s="12"/>
      <c r="K604" s="12"/>
      <c r="L604" s="12"/>
      <c r="M604" s="12"/>
      <c r="N604" s="12"/>
      <c r="O604" s="12"/>
      <c r="P604" s="55">
        <f t="shared" si="39"/>
        <v>0</v>
      </c>
    </row>
    <row r="605" spans="1:16" ht="15" customHeight="1" x14ac:dyDescent="0.25">
      <c r="A605" s="553"/>
      <c r="B605" s="559"/>
      <c r="C605" s="110">
        <v>27</v>
      </c>
      <c r="D605" s="12"/>
      <c r="E605" s="12"/>
      <c r="F605" s="12"/>
      <c r="G605" s="12"/>
      <c r="H605" s="12"/>
      <c r="I605" s="12"/>
      <c r="J605" s="12"/>
      <c r="K605" s="12"/>
      <c r="L605" s="12"/>
      <c r="M605" s="12"/>
      <c r="N605" s="12"/>
      <c r="O605" s="12"/>
      <c r="P605" s="55">
        <f t="shared" si="39"/>
        <v>0</v>
      </c>
    </row>
    <row r="606" spans="1:16" ht="15" customHeight="1" x14ac:dyDescent="0.25">
      <c r="A606" s="562">
        <v>274</v>
      </c>
      <c r="B606" s="558" t="s">
        <v>104</v>
      </c>
      <c r="C606" s="110">
        <v>11</v>
      </c>
      <c r="D606" s="12"/>
      <c r="E606" s="12"/>
      <c r="F606" s="12"/>
      <c r="G606" s="12"/>
      <c r="H606" s="12"/>
      <c r="I606" s="12"/>
      <c r="J606" s="12"/>
      <c r="K606" s="12"/>
      <c r="L606" s="12"/>
      <c r="M606" s="12"/>
      <c r="N606" s="12"/>
      <c r="O606" s="12"/>
      <c r="P606" s="55">
        <f t="shared" si="39"/>
        <v>0</v>
      </c>
    </row>
    <row r="607" spans="1:16" ht="15" customHeight="1" x14ac:dyDescent="0.25">
      <c r="A607" s="563"/>
      <c r="B607" s="559"/>
      <c r="C607" s="110">
        <v>12</v>
      </c>
      <c r="D607" s="12"/>
      <c r="E607" s="12"/>
      <c r="F607" s="12"/>
      <c r="G607" s="12"/>
      <c r="H607" s="12"/>
      <c r="I607" s="12"/>
      <c r="J607" s="12"/>
      <c r="K607" s="12"/>
      <c r="L607" s="12"/>
      <c r="M607" s="12"/>
      <c r="N607" s="12"/>
      <c r="O607" s="12"/>
      <c r="P607" s="55">
        <f t="shared" si="39"/>
        <v>0</v>
      </c>
    </row>
    <row r="608" spans="1:16" ht="15" customHeight="1" x14ac:dyDescent="0.25">
      <c r="A608" s="563"/>
      <c r="B608" s="559"/>
      <c r="C608" s="110">
        <v>13</v>
      </c>
      <c r="D608" s="12"/>
      <c r="E608" s="12"/>
      <c r="F608" s="12"/>
      <c r="G608" s="12"/>
      <c r="H608" s="12"/>
      <c r="I608" s="12"/>
      <c r="J608" s="12"/>
      <c r="K608" s="12"/>
      <c r="L608" s="12"/>
      <c r="M608" s="12"/>
      <c r="N608" s="12"/>
      <c r="O608" s="12"/>
      <c r="P608" s="55">
        <f t="shared" si="39"/>
        <v>0</v>
      </c>
    </row>
    <row r="609" spans="1:16" ht="15" customHeight="1" x14ac:dyDescent="0.25">
      <c r="A609" s="563"/>
      <c r="B609" s="559"/>
      <c r="C609" s="110">
        <v>14</v>
      </c>
      <c r="D609" s="12"/>
      <c r="E609" s="12"/>
      <c r="F609" s="12"/>
      <c r="G609" s="12"/>
      <c r="H609" s="12"/>
      <c r="I609" s="12"/>
      <c r="J609" s="12"/>
      <c r="K609" s="12"/>
      <c r="L609" s="12"/>
      <c r="M609" s="12"/>
      <c r="N609" s="12"/>
      <c r="O609" s="12"/>
      <c r="P609" s="55">
        <f t="shared" si="39"/>
        <v>0</v>
      </c>
    </row>
    <row r="610" spans="1:16" ht="15" customHeight="1" x14ac:dyDescent="0.25">
      <c r="A610" s="563"/>
      <c r="B610" s="559"/>
      <c r="C610" s="110">
        <v>15</v>
      </c>
      <c r="D610" s="12"/>
      <c r="E610" s="12"/>
      <c r="F610" s="12"/>
      <c r="G610" s="12"/>
      <c r="H610" s="12"/>
      <c r="I610" s="12"/>
      <c r="J610" s="12"/>
      <c r="K610" s="12"/>
      <c r="L610" s="12"/>
      <c r="M610" s="12"/>
      <c r="N610" s="12"/>
      <c r="O610" s="12"/>
      <c r="P610" s="55">
        <f t="shared" si="39"/>
        <v>0</v>
      </c>
    </row>
    <row r="611" spans="1:16" ht="15" customHeight="1" x14ac:dyDescent="0.25">
      <c r="A611" s="563"/>
      <c r="B611" s="559"/>
      <c r="C611" s="110">
        <v>16</v>
      </c>
      <c r="D611" s="12"/>
      <c r="E611" s="12"/>
      <c r="F611" s="12"/>
      <c r="G611" s="12"/>
      <c r="H611" s="12"/>
      <c r="I611" s="12"/>
      <c r="J611" s="12"/>
      <c r="K611" s="12"/>
      <c r="L611" s="12"/>
      <c r="M611" s="12"/>
      <c r="N611" s="12"/>
      <c r="O611" s="12"/>
      <c r="P611" s="55">
        <f t="shared" si="39"/>
        <v>0</v>
      </c>
    </row>
    <row r="612" spans="1:16" ht="15" customHeight="1" x14ac:dyDescent="0.25">
      <c r="A612" s="563"/>
      <c r="B612" s="559"/>
      <c r="C612" s="110">
        <v>17</v>
      </c>
      <c r="D612" s="12"/>
      <c r="E612" s="12"/>
      <c r="F612" s="12"/>
      <c r="G612" s="12"/>
      <c r="H612" s="12"/>
      <c r="I612" s="12"/>
      <c r="J612" s="12"/>
      <c r="K612" s="12"/>
      <c r="L612" s="12"/>
      <c r="M612" s="12"/>
      <c r="N612" s="12"/>
      <c r="O612" s="12"/>
      <c r="P612" s="55">
        <f t="shared" si="39"/>
        <v>0</v>
      </c>
    </row>
    <row r="613" spans="1:16" ht="15" customHeight="1" x14ac:dyDescent="0.25">
      <c r="A613" s="563"/>
      <c r="B613" s="559"/>
      <c r="C613" s="110">
        <v>25</v>
      </c>
      <c r="D613" s="12"/>
      <c r="E613" s="12"/>
      <c r="F613" s="12"/>
      <c r="G613" s="12"/>
      <c r="H613" s="12"/>
      <c r="I613" s="12"/>
      <c r="J613" s="12"/>
      <c r="K613" s="12"/>
      <c r="L613" s="12"/>
      <c r="M613" s="12"/>
      <c r="N613" s="12"/>
      <c r="O613" s="12"/>
      <c r="P613" s="55">
        <f t="shared" si="39"/>
        <v>0</v>
      </c>
    </row>
    <row r="614" spans="1:16" ht="15" customHeight="1" x14ac:dyDescent="0.25">
      <c r="A614" s="563"/>
      <c r="B614" s="559"/>
      <c r="C614" s="110">
        <v>26</v>
      </c>
      <c r="D614" s="12"/>
      <c r="E614" s="12"/>
      <c r="F614" s="12"/>
      <c r="G614" s="12"/>
      <c r="H614" s="12"/>
      <c r="I614" s="12"/>
      <c r="J614" s="12"/>
      <c r="K614" s="12"/>
      <c r="L614" s="12"/>
      <c r="M614" s="12"/>
      <c r="N614" s="12"/>
      <c r="O614" s="12"/>
      <c r="P614" s="55">
        <f t="shared" si="39"/>
        <v>0</v>
      </c>
    </row>
    <row r="615" spans="1:16" ht="15" customHeight="1" x14ac:dyDescent="0.25">
      <c r="A615" s="564"/>
      <c r="B615" s="559"/>
      <c r="C615" s="110">
        <v>27</v>
      </c>
      <c r="D615" s="12"/>
      <c r="E615" s="12"/>
      <c r="F615" s="12"/>
      <c r="G615" s="12"/>
      <c r="H615" s="12"/>
      <c r="I615" s="12"/>
      <c r="J615" s="12"/>
      <c r="K615" s="12"/>
      <c r="L615" s="12"/>
      <c r="M615" s="12"/>
      <c r="N615" s="12"/>
      <c r="O615" s="12"/>
      <c r="P615" s="55">
        <f t="shared" si="39"/>
        <v>0</v>
      </c>
    </row>
    <row r="616" spans="1:16" ht="15" customHeight="1" x14ac:dyDescent="0.25">
      <c r="A616" s="551">
        <v>275</v>
      </c>
      <c r="B616" s="558" t="s">
        <v>105</v>
      </c>
      <c r="C616" s="110">
        <v>11</v>
      </c>
      <c r="D616" s="12">
        <v>8885</v>
      </c>
      <c r="E616" s="12"/>
      <c r="F616" s="12"/>
      <c r="G616" s="12"/>
      <c r="H616" s="12"/>
      <c r="I616" s="12"/>
      <c r="J616" s="12"/>
      <c r="K616" s="12"/>
      <c r="L616" s="12"/>
      <c r="M616" s="12"/>
      <c r="N616" s="12"/>
      <c r="O616" s="12"/>
      <c r="P616" s="55">
        <f t="shared" si="39"/>
        <v>8885</v>
      </c>
    </row>
    <row r="617" spans="1:16" ht="15" customHeight="1" x14ac:dyDescent="0.25">
      <c r="A617" s="552"/>
      <c r="B617" s="559"/>
      <c r="C617" s="110">
        <v>12</v>
      </c>
      <c r="D617" s="12"/>
      <c r="E617" s="12"/>
      <c r="F617" s="12"/>
      <c r="G617" s="12"/>
      <c r="H617" s="12"/>
      <c r="I617" s="12"/>
      <c r="J617" s="12"/>
      <c r="K617" s="12"/>
      <c r="L617" s="12"/>
      <c r="M617" s="12"/>
      <c r="N617" s="12"/>
      <c r="O617" s="12"/>
      <c r="P617" s="55">
        <f t="shared" si="39"/>
        <v>0</v>
      </c>
    </row>
    <row r="618" spans="1:16" ht="15" customHeight="1" x14ac:dyDescent="0.25">
      <c r="A618" s="552"/>
      <c r="B618" s="559"/>
      <c r="C618" s="110">
        <v>13</v>
      </c>
      <c r="D618" s="12"/>
      <c r="E618" s="12"/>
      <c r="F618" s="12"/>
      <c r="G618" s="12"/>
      <c r="H618" s="12"/>
      <c r="I618" s="12"/>
      <c r="J618" s="12"/>
      <c r="K618" s="12"/>
      <c r="L618" s="12"/>
      <c r="M618" s="12"/>
      <c r="N618" s="12"/>
      <c r="O618" s="12"/>
      <c r="P618" s="55">
        <f t="shared" si="39"/>
        <v>0</v>
      </c>
    </row>
    <row r="619" spans="1:16" ht="15" customHeight="1" x14ac:dyDescent="0.25">
      <c r="A619" s="552"/>
      <c r="B619" s="559"/>
      <c r="C619" s="110">
        <v>14</v>
      </c>
      <c r="D619" s="12"/>
      <c r="E619" s="12"/>
      <c r="F619" s="12"/>
      <c r="G619" s="12"/>
      <c r="H619" s="12"/>
      <c r="I619" s="12"/>
      <c r="J619" s="12"/>
      <c r="K619" s="12"/>
      <c r="L619" s="12"/>
      <c r="M619" s="12"/>
      <c r="N619" s="12"/>
      <c r="O619" s="12"/>
      <c r="P619" s="55">
        <f t="shared" si="39"/>
        <v>0</v>
      </c>
    </row>
    <row r="620" spans="1:16" ht="15" customHeight="1" x14ac:dyDescent="0.25">
      <c r="A620" s="552"/>
      <c r="B620" s="559"/>
      <c r="C620" s="110">
        <v>15</v>
      </c>
      <c r="D620" s="12"/>
      <c r="E620" s="12"/>
      <c r="F620" s="12">
        <v>10832</v>
      </c>
      <c r="G620" s="12"/>
      <c r="H620" s="12"/>
      <c r="I620" s="12"/>
      <c r="J620" s="12">
        <v>9850</v>
      </c>
      <c r="K620" s="12"/>
      <c r="L620" s="12"/>
      <c r="M620" s="12"/>
      <c r="N620" s="12"/>
      <c r="O620" s="12"/>
      <c r="P620" s="55">
        <f t="shared" si="39"/>
        <v>20682</v>
      </c>
    </row>
    <row r="621" spans="1:16" ht="15" customHeight="1" x14ac:dyDescent="0.25">
      <c r="A621" s="552"/>
      <c r="B621" s="559"/>
      <c r="C621" s="110">
        <v>16</v>
      </c>
      <c r="D621" s="12"/>
      <c r="E621" s="12"/>
      <c r="F621" s="12"/>
      <c r="G621" s="12"/>
      <c r="H621" s="12"/>
      <c r="I621" s="12"/>
      <c r="J621" s="12"/>
      <c r="K621" s="12"/>
      <c r="L621" s="12"/>
      <c r="M621" s="12"/>
      <c r="N621" s="12"/>
      <c r="O621" s="12"/>
      <c r="P621" s="55">
        <f t="shared" si="39"/>
        <v>0</v>
      </c>
    </row>
    <row r="622" spans="1:16" ht="15" customHeight="1" x14ac:dyDescent="0.25">
      <c r="A622" s="552"/>
      <c r="B622" s="559"/>
      <c r="C622" s="110">
        <v>17</v>
      </c>
      <c r="D622" s="12"/>
      <c r="E622" s="12"/>
      <c r="F622" s="12"/>
      <c r="G622" s="12"/>
      <c r="H622" s="12"/>
      <c r="I622" s="12"/>
      <c r="J622" s="12"/>
      <c r="K622" s="12"/>
      <c r="L622" s="12"/>
      <c r="M622" s="12"/>
      <c r="N622" s="12"/>
      <c r="O622" s="12"/>
      <c r="P622" s="55">
        <f t="shared" si="39"/>
        <v>0</v>
      </c>
    </row>
    <row r="623" spans="1:16" ht="15" customHeight="1" x14ac:dyDescent="0.25">
      <c r="A623" s="552"/>
      <c r="B623" s="559"/>
      <c r="C623" s="110">
        <v>25</v>
      </c>
      <c r="D623" s="66"/>
      <c r="E623" s="66"/>
      <c r="F623" s="66"/>
      <c r="G623" s="66"/>
      <c r="H623" s="66"/>
      <c r="I623" s="66"/>
      <c r="J623" s="66"/>
      <c r="K623" s="66"/>
      <c r="L623" s="66"/>
      <c r="M623" s="66"/>
      <c r="N623" s="66"/>
      <c r="O623" s="66"/>
      <c r="P623" s="55">
        <f t="shared" si="39"/>
        <v>0</v>
      </c>
    </row>
    <row r="624" spans="1:16" ht="15" customHeight="1" x14ac:dyDescent="0.25">
      <c r="A624" s="552"/>
      <c r="B624" s="559"/>
      <c r="C624" s="110">
        <v>26</v>
      </c>
      <c r="D624" s="66"/>
      <c r="E624" s="66"/>
      <c r="F624" s="66"/>
      <c r="G624" s="66"/>
      <c r="H624" s="66"/>
      <c r="I624" s="66"/>
      <c r="J624" s="66"/>
      <c r="K624" s="66"/>
      <c r="L624" s="66"/>
      <c r="M624" s="66"/>
      <c r="N624" s="66"/>
      <c r="O624" s="66"/>
      <c r="P624" s="55">
        <f t="shared" si="39"/>
        <v>0</v>
      </c>
    </row>
    <row r="625" spans="1:16" ht="15" customHeight="1" x14ac:dyDescent="0.25">
      <c r="A625" s="553"/>
      <c r="B625" s="559"/>
      <c r="C625" s="110">
        <v>27</v>
      </c>
      <c r="D625" s="66"/>
      <c r="E625" s="66"/>
      <c r="F625" s="66"/>
      <c r="G625" s="66"/>
      <c r="H625" s="66"/>
      <c r="I625" s="66"/>
      <c r="J625" s="66"/>
      <c r="K625" s="66"/>
      <c r="L625" s="66"/>
      <c r="M625" s="66"/>
      <c r="N625" s="66"/>
      <c r="O625" s="66"/>
      <c r="P625" s="55">
        <f t="shared" si="39"/>
        <v>0</v>
      </c>
    </row>
    <row r="626" spans="1:16" x14ac:dyDescent="0.25">
      <c r="A626" s="74">
        <v>2800</v>
      </c>
      <c r="B626" s="305" t="s">
        <v>2290</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1">
        <v>281</v>
      </c>
      <c r="B627" s="558" t="s">
        <v>107</v>
      </c>
      <c r="C627" s="110">
        <v>11</v>
      </c>
      <c r="D627" s="12"/>
      <c r="E627" s="12"/>
      <c r="F627" s="12"/>
      <c r="G627" s="12"/>
      <c r="H627" s="12"/>
      <c r="I627" s="12"/>
      <c r="J627" s="12"/>
      <c r="K627" s="12"/>
      <c r="L627" s="12"/>
      <c r="M627" s="12"/>
      <c r="N627" s="12"/>
      <c r="O627" s="12"/>
      <c r="P627" s="55">
        <f>SUM(D627:O627)</f>
        <v>0</v>
      </c>
    </row>
    <row r="628" spans="1:16" ht="15" customHeight="1" x14ac:dyDescent="0.25">
      <c r="A628" s="552"/>
      <c r="B628" s="559"/>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2"/>
      <c r="B629" s="559"/>
      <c r="C629" s="110">
        <v>13</v>
      </c>
      <c r="D629" s="12"/>
      <c r="E629" s="12"/>
      <c r="F629" s="12"/>
      <c r="G629" s="12"/>
      <c r="H629" s="12"/>
      <c r="I629" s="12"/>
      <c r="J629" s="12"/>
      <c r="K629" s="12"/>
      <c r="L629" s="12"/>
      <c r="M629" s="12"/>
      <c r="N629" s="12"/>
      <c r="O629" s="12"/>
      <c r="P629" s="55">
        <f t="shared" si="41"/>
        <v>0</v>
      </c>
    </row>
    <row r="630" spans="1:16" ht="15" customHeight="1" x14ac:dyDescent="0.25">
      <c r="A630" s="552"/>
      <c r="B630" s="559"/>
      <c r="C630" s="110">
        <v>14</v>
      </c>
      <c r="D630" s="12"/>
      <c r="E630" s="12"/>
      <c r="F630" s="12"/>
      <c r="G630" s="12"/>
      <c r="H630" s="12"/>
      <c r="I630" s="12"/>
      <c r="J630" s="12"/>
      <c r="K630" s="12"/>
      <c r="L630" s="12"/>
      <c r="M630" s="12"/>
      <c r="N630" s="12"/>
      <c r="O630" s="12"/>
      <c r="P630" s="55">
        <f t="shared" si="41"/>
        <v>0</v>
      </c>
    </row>
    <row r="631" spans="1:16" ht="15" customHeight="1" x14ac:dyDescent="0.25">
      <c r="A631" s="552"/>
      <c r="B631" s="559"/>
      <c r="C631" s="110">
        <v>15</v>
      </c>
      <c r="D631" s="12"/>
      <c r="E631" s="12"/>
      <c r="F631" s="12"/>
      <c r="G631" s="12"/>
      <c r="H631" s="12"/>
      <c r="I631" s="12"/>
      <c r="J631" s="12"/>
      <c r="K631" s="12"/>
      <c r="L631" s="12"/>
      <c r="M631" s="12"/>
      <c r="N631" s="12"/>
      <c r="O631" s="12"/>
      <c r="P631" s="55">
        <f t="shared" si="41"/>
        <v>0</v>
      </c>
    </row>
    <row r="632" spans="1:16" ht="15" customHeight="1" x14ac:dyDescent="0.25">
      <c r="A632" s="552"/>
      <c r="B632" s="559"/>
      <c r="C632" s="110">
        <v>16</v>
      </c>
      <c r="D632" s="12"/>
      <c r="E632" s="12"/>
      <c r="F632" s="12"/>
      <c r="G632" s="12"/>
      <c r="H632" s="12"/>
      <c r="I632" s="12"/>
      <c r="J632" s="12"/>
      <c r="K632" s="12"/>
      <c r="L632" s="12"/>
      <c r="M632" s="12"/>
      <c r="N632" s="12"/>
      <c r="O632" s="12"/>
      <c r="P632" s="55">
        <f t="shared" si="41"/>
        <v>0</v>
      </c>
    </row>
    <row r="633" spans="1:16" ht="15" customHeight="1" x14ac:dyDescent="0.25">
      <c r="A633" s="552"/>
      <c r="B633" s="559"/>
      <c r="C633" s="110">
        <v>17</v>
      </c>
      <c r="D633" s="12"/>
      <c r="E633" s="12"/>
      <c r="F633" s="12"/>
      <c r="G633" s="12"/>
      <c r="H633" s="12"/>
      <c r="I633" s="12"/>
      <c r="J633" s="12"/>
      <c r="K633" s="12"/>
      <c r="L633" s="12"/>
      <c r="M633" s="12"/>
      <c r="N633" s="12"/>
      <c r="O633" s="12"/>
      <c r="P633" s="55">
        <f t="shared" si="41"/>
        <v>0</v>
      </c>
    </row>
    <row r="634" spans="1:16" ht="15" customHeight="1" x14ac:dyDescent="0.25">
      <c r="A634" s="552"/>
      <c r="B634" s="559"/>
      <c r="C634" s="110">
        <v>25</v>
      </c>
      <c r="D634" s="12"/>
      <c r="E634" s="12"/>
      <c r="F634" s="12"/>
      <c r="G634" s="12"/>
      <c r="H634" s="12"/>
      <c r="I634" s="12"/>
      <c r="J634" s="12"/>
      <c r="K634" s="12"/>
      <c r="L634" s="12"/>
      <c r="M634" s="12"/>
      <c r="N634" s="12"/>
      <c r="O634" s="12"/>
      <c r="P634" s="55">
        <f t="shared" si="41"/>
        <v>0</v>
      </c>
    </row>
    <row r="635" spans="1:16" ht="15" customHeight="1" x14ac:dyDescent="0.25">
      <c r="A635" s="552"/>
      <c r="B635" s="559"/>
      <c r="C635" s="110">
        <v>26</v>
      </c>
      <c r="D635" s="12"/>
      <c r="E635" s="12"/>
      <c r="F635" s="12"/>
      <c r="G635" s="12"/>
      <c r="H635" s="12"/>
      <c r="I635" s="12"/>
      <c r="J635" s="12"/>
      <c r="K635" s="12"/>
      <c r="L635" s="12"/>
      <c r="M635" s="12"/>
      <c r="N635" s="12"/>
      <c r="O635" s="12"/>
      <c r="P635" s="55">
        <f t="shared" si="41"/>
        <v>0</v>
      </c>
    </row>
    <row r="636" spans="1:16" ht="15" customHeight="1" x14ac:dyDescent="0.25">
      <c r="A636" s="553"/>
      <c r="B636" s="559"/>
      <c r="C636" s="110">
        <v>27</v>
      </c>
      <c r="D636" s="12"/>
      <c r="E636" s="12"/>
      <c r="F636" s="12"/>
      <c r="G636" s="12"/>
      <c r="H636" s="12"/>
      <c r="I636" s="12"/>
      <c r="J636" s="12"/>
      <c r="K636" s="12"/>
      <c r="L636" s="12"/>
      <c r="M636" s="12"/>
      <c r="N636" s="12"/>
      <c r="O636" s="12"/>
      <c r="P636" s="55">
        <f t="shared" si="41"/>
        <v>0</v>
      </c>
    </row>
    <row r="637" spans="1:16" ht="15" customHeight="1" x14ac:dyDescent="0.25">
      <c r="A637" s="551">
        <v>282</v>
      </c>
      <c r="B637" s="558" t="s">
        <v>108</v>
      </c>
      <c r="C637" s="110">
        <v>11</v>
      </c>
      <c r="D637" s="12"/>
      <c r="E637" s="12"/>
      <c r="F637" s="12"/>
      <c r="G637" s="12"/>
      <c r="H637" s="12"/>
      <c r="I637" s="12"/>
      <c r="J637" s="12"/>
      <c r="K637" s="12"/>
      <c r="L637" s="12"/>
      <c r="M637" s="12"/>
      <c r="N637" s="12"/>
      <c r="O637" s="12"/>
      <c r="P637" s="55">
        <f t="shared" si="41"/>
        <v>0</v>
      </c>
    </row>
    <row r="638" spans="1:16" ht="15" customHeight="1" x14ac:dyDescent="0.25">
      <c r="A638" s="552"/>
      <c r="B638" s="559"/>
      <c r="C638" s="110">
        <v>12</v>
      </c>
      <c r="D638" s="12"/>
      <c r="E638" s="12"/>
      <c r="F638" s="12"/>
      <c r="G638" s="12"/>
      <c r="H638" s="12"/>
      <c r="I638" s="12"/>
      <c r="J638" s="12"/>
      <c r="K638" s="12"/>
      <c r="L638" s="12"/>
      <c r="M638" s="12"/>
      <c r="N638" s="12"/>
      <c r="O638" s="12"/>
      <c r="P638" s="55">
        <f t="shared" si="41"/>
        <v>0</v>
      </c>
    </row>
    <row r="639" spans="1:16" ht="15" customHeight="1" x14ac:dyDescent="0.25">
      <c r="A639" s="552"/>
      <c r="B639" s="559"/>
      <c r="C639" s="110">
        <v>13</v>
      </c>
      <c r="D639" s="12"/>
      <c r="E639" s="12"/>
      <c r="F639" s="12"/>
      <c r="G639" s="12"/>
      <c r="H639" s="12"/>
      <c r="I639" s="12"/>
      <c r="J639" s="12"/>
      <c r="K639" s="12"/>
      <c r="L639" s="12"/>
      <c r="M639" s="12"/>
      <c r="N639" s="12"/>
      <c r="O639" s="12"/>
      <c r="P639" s="55">
        <f t="shared" si="41"/>
        <v>0</v>
      </c>
    </row>
    <row r="640" spans="1:16" ht="15" customHeight="1" x14ac:dyDescent="0.25">
      <c r="A640" s="552"/>
      <c r="B640" s="559"/>
      <c r="C640" s="110">
        <v>14</v>
      </c>
      <c r="D640" s="12"/>
      <c r="E640" s="12"/>
      <c r="F640" s="12"/>
      <c r="G640" s="12"/>
      <c r="H640" s="12"/>
      <c r="I640" s="12"/>
      <c r="J640" s="12"/>
      <c r="K640" s="12"/>
      <c r="L640" s="12"/>
      <c r="M640" s="12"/>
      <c r="N640" s="12"/>
      <c r="O640" s="12"/>
      <c r="P640" s="55">
        <f t="shared" si="41"/>
        <v>0</v>
      </c>
    </row>
    <row r="641" spans="1:16" ht="15" customHeight="1" x14ac:dyDescent="0.25">
      <c r="A641" s="552"/>
      <c r="B641" s="559"/>
      <c r="C641" s="110">
        <v>15</v>
      </c>
      <c r="D641" s="12"/>
      <c r="E641" s="12"/>
      <c r="F641" s="12"/>
      <c r="G641" s="12"/>
      <c r="H641" s="12"/>
      <c r="I641" s="12"/>
      <c r="J641" s="12"/>
      <c r="K641" s="12"/>
      <c r="L641" s="12"/>
      <c r="M641" s="12"/>
      <c r="N641" s="12"/>
      <c r="O641" s="12"/>
      <c r="P641" s="55">
        <f t="shared" si="41"/>
        <v>0</v>
      </c>
    </row>
    <row r="642" spans="1:16" ht="15" customHeight="1" x14ac:dyDescent="0.25">
      <c r="A642" s="552"/>
      <c r="B642" s="559"/>
      <c r="C642" s="110">
        <v>16</v>
      </c>
      <c r="D642" s="12"/>
      <c r="E642" s="12"/>
      <c r="F642" s="12"/>
      <c r="G642" s="12"/>
      <c r="H642" s="12"/>
      <c r="I642" s="12"/>
      <c r="J642" s="12"/>
      <c r="K642" s="12"/>
      <c r="L642" s="12"/>
      <c r="M642" s="12"/>
      <c r="N642" s="12"/>
      <c r="O642" s="12"/>
      <c r="P642" s="55">
        <f t="shared" si="41"/>
        <v>0</v>
      </c>
    </row>
    <row r="643" spans="1:16" ht="15" customHeight="1" x14ac:dyDescent="0.25">
      <c r="A643" s="552"/>
      <c r="B643" s="559"/>
      <c r="C643" s="110">
        <v>17</v>
      </c>
      <c r="D643" s="12"/>
      <c r="E643" s="12"/>
      <c r="F643" s="12"/>
      <c r="G643" s="12"/>
      <c r="H643" s="12"/>
      <c r="I643" s="12"/>
      <c r="J643" s="12"/>
      <c r="K643" s="12"/>
      <c r="L643" s="12"/>
      <c r="M643" s="12"/>
      <c r="N643" s="12"/>
      <c r="O643" s="12"/>
      <c r="P643" s="55">
        <f t="shared" si="41"/>
        <v>0</v>
      </c>
    </row>
    <row r="644" spans="1:16" ht="15" customHeight="1" x14ac:dyDescent="0.25">
      <c r="A644" s="552"/>
      <c r="B644" s="559"/>
      <c r="C644" s="110">
        <v>25</v>
      </c>
      <c r="D644" s="12"/>
      <c r="E644" s="12"/>
      <c r="F644" s="12"/>
      <c r="G644" s="12"/>
      <c r="H644" s="12"/>
      <c r="I644" s="12"/>
      <c r="J644" s="12"/>
      <c r="K644" s="12"/>
      <c r="L644" s="12"/>
      <c r="M644" s="12"/>
      <c r="N644" s="12"/>
      <c r="O644" s="12"/>
      <c r="P644" s="55">
        <f t="shared" si="41"/>
        <v>0</v>
      </c>
    </row>
    <row r="645" spans="1:16" ht="15" customHeight="1" x14ac:dyDescent="0.25">
      <c r="A645" s="552"/>
      <c r="B645" s="559"/>
      <c r="C645" s="110">
        <v>26</v>
      </c>
      <c r="D645" s="12"/>
      <c r="E645" s="12"/>
      <c r="F645" s="12"/>
      <c r="G645" s="12"/>
      <c r="H645" s="12"/>
      <c r="I645" s="12"/>
      <c r="J645" s="12"/>
      <c r="K645" s="12"/>
      <c r="L645" s="12"/>
      <c r="M645" s="12"/>
      <c r="N645" s="12"/>
      <c r="O645" s="12"/>
      <c r="P645" s="55">
        <f t="shared" si="41"/>
        <v>0</v>
      </c>
    </row>
    <row r="646" spans="1:16" ht="15" customHeight="1" x14ac:dyDescent="0.25">
      <c r="A646" s="553"/>
      <c r="B646" s="559"/>
      <c r="C646" s="110">
        <v>27</v>
      </c>
      <c r="D646" s="12"/>
      <c r="E646" s="12"/>
      <c r="F646" s="12"/>
      <c r="G646" s="12"/>
      <c r="H646" s="12"/>
      <c r="I646" s="12"/>
      <c r="J646" s="12"/>
      <c r="K646" s="12"/>
      <c r="L646" s="12"/>
      <c r="M646" s="12"/>
      <c r="N646" s="12"/>
      <c r="O646" s="12"/>
      <c r="P646" s="55">
        <f t="shared" si="41"/>
        <v>0</v>
      </c>
    </row>
    <row r="647" spans="1:16" ht="15" customHeight="1" x14ac:dyDescent="0.25">
      <c r="A647" s="551">
        <v>283</v>
      </c>
      <c r="B647" s="558" t="s">
        <v>109</v>
      </c>
      <c r="C647" s="110">
        <v>11</v>
      </c>
      <c r="D647" s="12"/>
      <c r="E647" s="12"/>
      <c r="F647" s="12"/>
      <c r="G647" s="12"/>
      <c r="H647" s="12"/>
      <c r="I647" s="12"/>
      <c r="J647" s="12"/>
      <c r="K647" s="12"/>
      <c r="L647" s="12"/>
      <c r="M647" s="12"/>
      <c r="N647" s="12"/>
      <c r="O647" s="12"/>
      <c r="P647" s="55">
        <f t="shared" si="41"/>
        <v>0</v>
      </c>
    </row>
    <row r="648" spans="1:16" ht="15" customHeight="1" x14ac:dyDescent="0.25">
      <c r="A648" s="552"/>
      <c r="B648" s="559"/>
      <c r="C648" s="110">
        <v>12</v>
      </c>
      <c r="D648" s="12"/>
      <c r="E648" s="12"/>
      <c r="F648" s="12"/>
      <c r="G648" s="12"/>
      <c r="H648" s="12"/>
      <c r="I648" s="12"/>
      <c r="J648" s="12"/>
      <c r="K648" s="12"/>
      <c r="L648" s="12"/>
      <c r="M648" s="12"/>
      <c r="N648" s="12"/>
      <c r="O648" s="12"/>
      <c r="P648" s="55">
        <f t="shared" si="41"/>
        <v>0</v>
      </c>
    </row>
    <row r="649" spans="1:16" ht="15" customHeight="1" x14ac:dyDescent="0.25">
      <c r="A649" s="552"/>
      <c r="B649" s="559"/>
      <c r="C649" s="110">
        <v>13</v>
      </c>
      <c r="D649" s="12"/>
      <c r="E649" s="12"/>
      <c r="F649" s="12"/>
      <c r="G649" s="12"/>
      <c r="H649" s="12"/>
      <c r="I649" s="12"/>
      <c r="J649" s="12"/>
      <c r="K649" s="12"/>
      <c r="L649" s="12"/>
      <c r="M649" s="12"/>
      <c r="N649" s="12"/>
      <c r="O649" s="12"/>
      <c r="P649" s="55">
        <f t="shared" si="41"/>
        <v>0</v>
      </c>
    </row>
    <row r="650" spans="1:16" ht="15" customHeight="1" x14ac:dyDescent="0.25">
      <c r="A650" s="552"/>
      <c r="B650" s="559"/>
      <c r="C650" s="110">
        <v>14</v>
      </c>
      <c r="D650" s="12"/>
      <c r="E650" s="12"/>
      <c r="F650" s="12"/>
      <c r="G650" s="12"/>
      <c r="H650" s="12"/>
      <c r="I650" s="12"/>
      <c r="J650" s="12"/>
      <c r="K650" s="12"/>
      <c r="L650" s="12"/>
      <c r="M650" s="12"/>
      <c r="N650" s="12"/>
      <c r="O650" s="12"/>
      <c r="P650" s="55">
        <f t="shared" si="41"/>
        <v>0</v>
      </c>
    </row>
    <row r="651" spans="1:16" ht="15" customHeight="1" x14ac:dyDescent="0.25">
      <c r="A651" s="552"/>
      <c r="B651" s="559"/>
      <c r="C651" s="110">
        <v>15</v>
      </c>
      <c r="D651" s="12"/>
      <c r="E651" s="12"/>
      <c r="F651" s="12"/>
      <c r="G651" s="12"/>
      <c r="H651" s="12"/>
      <c r="I651" s="12"/>
      <c r="J651" s="12"/>
      <c r="K651" s="12"/>
      <c r="L651" s="12"/>
      <c r="M651" s="12"/>
      <c r="N651" s="12"/>
      <c r="O651" s="12"/>
      <c r="P651" s="55">
        <f t="shared" si="41"/>
        <v>0</v>
      </c>
    </row>
    <row r="652" spans="1:16" ht="15" customHeight="1" x14ac:dyDescent="0.25">
      <c r="A652" s="552"/>
      <c r="B652" s="559"/>
      <c r="C652" s="110">
        <v>16</v>
      </c>
      <c r="D652" s="12"/>
      <c r="E652" s="12"/>
      <c r="F652" s="12"/>
      <c r="G652" s="12"/>
      <c r="H652" s="12"/>
      <c r="I652" s="12"/>
      <c r="J652" s="12"/>
      <c r="K652" s="12"/>
      <c r="L652" s="12"/>
      <c r="M652" s="12"/>
      <c r="N652" s="12"/>
      <c r="O652" s="12"/>
      <c r="P652" s="55">
        <f t="shared" si="41"/>
        <v>0</v>
      </c>
    </row>
    <row r="653" spans="1:16" ht="15" customHeight="1" x14ac:dyDescent="0.25">
      <c r="A653" s="552"/>
      <c r="B653" s="559"/>
      <c r="C653" s="110">
        <v>17</v>
      </c>
      <c r="D653" s="12"/>
      <c r="E653" s="12"/>
      <c r="F653" s="12"/>
      <c r="G653" s="12"/>
      <c r="H653" s="12"/>
      <c r="I653" s="12"/>
      <c r="J653" s="12"/>
      <c r="K653" s="12"/>
      <c r="L653" s="12"/>
      <c r="M653" s="12"/>
      <c r="N653" s="12"/>
      <c r="O653" s="12"/>
      <c r="P653" s="55">
        <f t="shared" si="41"/>
        <v>0</v>
      </c>
    </row>
    <row r="654" spans="1:16" ht="15" customHeight="1" x14ac:dyDescent="0.25">
      <c r="A654" s="552"/>
      <c r="B654" s="559"/>
      <c r="C654" s="110">
        <v>25</v>
      </c>
      <c r="D654" s="12"/>
      <c r="E654" s="12"/>
      <c r="F654" s="12"/>
      <c r="G654" s="12"/>
      <c r="H654" s="12"/>
      <c r="I654" s="12"/>
      <c r="J654" s="12"/>
      <c r="K654" s="12"/>
      <c r="L654" s="12"/>
      <c r="M654" s="12"/>
      <c r="N654" s="12"/>
      <c r="O654" s="12"/>
      <c r="P654" s="55">
        <f t="shared" si="41"/>
        <v>0</v>
      </c>
    </row>
    <row r="655" spans="1:16" ht="15" customHeight="1" x14ac:dyDescent="0.25">
      <c r="A655" s="552"/>
      <c r="B655" s="559"/>
      <c r="C655" s="110">
        <v>26</v>
      </c>
      <c r="D655" s="12"/>
      <c r="E655" s="12"/>
      <c r="F655" s="12"/>
      <c r="G655" s="12"/>
      <c r="H655" s="12"/>
      <c r="I655" s="12"/>
      <c r="J655" s="12"/>
      <c r="K655" s="12"/>
      <c r="L655" s="12"/>
      <c r="M655" s="12"/>
      <c r="N655" s="12"/>
      <c r="O655" s="12"/>
      <c r="P655" s="55">
        <f t="shared" si="41"/>
        <v>0</v>
      </c>
    </row>
    <row r="656" spans="1:16" ht="15" customHeight="1" x14ac:dyDescent="0.25">
      <c r="A656" s="553"/>
      <c r="B656" s="559"/>
      <c r="C656" s="110">
        <v>27</v>
      </c>
      <c r="D656" s="12"/>
      <c r="E656" s="12"/>
      <c r="F656" s="12"/>
      <c r="G656" s="12"/>
      <c r="H656" s="12"/>
      <c r="I656" s="12"/>
      <c r="J656" s="12"/>
      <c r="K656" s="12"/>
      <c r="L656" s="12"/>
      <c r="M656" s="12"/>
      <c r="N656" s="12"/>
      <c r="O656" s="12"/>
      <c r="P656" s="55">
        <f t="shared" si="41"/>
        <v>0</v>
      </c>
    </row>
    <row r="657" spans="1:16" x14ac:dyDescent="0.25">
      <c r="A657" s="74">
        <v>2900</v>
      </c>
      <c r="B657" s="305" t="s">
        <v>2291</v>
      </c>
      <c r="C657" s="306"/>
      <c r="D657" s="72">
        <f>SUM(D658:D747)</f>
        <v>277624</v>
      </c>
      <c r="E657" s="72">
        <f t="shared" ref="E657:O657" si="42">SUM(E658:E747)</f>
        <v>183356</v>
      </c>
      <c r="F657" s="72">
        <f t="shared" si="42"/>
        <v>170169</v>
      </c>
      <c r="G657" s="72">
        <f t="shared" si="42"/>
        <v>154185</v>
      </c>
      <c r="H657" s="72">
        <f t="shared" si="42"/>
        <v>181679</v>
      </c>
      <c r="I657" s="72">
        <f t="shared" si="42"/>
        <v>150290</v>
      </c>
      <c r="J657" s="72">
        <f t="shared" si="42"/>
        <v>93889</v>
      </c>
      <c r="K657" s="72">
        <f t="shared" si="42"/>
        <v>119007</v>
      </c>
      <c r="L657" s="72">
        <f t="shared" si="42"/>
        <v>149101</v>
      </c>
      <c r="M657" s="72">
        <f t="shared" si="42"/>
        <v>117094</v>
      </c>
      <c r="N657" s="72">
        <f t="shared" si="42"/>
        <v>138531</v>
      </c>
      <c r="O657" s="72">
        <f t="shared" si="42"/>
        <v>132068</v>
      </c>
      <c r="P657" s="72">
        <f>SUM(P658:P747)</f>
        <v>1866993</v>
      </c>
    </row>
    <row r="658" spans="1:16" ht="15" customHeight="1" x14ac:dyDescent="0.25">
      <c r="A658" s="551">
        <v>291</v>
      </c>
      <c r="B658" s="558" t="s">
        <v>111</v>
      </c>
      <c r="C658" s="110">
        <v>11</v>
      </c>
      <c r="D658" s="12">
        <v>2432</v>
      </c>
      <c r="E658" s="12">
        <v>2569</v>
      </c>
      <c r="F658" s="12"/>
      <c r="G658" s="12"/>
      <c r="H658" s="12"/>
      <c r="I658" s="12"/>
      <c r="J658" s="12">
        <v>1258</v>
      </c>
      <c r="K658" s="12"/>
      <c r="L658" s="12"/>
      <c r="M658" s="12"/>
      <c r="N658" s="12"/>
      <c r="O658" s="12"/>
      <c r="P658" s="55">
        <f>SUM(D658:O658)</f>
        <v>6259</v>
      </c>
    </row>
    <row r="659" spans="1:16" ht="15" customHeight="1" x14ac:dyDescent="0.25">
      <c r="A659" s="552"/>
      <c r="B659" s="559"/>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2"/>
      <c r="B660" s="559"/>
      <c r="C660" s="110">
        <v>13</v>
      </c>
      <c r="D660" s="12"/>
      <c r="E660" s="12"/>
      <c r="F660" s="12"/>
      <c r="G660" s="12"/>
      <c r="H660" s="12"/>
      <c r="I660" s="12"/>
      <c r="J660" s="12"/>
      <c r="K660" s="12"/>
      <c r="L660" s="12"/>
      <c r="M660" s="12"/>
      <c r="N660" s="12"/>
      <c r="O660" s="12"/>
      <c r="P660" s="55">
        <f t="shared" si="43"/>
        <v>0</v>
      </c>
    </row>
    <row r="661" spans="1:16" ht="15" customHeight="1" x14ac:dyDescent="0.25">
      <c r="A661" s="552"/>
      <c r="B661" s="559"/>
      <c r="C661" s="110">
        <v>14</v>
      </c>
      <c r="D661" s="12"/>
      <c r="E661" s="12"/>
      <c r="F661" s="12"/>
      <c r="G661" s="12"/>
      <c r="H661" s="12"/>
      <c r="I661" s="12"/>
      <c r="J661" s="12"/>
      <c r="K661" s="12"/>
      <c r="L661" s="12"/>
      <c r="M661" s="12"/>
      <c r="N661" s="12"/>
      <c r="O661" s="12"/>
      <c r="P661" s="55">
        <f t="shared" si="43"/>
        <v>0</v>
      </c>
    </row>
    <row r="662" spans="1:16" ht="15" customHeight="1" x14ac:dyDescent="0.25">
      <c r="A662" s="552"/>
      <c r="B662" s="559"/>
      <c r="C662" s="110">
        <v>15</v>
      </c>
      <c r="D662" s="12"/>
      <c r="E662" s="12"/>
      <c r="F662" s="12">
        <v>1457</v>
      </c>
      <c r="G662" s="12">
        <v>1717</v>
      </c>
      <c r="H662" s="12">
        <v>4526</v>
      </c>
      <c r="I662" s="12">
        <v>1642</v>
      </c>
      <c r="J662" s="12">
        <v>5536</v>
      </c>
      <c r="K662" s="12">
        <v>1912</v>
      </c>
      <c r="L662" s="12">
        <v>2183</v>
      </c>
      <c r="M662" s="12">
        <v>1938</v>
      </c>
      <c r="N662" s="12">
        <v>3676</v>
      </c>
      <c r="O662" s="12">
        <v>1776</v>
      </c>
      <c r="P662" s="55">
        <f t="shared" si="43"/>
        <v>26363</v>
      </c>
    </row>
    <row r="663" spans="1:16" ht="15" customHeight="1" x14ac:dyDescent="0.25">
      <c r="A663" s="552"/>
      <c r="B663" s="559"/>
      <c r="C663" s="110">
        <v>16</v>
      </c>
      <c r="D663" s="12"/>
      <c r="E663" s="12"/>
      <c r="F663" s="12"/>
      <c r="G663" s="12"/>
      <c r="H663" s="12"/>
      <c r="I663" s="12"/>
      <c r="J663" s="12"/>
      <c r="K663" s="12"/>
      <c r="L663" s="12"/>
      <c r="M663" s="12"/>
      <c r="N663" s="12"/>
      <c r="O663" s="12"/>
      <c r="P663" s="55">
        <f t="shared" si="43"/>
        <v>0</v>
      </c>
    </row>
    <row r="664" spans="1:16" ht="15" customHeight="1" x14ac:dyDescent="0.25">
      <c r="A664" s="552"/>
      <c r="B664" s="559"/>
      <c r="C664" s="110">
        <v>17</v>
      </c>
      <c r="D664" s="12"/>
      <c r="E664" s="12"/>
      <c r="F664" s="12"/>
      <c r="G664" s="12"/>
      <c r="H664" s="12"/>
      <c r="I664" s="12"/>
      <c r="J664" s="12"/>
      <c r="K664" s="12"/>
      <c r="L664" s="12"/>
      <c r="M664" s="12"/>
      <c r="N664" s="12"/>
      <c r="O664" s="12"/>
      <c r="P664" s="55">
        <f t="shared" si="43"/>
        <v>0</v>
      </c>
    </row>
    <row r="665" spans="1:16" ht="15" customHeight="1" x14ac:dyDescent="0.25">
      <c r="A665" s="552"/>
      <c r="B665" s="559"/>
      <c r="C665" s="110">
        <v>25</v>
      </c>
      <c r="D665" s="12"/>
      <c r="E665" s="12"/>
      <c r="F665" s="12"/>
      <c r="G665" s="12"/>
      <c r="H665" s="12"/>
      <c r="I665" s="12"/>
      <c r="J665" s="12"/>
      <c r="K665" s="12"/>
      <c r="L665" s="12"/>
      <c r="M665" s="12"/>
      <c r="N665" s="12"/>
      <c r="O665" s="12"/>
      <c r="P665" s="55">
        <f t="shared" si="43"/>
        <v>0</v>
      </c>
    </row>
    <row r="666" spans="1:16" ht="15" customHeight="1" x14ac:dyDescent="0.25">
      <c r="A666" s="552"/>
      <c r="B666" s="559"/>
      <c r="C666" s="110">
        <v>26</v>
      </c>
      <c r="D666" s="12"/>
      <c r="E666" s="12"/>
      <c r="F666" s="12"/>
      <c r="G666" s="12"/>
      <c r="H666" s="12"/>
      <c r="I666" s="12"/>
      <c r="J666" s="12"/>
      <c r="K666" s="12"/>
      <c r="L666" s="12"/>
      <c r="M666" s="12"/>
      <c r="N666" s="12"/>
      <c r="O666" s="12"/>
      <c r="P666" s="55">
        <f t="shared" si="43"/>
        <v>0</v>
      </c>
    </row>
    <row r="667" spans="1:16" ht="15" customHeight="1" x14ac:dyDescent="0.25">
      <c r="A667" s="553"/>
      <c r="B667" s="559"/>
      <c r="C667" s="110">
        <v>27</v>
      </c>
      <c r="D667" s="12"/>
      <c r="E667" s="12"/>
      <c r="F667" s="12"/>
      <c r="G667" s="12"/>
      <c r="H667" s="12"/>
      <c r="I667" s="12"/>
      <c r="J667" s="12"/>
      <c r="K667" s="12"/>
      <c r="L667" s="12"/>
      <c r="M667" s="12"/>
      <c r="N667" s="12"/>
      <c r="O667" s="12"/>
      <c r="P667" s="55">
        <f t="shared" si="43"/>
        <v>0</v>
      </c>
    </row>
    <row r="668" spans="1:16" ht="15" customHeight="1" x14ac:dyDescent="0.25">
      <c r="A668" s="562">
        <v>292</v>
      </c>
      <c r="B668" s="558" t="s">
        <v>112</v>
      </c>
      <c r="C668" s="110">
        <v>11</v>
      </c>
      <c r="D668" s="12">
        <v>655</v>
      </c>
      <c r="E668" s="12">
        <v>328</v>
      </c>
      <c r="F668" s="12"/>
      <c r="G668" s="12"/>
      <c r="H668" s="12"/>
      <c r="I668" s="12"/>
      <c r="J668" s="12"/>
      <c r="K668" s="12"/>
      <c r="L668" s="12"/>
      <c r="M668" s="12"/>
      <c r="N668" s="12"/>
      <c r="O668" s="12"/>
      <c r="P668" s="55">
        <f t="shared" si="43"/>
        <v>983</v>
      </c>
    </row>
    <row r="669" spans="1:16" ht="15" customHeight="1" x14ac:dyDescent="0.25">
      <c r="A669" s="563"/>
      <c r="B669" s="559"/>
      <c r="C669" s="110">
        <v>12</v>
      </c>
      <c r="D669" s="12"/>
      <c r="E669" s="12"/>
      <c r="F669" s="12"/>
      <c r="G669" s="12"/>
      <c r="H669" s="12"/>
      <c r="I669" s="12"/>
      <c r="J669" s="12"/>
      <c r="K669" s="12"/>
      <c r="L669" s="12"/>
      <c r="M669" s="12"/>
      <c r="N669" s="12"/>
      <c r="O669" s="12"/>
      <c r="P669" s="55">
        <f t="shared" si="43"/>
        <v>0</v>
      </c>
    </row>
    <row r="670" spans="1:16" ht="15" customHeight="1" x14ac:dyDescent="0.25">
      <c r="A670" s="563"/>
      <c r="B670" s="559"/>
      <c r="C670" s="110">
        <v>13</v>
      </c>
      <c r="D670" s="12"/>
      <c r="E670" s="12"/>
      <c r="F670" s="12"/>
      <c r="G670" s="12"/>
      <c r="H670" s="12"/>
      <c r="I670" s="12"/>
      <c r="J670" s="12"/>
      <c r="K670" s="12"/>
      <c r="L670" s="12"/>
      <c r="M670" s="12"/>
      <c r="N670" s="12"/>
      <c r="O670" s="12"/>
      <c r="P670" s="55">
        <f t="shared" si="43"/>
        <v>0</v>
      </c>
    </row>
    <row r="671" spans="1:16" ht="15" customHeight="1" x14ac:dyDescent="0.25">
      <c r="A671" s="563"/>
      <c r="B671" s="559"/>
      <c r="C671" s="110">
        <v>14</v>
      </c>
      <c r="D671" s="12"/>
      <c r="E671" s="12"/>
      <c r="F671" s="12"/>
      <c r="G671" s="12"/>
      <c r="H671" s="12"/>
      <c r="I671" s="12"/>
      <c r="J671" s="12"/>
      <c r="K671" s="12"/>
      <c r="L671" s="12"/>
      <c r="M671" s="12"/>
      <c r="N671" s="12"/>
      <c r="O671" s="12"/>
      <c r="P671" s="55">
        <f t="shared" si="43"/>
        <v>0</v>
      </c>
    </row>
    <row r="672" spans="1:16" ht="15" customHeight="1" x14ac:dyDescent="0.25">
      <c r="A672" s="563"/>
      <c r="B672" s="559"/>
      <c r="C672" s="110">
        <v>15</v>
      </c>
      <c r="D672" s="12"/>
      <c r="E672" s="12"/>
      <c r="F672" s="12"/>
      <c r="G672" s="12">
        <v>460</v>
      </c>
      <c r="H672" s="12"/>
      <c r="I672" s="12"/>
      <c r="J672" s="12">
        <v>285</v>
      </c>
      <c r="K672" s="12"/>
      <c r="L672" s="12"/>
      <c r="M672" s="12">
        <v>495</v>
      </c>
      <c r="N672" s="12"/>
      <c r="O672" s="12">
        <v>856</v>
      </c>
      <c r="P672" s="55">
        <f t="shared" si="43"/>
        <v>2096</v>
      </c>
    </row>
    <row r="673" spans="1:16" ht="15" customHeight="1" x14ac:dyDescent="0.25">
      <c r="A673" s="563"/>
      <c r="B673" s="559"/>
      <c r="C673" s="110">
        <v>16</v>
      </c>
      <c r="D673" s="12"/>
      <c r="E673" s="12"/>
      <c r="F673" s="12"/>
      <c r="G673" s="12"/>
      <c r="H673" s="12"/>
      <c r="I673" s="12"/>
      <c r="J673" s="12"/>
      <c r="K673" s="12"/>
      <c r="L673" s="12"/>
      <c r="M673" s="12"/>
      <c r="N673" s="12"/>
      <c r="O673" s="12"/>
      <c r="P673" s="55">
        <f t="shared" si="43"/>
        <v>0</v>
      </c>
    </row>
    <row r="674" spans="1:16" ht="15" customHeight="1" x14ac:dyDescent="0.25">
      <c r="A674" s="563"/>
      <c r="B674" s="559"/>
      <c r="C674" s="110">
        <v>17</v>
      </c>
      <c r="D674" s="12"/>
      <c r="E674" s="12"/>
      <c r="F674" s="12"/>
      <c r="G674" s="12"/>
      <c r="H674" s="12"/>
      <c r="I674" s="12"/>
      <c r="J674" s="12"/>
      <c r="K674" s="12"/>
      <c r="L674" s="12"/>
      <c r="M674" s="12"/>
      <c r="N674" s="12"/>
      <c r="O674" s="12"/>
      <c r="P674" s="55">
        <f t="shared" si="43"/>
        <v>0</v>
      </c>
    </row>
    <row r="675" spans="1:16" ht="15" customHeight="1" x14ac:dyDescent="0.25">
      <c r="A675" s="563"/>
      <c r="B675" s="559"/>
      <c r="C675" s="110">
        <v>25</v>
      </c>
      <c r="D675" s="12"/>
      <c r="E675" s="12"/>
      <c r="F675" s="12"/>
      <c r="G675" s="12"/>
      <c r="H675" s="12"/>
      <c r="I675" s="12"/>
      <c r="J675" s="12"/>
      <c r="K675" s="12"/>
      <c r="L675" s="12"/>
      <c r="M675" s="12"/>
      <c r="N675" s="12"/>
      <c r="O675" s="12"/>
      <c r="P675" s="55">
        <f t="shared" si="43"/>
        <v>0</v>
      </c>
    </row>
    <row r="676" spans="1:16" ht="15" customHeight="1" x14ac:dyDescent="0.25">
      <c r="A676" s="563"/>
      <c r="B676" s="559"/>
      <c r="C676" s="110">
        <v>26</v>
      </c>
      <c r="D676" s="12"/>
      <c r="E676" s="12"/>
      <c r="F676" s="12"/>
      <c r="G676" s="12"/>
      <c r="H676" s="12"/>
      <c r="I676" s="12"/>
      <c r="J676" s="12"/>
      <c r="K676" s="12"/>
      <c r="L676" s="12"/>
      <c r="M676" s="12"/>
      <c r="N676" s="12"/>
      <c r="O676" s="12"/>
      <c r="P676" s="55">
        <f t="shared" si="43"/>
        <v>0</v>
      </c>
    </row>
    <row r="677" spans="1:16" ht="15" customHeight="1" x14ac:dyDescent="0.25">
      <c r="A677" s="564"/>
      <c r="B677" s="559"/>
      <c r="C677" s="110">
        <v>27</v>
      </c>
      <c r="D677" s="12"/>
      <c r="E677" s="12"/>
      <c r="F677" s="12"/>
      <c r="G677" s="12"/>
      <c r="H677" s="12"/>
      <c r="I677" s="12"/>
      <c r="J677" s="12"/>
      <c r="K677" s="12"/>
      <c r="L677" s="12"/>
      <c r="M677" s="12"/>
      <c r="N677" s="12"/>
      <c r="O677" s="12"/>
      <c r="P677" s="55">
        <f t="shared" si="43"/>
        <v>0</v>
      </c>
    </row>
    <row r="678" spans="1:16" ht="15" customHeight="1" x14ac:dyDescent="0.25">
      <c r="A678" s="551">
        <v>293</v>
      </c>
      <c r="B678" s="558" t="s">
        <v>113</v>
      </c>
      <c r="C678" s="110">
        <v>11</v>
      </c>
      <c r="D678" s="12">
        <v>9850</v>
      </c>
      <c r="E678" s="12"/>
      <c r="F678" s="12"/>
      <c r="G678" s="12"/>
      <c r="H678" s="12"/>
      <c r="I678" s="12"/>
      <c r="J678" s="12"/>
      <c r="K678" s="12"/>
      <c r="L678" s="12">
        <v>22596</v>
      </c>
      <c r="M678" s="12"/>
      <c r="N678" s="12">
        <v>8590</v>
      </c>
      <c r="O678" s="12"/>
      <c r="P678" s="55">
        <f t="shared" si="43"/>
        <v>41036</v>
      </c>
    </row>
    <row r="679" spans="1:16" ht="15" customHeight="1" x14ac:dyDescent="0.25">
      <c r="A679" s="552"/>
      <c r="B679" s="559"/>
      <c r="C679" s="110">
        <v>12</v>
      </c>
      <c r="D679" s="12"/>
      <c r="E679" s="12"/>
      <c r="F679" s="12"/>
      <c r="G679" s="12"/>
      <c r="H679" s="12"/>
      <c r="I679" s="12"/>
      <c r="J679" s="12"/>
      <c r="K679" s="12"/>
      <c r="L679" s="12"/>
      <c r="M679" s="12"/>
      <c r="N679" s="12"/>
      <c r="O679" s="12"/>
      <c r="P679" s="55">
        <f t="shared" si="43"/>
        <v>0</v>
      </c>
    </row>
    <row r="680" spans="1:16" ht="15" customHeight="1" x14ac:dyDescent="0.25">
      <c r="A680" s="552"/>
      <c r="B680" s="559"/>
      <c r="C680" s="110">
        <v>13</v>
      </c>
      <c r="D680" s="12"/>
      <c r="E680" s="12"/>
      <c r="F680" s="12"/>
      <c r="G680" s="12"/>
      <c r="H680" s="12"/>
      <c r="I680" s="12"/>
      <c r="J680" s="12"/>
      <c r="K680" s="12"/>
      <c r="L680" s="12"/>
      <c r="M680" s="12"/>
      <c r="N680" s="12"/>
      <c r="O680" s="12"/>
      <c r="P680" s="55">
        <f t="shared" si="43"/>
        <v>0</v>
      </c>
    </row>
    <row r="681" spans="1:16" ht="15" customHeight="1" x14ac:dyDescent="0.25">
      <c r="A681" s="552"/>
      <c r="B681" s="559"/>
      <c r="C681" s="110">
        <v>14</v>
      </c>
      <c r="D681" s="12"/>
      <c r="E681" s="12"/>
      <c r="F681" s="12"/>
      <c r="G681" s="12"/>
      <c r="H681" s="12"/>
      <c r="I681" s="12"/>
      <c r="J681" s="12"/>
      <c r="K681" s="12"/>
      <c r="L681" s="12"/>
      <c r="M681" s="12"/>
      <c r="N681" s="12"/>
      <c r="O681" s="12"/>
      <c r="P681" s="55">
        <f t="shared" si="43"/>
        <v>0</v>
      </c>
    </row>
    <row r="682" spans="1:16" ht="15" customHeight="1" x14ac:dyDescent="0.25">
      <c r="A682" s="552"/>
      <c r="B682" s="559"/>
      <c r="C682" s="110">
        <v>15</v>
      </c>
      <c r="D682" s="12"/>
      <c r="E682" s="12">
        <v>23681</v>
      </c>
      <c r="F682" s="12">
        <v>18542</v>
      </c>
      <c r="G682" s="12"/>
      <c r="H682" s="12">
        <v>11967</v>
      </c>
      <c r="I682" s="12"/>
      <c r="J682" s="12"/>
      <c r="K682" s="12"/>
      <c r="L682" s="12"/>
      <c r="M682" s="12"/>
      <c r="N682" s="12"/>
      <c r="O682" s="12"/>
      <c r="P682" s="55">
        <f t="shared" si="43"/>
        <v>54190</v>
      </c>
    </row>
    <row r="683" spans="1:16" ht="15" customHeight="1" x14ac:dyDescent="0.25">
      <c r="A683" s="552"/>
      <c r="B683" s="559"/>
      <c r="C683" s="110">
        <v>16</v>
      </c>
      <c r="D683" s="12"/>
      <c r="E683" s="12"/>
      <c r="F683" s="12"/>
      <c r="G683" s="12"/>
      <c r="H683" s="12"/>
      <c r="I683" s="12"/>
      <c r="J683" s="12"/>
      <c r="K683" s="12"/>
      <c r="L683" s="12"/>
      <c r="M683" s="12"/>
      <c r="N683" s="12"/>
      <c r="O683" s="12"/>
      <c r="P683" s="55">
        <f t="shared" si="43"/>
        <v>0</v>
      </c>
    </row>
    <row r="684" spans="1:16" ht="15" customHeight="1" x14ac:dyDescent="0.25">
      <c r="A684" s="552"/>
      <c r="B684" s="559"/>
      <c r="C684" s="110">
        <v>17</v>
      </c>
      <c r="D684" s="12"/>
      <c r="E684" s="12"/>
      <c r="F684" s="12"/>
      <c r="G684" s="12"/>
      <c r="H684" s="12"/>
      <c r="I684" s="12"/>
      <c r="J684" s="12"/>
      <c r="K684" s="12"/>
      <c r="L684" s="12"/>
      <c r="M684" s="12"/>
      <c r="N684" s="12"/>
      <c r="O684" s="12"/>
      <c r="P684" s="55">
        <f t="shared" si="43"/>
        <v>0</v>
      </c>
    </row>
    <row r="685" spans="1:16" ht="15" customHeight="1" x14ac:dyDescent="0.25">
      <c r="A685" s="552"/>
      <c r="B685" s="559"/>
      <c r="C685" s="110">
        <v>25</v>
      </c>
      <c r="D685" s="12"/>
      <c r="E685" s="12"/>
      <c r="F685" s="12"/>
      <c r="G685" s="12"/>
      <c r="H685" s="12"/>
      <c r="I685" s="12"/>
      <c r="J685" s="12"/>
      <c r="K685" s="12"/>
      <c r="L685" s="12"/>
      <c r="M685" s="12"/>
      <c r="N685" s="12"/>
      <c r="O685" s="12"/>
      <c r="P685" s="55">
        <f t="shared" si="43"/>
        <v>0</v>
      </c>
    </row>
    <row r="686" spans="1:16" ht="15" customHeight="1" x14ac:dyDescent="0.25">
      <c r="A686" s="552"/>
      <c r="B686" s="559"/>
      <c r="C686" s="110">
        <v>26</v>
      </c>
      <c r="D686" s="12"/>
      <c r="E686" s="12"/>
      <c r="F686" s="12"/>
      <c r="G686" s="12"/>
      <c r="H686" s="12"/>
      <c r="I686" s="12"/>
      <c r="J686" s="12"/>
      <c r="K686" s="12"/>
      <c r="L686" s="12"/>
      <c r="M686" s="12"/>
      <c r="N686" s="12"/>
      <c r="O686" s="12"/>
      <c r="P686" s="55">
        <f t="shared" si="43"/>
        <v>0</v>
      </c>
    </row>
    <row r="687" spans="1:16" ht="15" customHeight="1" x14ac:dyDescent="0.25">
      <c r="A687" s="553"/>
      <c r="B687" s="559"/>
      <c r="C687" s="110">
        <v>27</v>
      </c>
      <c r="D687" s="12"/>
      <c r="E687" s="12"/>
      <c r="F687" s="12"/>
      <c r="G687" s="12"/>
      <c r="H687" s="12"/>
      <c r="I687" s="12"/>
      <c r="J687" s="12"/>
      <c r="K687" s="12"/>
      <c r="L687" s="12"/>
      <c r="M687" s="12"/>
      <c r="N687" s="12"/>
      <c r="O687" s="12"/>
      <c r="P687" s="55">
        <f t="shared" si="43"/>
        <v>0</v>
      </c>
    </row>
    <row r="688" spans="1:16" ht="15" customHeight="1" x14ac:dyDescent="0.25">
      <c r="A688" s="551">
        <v>294</v>
      </c>
      <c r="B688" s="558" t="s">
        <v>114</v>
      </c>
      <c r="C688" s="110">
        <v>11</v>
      </c>
      <c r="D688" s="12">
        <v>4728</v>
      </c>
      <c r="E688" s="12"/>
      <c r="F688" s="12"/>
      <c r="G688" s="12"/>
      <c r="H688" s="12"/>
      <c r="I688" s="12"/>
      <c r="J688" s="12">
        <v>6380</v>
      </c>
      <c r="K688" s="12"/>
      <c r="L688" s="12"/>
      <c r="M688" s="12"/>
      <c r="N688" s="12"/>
      <c r="O688" s="12"/>
      <c r="P688" s="55">
        <f t="shared" si="43"/>
        <v>11108</v>
      </c>
    </row>
    <row r="689" spans="1:16" ht="15" customHeight="1" x14ac:dyDescent="0.25">
      <c r="A689" s="552"/>
      <c r="B689" s="559"/>
      <c r="C689" s="110">
        <v>12</v>
      </c>
      <c r="D689" s="12"/>
      <c r="E689" s="12"/>
      <c r="F689" s="12"/>
      <c r="G689" s="12"/>
      <c r="H689" s="12"/>
      <c r="I689" s="12"/>
      <c r="J689" s="12"/>
      <c r="K689" s="12"/>
      <c r="L689" s="12"/>
      <c r="M689" s="12"/>
      <c r="N689" s="12"/>
      <c r="O689" s="12"/>
      <c r="P689" s="55">
        <f t="shared" si="43"/>
        <v>0</v>
      </c>
    </row>
    <row r="690" spans="1:16" ht="15" customHeight="1" x14ac:dyDescent="0.25">
      <c r="A690" s="552"/>
      <c r="B690" s="559"/>
      <c r="C690" s="110">
        <v>13</v>
      </c>
      <c r="D690" s="12"/>
      <c r="E690" s="12"/>
      <c r="F690" s="12"/>
      <c r="G690" s="12"/>
      <c r="H690" s="12"/>
      <c r="I690" s="12"/>
      <c r="J690" s="12"/>
      <c r="K690" s="12"/>
      <c r="L690" s="12"/>
      <c r="M690" s="12"/>
      <c r="N690" s="12"/>
      <c r="O690" s="12"/>
      <c r="P690" s="55">
        <f t="shared" si="43"/>
        <v>0</v>
      </c>
    </row>
    <row r="691" spans="1:16" ht="15" customHeight="1" x14ac:dyDescent="0.25">
      <c r="A691" s="552"/>
      <c r="B691" s="559"/>
      <c r="C691" s="110">
        <v>14</v>
      </c>
      <c r="D691" s="12"/>
      <c r="E691" s="12"/>
      <c r="F691" s="12"/>
      <c r="G691" s="12"/>
      <c r="H691" s="12"/>
      <c r="I691" s="12"/>
      <c r="J691" s="12"/>
      <c r="K691" s="12"/>
      <c r="L691" s="12"/>
      <c r="M691" s="12"/>
      <c r="N691" s="12"/>
      <c r="O691" s="12"/>
      <c r="P691" s="55">
        <f t="shared" si="43"/>
        <v>0</v>
      </c>
    </row>
    <row r="692" spans="1:16" ht="15" customHeight="1" x14ac:dyDescent="0.25">
      <c r="A692" s="552"/>
      <c r="B692" s="559"/>
      <c r="C692" s="110">
        <v>15</v>
      </c>
      <c r="D692" s="12"/>
      <c r="E692" s="12"/>
      <c r="F692" s="12"/>
      <c r="G692" s="12">
        <v>8142</v>
      </c>
      <c r="H692" s="12"/>
      <c r="I692" s="12"/>
      <c r="J692" s="12"/>
      <c r="K692" s="12"/>
      <c r="L692" s="12"/>
      <c r="M692" s="12">
        <v>12560</v>
      </c>
      <c r="N692" s="12"/>
      <c r="O692" s="12"/>
      <c r="P692" s="55">
        <f t="shared" si="43"/>
        <v>20702</v>
      </c>
    </row>
    <row r="693" spans="1:16" ht="15" customHeight="1" x14ac:dyDescent="0.25">
      <c r="A693" s="552"/>
      <c r="B693" s="559"/>
      <c r="C693" s="110">
        <v>16</v>
      </c>
      <c r="D693" s="12"/>
      <c r="E693" s="12"/>
      <c r="F693" s="12"/>
      <c r="G693" s="12"/>
      <c r="H693" s="12"/>
      <c r="I693" s="12"/>
      <c r="J693" s="12"/>
      <c r="K693" s="12"/>
      <c r="L693" s="12"/>
      <c r="M693" s="12"/>
      <c r="N693" s="12"/>
      <c r="O693" s="12"/>
      <c r="P693" s="55">
        <f t="shared" si="43"/>
        <v>0</v>
      </c>
    </row>
    <row r="694" spans="1:16" ht="15" customHeight="1" x14ac:dyDescent="0.25">
      <c r="A694" s="552"/>
      <c r="B694" s="559"/>
      <c r="C694" s="110">
        <v>17</v>
      </c>
      <c r="D694" s="12"/>
      <c r="E694" s="12"/>
      <c r="F694" s="12"/>
      <c r="G694" s="12"/>
      <c r="H694" s="12"/>
      <c r="I694" s="12"/>
      <c r="J694" s="12"/>
      <c r="K694" s="12"/>
      <c r="L694" s="12"/>
      <c r="M694" s="12"/>
      <c r="N694" s="12"/>
      <c r="O694" s="12"/>
      <c r="P694" s="55">
        <f t="shared" si="43"/>
        <v>0</v>
      </c>
    </row>
    <row r="695" spans="1:16" ht="15" customHeight="1" x14ac:dyDescent="0.25">
      <c r="A695" s="552"/>
      <c r="B695" s="559"/>
      <c r="C695" s="110">
        <v>25</v>
      </c>
      <c r="D695" s="12"/>
      <c r="E695" s="12"/>
      <c r="F695" s="12"/>
      <c r="G695" s="12"/>
      <c r="H695" s="12"/>
      <c r="I695" s="12"/>
      <c r="J695" s="12"/>
      <c r="K695" s="12"/>
      <c r="L695" s="12"/>
      <c r="M695" s="12"/>
      <c r="N695" s="12"/>
      <c r="O695" s="12"/>
      <c r="P695" s="55">
        <f t="shared" si="43"/>
        <v>0</v>
      </c>
    </row>
    <row r="696" spans="1:16" ht="15" customHeight="1" x14ac:dyDescent="0.25">
      <c r="A696" s="552"/>
      <c r="B696" s="559"/>
      <c r="C696" s="110">
        <v>26</v>
      </c>
      <c r="D696" s="12"/>
      <c r="E696" s="12"/>
      <c r="F696" s="12"/>
      <c r="G696" s="12"/>
      <c r="H696" s="12"/>
      <c r="I696" s="12"/>
      <c r="J696" s="12"/>
      <c r="K696" s="12"/>
      <c r="L696" s="12"/>
      <c r="M696" s="12"/>
      <c r="N696" s="12"/>
      <c r="O696" s="12"/>
      <c r="P696" s="55">
        <f t="shared" si="43"/>
        <v>0</v>
      </c>
    </row>
    <row r="697" spans="1:16" ht="15" customHeight="1" x14ac:dyDescent="0.25">
      <c r="A697" s="553"/>
      <c r="B697" s="559"/>
      <c r="C697" s="110">
        <v>27</v>
      </c>
      <c r="D697" s="12"/>
      <c r="E697" s="12"/>
      <c r="F697" s="12"/>
      <c r="G697" s="12"/>
      <c r="H697" s="12"/>
      <c r="I697" s="12"/>
      <c r="J697" s="12"/>
      <c r="K697" s="12"/>
      <c r="L697" s="12"/>
      <c r="M697" s="12"/>
      <c r="N697" s="12"/>
      <c r="O697" s="12"/>
      <c r="P697" s="55">
        <f t="shared" si="43"/>
        <v>0</v>
      </c>
    </row>
    <row r="698" spans="1:16" ht="15" customHeight="1" x14ac:dyDescent="0.25">
      <c r="A698" s="551">
        <v>295</v>
      </c>
      <c r="B698" s="558" t="s">
        <v>115</v>
      </c>
      <c r="C698" s="110">
        <v>11</v>
      </c>
      <c r="D698" s="12"/>
      <c r="E698" s="12"/>
      <c r="F698" s="12"/>
      <c r="G698" s="12"/>
      <c r="H698" s="12"/>
      <c r="I698" s="12"/>
      <c r="J698" s="12"/>
      <c r="K698" s="12"/>
      <c r="L698" s="12"/>
      <c r="M698" s="12"/>
      <c r="N698" s="12"/>
      <c r="O698" s="12"/>
      <c r="P698" s="55">
        <f t="shared" si="43"/>
        <v>0</v>
      </c>
    </row>
    <row r="699" spans="1:16" ht="15" customHeight="1" x14ac:dyDescent="0.25">
      <c r="A699" s="552"/>
      <c r="B699" s="559"/>
      <c r="C699" s="110">
        <v>12</v>
      </c>
      <c r="D699" s="12"/>
      <c r="E699" s="12"/>
      <c r="F699" s="12"/>
      <c r="G699" s="12"/>
      <c r="H699" s="12"/>
      <c r="I699" s="12"/>
      <c r="J699" s="12"/>
      <c r="K699" s="12"/>
      <c r="L699" s="12"/>
      <c r="M699" s="12"/>
      <c r="N699" s="12"/>
      <c r="O699" s="12"/>
      <c r="P699" s="55">
        <f t="shared" si="43"/>
        <v>0</v>
      </c>
    </row>
    <row r="700" spans="1:16" ht="15" customHeight="1" x14ac:dyDescent="0.25">
      <c r="A700" s="552"/>
      <c r="B700" s="559"/>
      <c r="C700" s="110">
        <v>13</v>
      </c>
      <c r="D700" s="12"/>
      <c r="E700" s="12"/>
      <c r="F700" s="12"/>
      <c r="G700" s="12"/>
      <c r="H700" s="12"/>
      <c r="I700" s="12"/>
      <c r="J700" s="12"/>
      <c r="K700" s="12"/>
      <c r="L700" s="12"/>
      <c r="M700" s="12"/>
      <c r="N700" s="12"/>
      <c r="O700" s="12"/>
      <c r="P700" s="55">
        <f t="shared" si="43"/>
        <v>0</v>
      </c>
    </row>
    <row r="701" spans="1:16" ht="15" customHeight="1" x14ac:dyDescent="0.25">
      <c r="A701" s="552"/>
      <c r="B701" s="559"/>
      <c r="C701" s="110">
        <v>14</v>
      </c>
      <c r="D701" s="12"/>
      <c r="E701" s="12"/>
      <c r="F701" s="12"/>
      <c r="G701" s="12"/>
      <c r="H701" s="12"/>
      <c r="I701" s="12"/>
      <c r="J701" s="12"/>
      <c r="K701" s="12"/>
      <c r="L701" s="12"/>
      <c r="M701" s="12"/>
      <c r="N701" s="12"/>
      <c r="O701" s="12"/>
      <c r="P701" s="55">
        <f t="shared" si="43"/>
        <v>0</v>
      </c>
    </row>
    <row r="702" spans="1:16" ht="15" customHeight="1" x14ac:dyDescent="0.25">
      <c r="A702" s="552"/>
      <c r="B702" s="559"/>
      <c r="C702" s="110">
        <v>15</v>
      </c>
      <c r="D702" s="12"/>
      <c r="E702" s="12"/>
      <c r="F702" s="12"/>
      <c r="G702" s="12">
        <v>12256</v>
      </c>
      <c r="H702" s="12"/>
      <c r="I702" s="12"/>
      <c r="J702" s="12"/>
      <c r="K702" s="12"/>
      <c r="L702" s="12"/>
      <c r="M702" s="12"/>
      <c r="N702" s="12"/>
      <c r="O702" s="12"/>
      <c r="P702" s="55">
        <f t="shared" si="43"/>
        <v>12256</v>
      </c>
    </row>
    <row r="703" spans="1:16" ht="15" customHeight="1" x14ac:dyDescent="0.25">
      <c r="A703" s="552"/>
      <c r="B703" s="559"/>
      <c r="C703" s="110">
        <v>16</v>
      </c>
      <c r="D703" s="12"/>
      <c r="E703" s="12"/>
      <c r="F703" s="12"/>
      <c r="G703" s="12"/>
      <c r="H703" s="12"/>
      <c r="I703" s="12"/>
      <c r="J703" s="12"/>
      <c r="K703" s="12"/>
      <c r="L703" s="12"/>
      <c r="M703" s="12"/>
      <c r="N703" s="12"/>
      <c r="O703" s="12"/>
      <c r="P703" s="55">
        <f t="shared" si="43"/>
        <v>0</v>
      </c>
    </row>
    <row r="704" spans="1:16" ht="15" customHeight="1" x14ac:dyDescent="0.25">
      <c r="A704" s="552"/>
      <c r="B704" s="559"/>
      <c r="C704" s="110">
        <v>17</v>
      </c>
      <c r="D704" s="12"/>
      <c r="E704" s="12"/>
      <c r="F704" s="12"/>
      <c r="G704" s="12"/>
      <c r="H704" s="12"/>
      <c r="I704" s="12"/>
      <c r="J704" s="12"/>
      <c r="K704" s="12"/>
      <c r="L704" s="12"/>
      <c r="M704" s="12"/>
      <c r="N704" s="12"/>
      <c r="O704" s="12"/>
      <c r="P704" s="55">
        <f t="shared" si="43"/>
        <v>0</v>
      </c>
    </row>
    <row r="705" spans="1:16" ht="15" customHeight="1" x14ac:dyDescent="0.25">
      <c r="A705" s="552"/>
      <c r="B705" s="559"/>
      <c r="C705" s="110">
        <v>25</v>
      </c>
      <c r="D705" s="12"/>
      <c r="E705" s="12"/>
      <c r="F705" s="12"/>
      <c r="G705" s="12"/>
      <c r="H705" s="12"/>
      <c r="I705" s="12"/>
      <c r="J705" s="12"/>
      <c r="K705" s="12"/>
      <c r="L705" s="12"/>
      <c r="M705" s="12"/>
      <c r="N705" s="12"/>
      <c r="O705" s="12"/>
      <c r="P705" s="55">
        <f t="shared" si="43"/>
        <v>0</v>
      </c>
    </row>
    <row r="706" spans="1:16" ht="15" customHeight="1" x14ac:dyDescent="0.25">
      <c r="A706" s="552"/>
      <c r="B706" s="559"/>
      <c r="C706" s="110">
        <v>26</v>
      </c>
      <c r="D706" s="12"/>
      <c r="E706" s="12"/>
      <c r="F706" s="12"/>
      <c r="G706" s="12"/>
      <c r="H706" s="12"/>
      <c r="I706" s="12"/>
      <c r="J706" s="12"/>
      <c r="K706" s="12"/>
      <c r="L706" s="12"/>
      <c r="M706" s="12"/>
      <c r="N706" s="12"/>
      <c r="O706" s="12"/>
      <c r="P706" s="55">
        <f t="shared" si="43"/>
        <v>0</v>
      </c>
    </row>
    <row r="707" spans="1:16" ht="15" customHeight="1" x14ac:dyDescent="0.25">
      <c r="A707" s="553"/>
      <c r="B707" s="559"/>
      <c r="C707" s="110">
        <v>27</v>
      </c>
      <c r="D707" s="12"/>
      <c r="E707" s="12"/>
      <c r="F707" s="12"/>
      <c r="G707" s="12"/>
      <c r="H707" s="12"/>
      <c r="I707" s="12"/>
      <c r="J707" s="12"/>
      <c r="K707" s="12"/>
      <c r="L707" s="12"/>
      <c r="M707" s="12"/>
      <c r="N707" s="12"/>
      <c r="O707" s="12"/>
      <c r="P707" s="55">
        <f t="shared" si="43"/>
        <v>0</v>
      </c>
    </row>
    <row r="708" spans="1:16" ht="15" customHeight="1" x14ac:dyDescent="0.25">
      <c r="A708" s="551">
        <v>296</v>
      </c>
      <c r="B708" s="558" t="s">
        <v>116</v>
      </c>
      <c r="C708" s="110">
        <v>11</v>
      </c>
      <c r="D708" s="12">
        <v>48070</v>
      </c>
      <c r="E708" s="12"/>
      <c r="F708" s="12">
        <v>29890</v>
      </c>
      <c r="G708" s="12"/>
      <c r="H708" s="12">
        <v>27592</v>
      </c>
      <c r="I708" s="12"/>
      <c r="J708" s="12">
        <v>19076</v>
      </c>
      <c r="K708" s="12"/>
      <c r="L708" s="12">
        <v>37331</v>
      </c>
      <c r="M708" s="12"/>
      <c r="N708" s="12">
        <v>30000</v>
      </c>
      <c r="O708" s="12"/>
      <c r="P708" s="55">
        <f t="shared" si="43"/>
        <v>191959</v>
      </c>
    </row>
    <row r="709" spans="1:16" ht="15" customHeight="1" x14ac:dyDescent="0.25">
      <c r="A709" s="552"/>
      <c r="B709" s="559"/>
      <c r="C709" s="110">
        <v>12</v>
      </c>
      <c r="D709" s="12"/>
      <c r="E709" s="12"/>
      <c r="F709" s="12"/>
      <c r="G709" s="12"/>
      <c r="H709" s="12"/>
      <c r="I709" s="12"/>
      <c r="J709" s="12"/>
      <c r="K709" s="12"/>
      <c r="L709" s="12"/>
      <c r="M709" s="12"/>
      <c r="N709" s="12"/>
      <c r="O709" s="12"/>
      <c r="P709" s="55">
        <f t="shared" si="43"/>
        <v>0</v>
      </c>
    </row>
    <row r="710" spans="1:16" ht="15" customHeight="1" x14ac:dyDescent="0.25">
      <c r="A710" s="552"/>
      <c r="B710" s="559"/>
      <c r="C710" s="110">
        <v>13</v>
      </c>
      <c r="D710" s="12"/>
      <c r="E710" s="12"/>
      <c r="F710" s="12"/>
      <c r="G710" s="12"/>
      <c r="H710" s="12"/>
      <c r="I710" s="12"/>
      <c r="J710" s="12"/>
      <c r="K710" s="12"/>
      <c r="L710" s="12"/>
      <c r="M710" s="12"/>
      <c r="N710" s="12"/>
      <c r="O710" s="12"/>
      <c r="P710" s="55">
        <f t="shared" si="43"/>
        <v>0</v>
      </c>
    </row>
    <row r="711" spans="1:16" ht="15" customHeight="1" x14ac:dyDescent="0.25">
      <c r="A711" s="552"/>
      <c r="B711" s="559"/>
      <c r="C711" s="110">
        <v>14</v>
      </c>
      <c r="D711" s="12"/>
      <c r="E711" s="12"/>
      <c r="F711" s="12"/>
      <c r="G711" s="12"/>
      <c r="H711" s="12"/>
      <c r="I711" s="12"/>
      <c r="J711" s="12"/>
      <c r="K711" s="12"/>
      <c r="L711" s="12"/>
      <c r="M711" s="12"/>
      <c r="N711" s="12"/>
      <c r="O711" s="12"/>
      <c r="P711" s="55">
        <f t="shared" si="43"/>
        <v>0</v>
      </c>
    </row>
    <row r="712" spans="1:16" ht="15" customHeight="1" x14ac:dyDescent="0.25">
      <c r="A712" s="552"/>
      <c r="B712" s="559"/>
      <c r="C712" s="110">
        <v>15</v>
      </c>
      <c r="D712" s="12">
        <v>35066</v>
      </c>
      <c r="E712" s="12">
        <v>63406</v>
      </c>
      <c r="F712" s="12">
        <v>55460</v>
      </c>
      <c r="G712" s="12">
        <v>53064</v>
      </c>
      <c r="H712" s="12">
        <v>34630</v>
      </c>
      <c r="I712" s="12">
        <v>40088</v>
      </c>
      <c r="J712" s="12">
        <v>24807</v>
      </c>
      <c r="K712" s="12">
        <v>49445</v>
      </c>
      <c r="L712" s="12">
        <v>30779</v>
      </c>
      <c r="M712" s="12">
        <v>44289</v>
      </c>
      <c r="N712" s="12">
        <v>41615</v>
      </c>
      <c r="O712" s="12">
        <v>57487</v>
      </c>
      <c r="P712" s="55">
        <f t="shared" si="43"/>
        <v>530136</v>
      </c>
    </row>
    <row r="713" spans="1:16" ht="15" customHeight="1" x14ac:dyDescent="0.25">
      <c r="A713" s="552"/>
      <c r="B713" s="559"/>
      <c r="C713" s="110">
        <v>16</v>
      </c>
      <c r="D713" s="12"/>
      <c r="E713" s="12"/>
      <c r="F713" s="12"/>
      <c r="G713" s="12"/>
      <c r="H713" s="12"/>
      <c r="I713" s="12"/>
      <c r="J713" s="12"/>
      <c r="K713" s="12"/>
      <c r="L713" s="12"/>
      <c r="M713" s="12"/>
      <c r="N713" s="12"/>
      <c r="O713" s="12"/>
      <c r="P713" s="55">
        <f t="shared" si="43"/>
        <v>0</v>
      </c>
    </row>
    <row r="714" spans="1:16" ht="15" customHeight="1" x14ac:dyDescent="0.25">
      <c r="A714" s="552"/>
      <c r="B714" s="559"/>
      <c r="C714" s="110">
        <v>17</v>
      </c>
      <c r="D714" s="12"/>
      <c r="E714" s="12"/>
      <c r="F714" s="12"/>
      <c r="G714" s="12"/>
      <c r="H714" s="12"/>
      <c r="I714" s="12"/>
      <c r="J714" s="12"/>
      <c r="K714" s="12"/>
      <c r="L714" s="12"/>
      <c r="M714" s="12"/>
      <c r="N714" s="12"/>
      <c r="O714" s="12"/>
      <c r="P714" s="55">
        <f t="shared" si="43"/>
        <v>0</v>
      </c>
    </row>
    <row r="715" spans="1:16" ht="15" customHeight="1" x14ac:dyDescent="0.25">
      <c r="A715" s="552"/>
      <c r="B715" s="559"/>
      <c r="C715" s="110">
        <v>25</v>
      </c>
      <c r="D715" s="12">
        <v>36560</v>
      </c>
      <c r="E715" s="12">
        <v>10280</v>
      </c>
      <c r="F715" s="12"/>
      <c r="G715" s="12">
        <v>21560</v>
      </c>
      <c r="H715" s="12">
        <v>11520</v>
      </c>
      <c r="I715" s="12"/>
      <c r="J715" s="12"/>
      <c r="K715" s="12">
        <v>28540</v>
      </c>
      <c r="L715" s="12"/>
      <c r="M715" s="12">
        <v>28590</v>
      </c>
      <c r="N715" s="12"/>
      <c r="O715" s="12">
        <v>24590</v>
      </c>
      <c r="P715" s="55">
        <f t="shared" si="43"/>
        <v>161640</v>
      </c>
    </row>
    <row r="716" spans="1:16" ht="15" customHeight="1" x14ac:dyDescent="0.25">
      <c r="A716" s="552"/>
      <c r="B716" s="559"/>
      <c r="C716" s="110">
        <v>26</v>
      </c>
      <c r="D716" s="12"/>
      <c r="E716" s="12"/>
      <c r="F716" s="12"/>
      <c r="G716" s="12"/>
      <c r="H716" s="12"/>
      <c r="I716" s="12"/>
      <c r="J716" s="12"/>
      <c r="K716" s="12"/>
      <c r="L716" s="12"/>
      <c r="M716" s="12"/>
      <c r="N716" s="12"/>
      <c r="O716" s="12"/>
      <c r="P716" s="55">
        <f t="shared" si="43"/>
        <v>0</v>
      </c>
    </row>
    <row r="717" spans="1:16" ht="15" customHeight="1" x14ac:dyDescent="0.25">
      <c r="A717" s="553"/>
      <c r="B717" s="559"/>
      <c r="C717" s="110">
        <v>27</v>
      </c>
      <c r="D717" s="12"/>
      <c r="E717" s="12"/>
      <c r="F717" s="12"/>
      <c r="G717" s="12"/>
      <c r="H717" s="12"/>
      <c r="I717" s="12"/>
      <c r="J717" s="12"/>
      <c r="K717" s="12"/>
      <c r="L717" s="12"/>
      <c r="M717" s="12"/>
      <c r="N717" s="12"/>
      <c r="O717" s="12"/>
      <c r="P717" s="55">
        <f t="shared" si="43"/>
        <v>0</v>
      </c>
    </row>
    <row r="718" spans="1:16" ht="15" customHeight="1" x14ac:dyDescent="0.25">
      <c r="A718" s="551">
        <v>297</v>
      </c>
      <c r="B718" s="558" t="s">
        <v>117</v>
      </c>
      <c r="C718" s="110">
        <v>11</v>
      </c>
      <c r="D718" s="12"/>
      <c r="E718" s="12"/>
      <c r="F718" s="12"/>
      <c r="G718" s="12"/>
      <c r="H718" s="12"/>
      <c r="I718" s="12">
        <v>16856</v>
      </c>
      <c r="J718" s="12"/>
      <c r="K718" s="12"/>
      <c r="L718" s="12"/>
      <c r="M718" s="12"/>
      <c r="N718" s="12"/>
      <c r="O718" s="12"/>
      <c r="P718" s="55">
        <f t="shared" si="43"/>
        <v>16856</v>
      </c>
    </row>
    <row r="719" spans="1:16" ht="15" customHeight="1" x14ac:dyDescent="0.25">
      <c r="A719" s="552"/>
      <c r="B719" s="559"/>
      <c r="C719" s="110">
        <v>12</v>
      </c>
      <c r="D719" s="12"/>
      <c r="E719" s="12"/>
      <c r="F719" s="12"/>
      <c r="G719" s="12"/>
      <c r="H719" s="12"/>
      <c r="I719" s="12"/>
      <c r="J719" s="12"/>
      <c r="K719" s="12"/>
      <c r="L719" s="12"/>
      <c r="M719" s="12"/>
      <c r="N719" s="12"/>
      <c r="O719" s="12"/>
      <c r="P719" s="55">
        <f t="shared" si="43"/>
        <v>0</v>
      </c>
    </row>
    <row r="720" spans="1:16" ht="15" customHeight="1" x14ac:dyDescent="0.25">
      <c r="A720" s="552"/>
      <c r="B720" s="559"/>
      <c r="C720" s="110">
        <v>13</v>
      </c>
      <c r="D720" s="12"/>
      <c r="E720" s="12"/>
      <c r="F720" s="12"/>
      <c r="G720" s="12"/>
      <c r="H720" s="12"/>
      <c r="I720" s="12"/>
      <c r="J720" s="12"/>
      <c r="K720" s="12"/>
      <c r="L720" s="12"/>
      <c r="M720" s="12"/>
      <c r="N720" s="12"/>
      <c r="O720" s="12"/>
      <c r="P720" s="55">
        <f t="shared" si="43"/>
        <v>0</v>
      </c>
    </row>
    <row r="721" spans="1:16" ht="15" customHeight="1" x14ac:dyDescent="0.25">
      <c r="A721" s="552"/>
      <c r="B721" s="559"/>
      <c r="C721" s="110">
        <v>14</v>
      </c>
      <c r="D721" s="12"/>
      <c r="E721" s="12"/>
      <c r="F721" s="12"/>
      <c r="G721" s="12"/>
      <c r="H721" s="12"/>
      <c r="I721" s="12"/>
      <c r="J721" s="12"/>
      <c r="K721" s="12"/>
      <c r="L721" s="12"/>
      <c r="M721" s="12"/>
      <c r="N721" s="12"/>
      <c r="O721" s="12"/>
      <c r="P721" s="55">
        <f t="shared" si="43"/>
        <v>0</v>
      </c>
    </row>
    <row r="722" spans="1:16" ht="15" customHeight="1" x14ac:dyDescent="0.25">
      <c r="A722" s="552"/>
      <c r="B722" s="559"/>
      <c r="C722" s="110">
        <v>15</v>
      </c>
      <c r="D722" s="12"/>
      <c r="E722" s="12"/>
      <c r="F722" s="12"/>
      <c r="G722" s="12"/>
      <c r="H722" s="12">
        <v>12789</v>
      </c>
      <c r="I722" s="12"/>
      <c r="J722" s="12"/>
      <c r="K722" s="12"/>
      <c r="L722" s="12"/>
      <c r="M722" s="12"/>
      <c r="N722" s="12"/>
      <c r="O722" s="12"/>
      <c r="P722" s="55">
        <f t="shared" si="43"/>
        <v>12789</v>
      </c>
    </row>
    <row r="723" spans="1:16" ht="15" customHeight="1" x14ac:dyDescent="0.25">
      <c r="A723" s="552"/>
      <c r="B723" s="559"/>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2"/>
      <c r="B724" s="559"/>
      <c r="C724" s="110">
        <v>17</v>
      </c>
      <c r="D724" s="12"/>
      <c r="E724" s="12"/>
      <c r="F724" s="12"/>
      <c r="G724" s="12"/>
      <c r="H724" s="12"/>
      <c r="I724" s="12"/>
      <c r="J724" s="12"/>
      <c r="K724" s="12"/>
      <c r="L724" s="12"/>
      <c r="M724" s="12"/>
      <c r="N724" s="12"/>
      <c r="O724" s="12"/>
      <c r="P724" s="55">
        <f t="shared" si="44"/>
        <v>0</v>
      </c>
    </row>
    <row r="725" spans="1:16" ht="15" customHeight="1" x14ac:dyDescent="0.25">
      <c r="A725" s="552"/>
      <c r="B725" s="559"/>
      <c r="C725" s="110">
        <v>25</v>
      </c>
      <c r="D725" s="12"/>
      <c r="E725" s="12"/>
      <c r="F725" s="12"/>
      <c r="G725" s="12"/>
      <c r="H725" s="12"/>
      <c r="I725" s="12"/>
      <c r="J725" s="12"/>
      <c r="K725" s="12"/>
      <c r="L725" s="12"/>
      <c r="M725" s="12"/>
      <c r="N725" s="12"/>
      <c r="O725" s="12"/>
      <c r="P725" s="55">
        <f t="shared" si="44"/>
        <v>0</v>
      </c>
    </row>
    <row r="726" spans="1:16" ht="15" customHeight="1" x14ac:dyDescent="0.25">
      <c r="A726" s="552"/>
      <c r="B726" s="559"/>
      <c r="C726" s="110">
        <v>26</v>
      </c>
      <c r="D726" s="12"/>
      <c r="E726" s="12"/>
      <c r="F726" s="12"/>
      <c r="G726" s="12"/>
      <c r="H726" s="12"/>
      <c r="I726" s="12"/>
      <c r="J726" s="12"/>
      <c r="K726" s="12"/>
      <c r="L726" s="12"/>
      <c r="M726" s="12"/>
      <c r="N726" s="12"/>
      <c r="O726" s="12"/>
      <c r="P726" s="55">
        <f t="shared" si="44"/>
        <v>0</v>
      </c>
    </row>
    <row r="727" spans="1:16" ht="15" customHeight="1" x14ac:dyDescent="0.25">
      <c r="A727" s="553"/>
      <c r="B727" s="559"/>
      <c r="C727" s="110">
        <v>27</v>
      </c>
      <c r="D727" s="12"/>
      <c r="E727" s="12"/>
      <c r="F727" s="12"/>
      <c r="G727" s="12"/>
      <c r="H727" s="12"/>
      <c r="I727" s="12"/>
      <c r="J727" s="12"/>
      <c r="K727" s="12"/>
      <c r="L727" s="12"/>
      <c r="M727" s="12"/>
      <c r="N727" s="12"/>
      <c r="O727" s="12"/>
      <c r="P727" s="55">
        <f t="shared" si="44"/>
        <v>0</v>
      </c>
    </row>
    <row r="728" spans="1:16" ht="15" customHeight="1" x14ac:dyDescent="0.25">
      <c r="A728" s="551">
        <v>298</v>
      </c>
      <c r="B728" s="558" t="s">
        <v>118</v>
      </c>
      <c r="C728" s="110">
        <v>11</v>
      </c>
      <c r="D728" s="12">
        <v>48596</v>
      </c>
      <c r="E728" s="12">
        <v>20830</v>
      </c>
      <c r="F728" s="12"/>
      <c r="G728" s="12"/>
      <c r="H728" s="12">
        <v>21589</v>
      </c>
      <c r="I728" s="12">
        <v>29652</v>
      </c>
      <c r="J728" s="12"/>
      <c r="K728" s="12"/>
      <c r="L728" s="12">
        <v>30000</v>
      </c>
      <c r="M728" s="12"/>
      <c r="N728" s="12">
        <v>20000</v>
      </c>
      <c r="O728" s="12"/>
      <c r="P728" s="55">
        <f t="shared" si="44"/>
        <v>170667</v>
      </c>
    </row>
    <row r="729" spans="1:16" ht="15" customHeight="1" x14ac:dyDescent="0.25">
      <c r="A729" s="552"/>
      <c r="B729" s="559"/>
      <c r="C729" s="110">
        <v>12</v>
      </c>
      <c r="D729" s="12"/>
      <c r="E729" s="12"/>
      <c r="F729" s="12"/>
      <c r="G729" s="12"/>
      <c r="H729" s="12"/>
      <c r="I729" s="12"/>
      <c r="J729" s="12"/>
      <c r="K729" s="12"/>
      <c r="L729" s="12"/>
      <c r="M729" s="12"/>
      <c r="N729" s="12"/>
      <c r="O729" s="12"/>
      <c r="P729" s="55">
        <f t="shared" si="44"/>
        <v>0</v>
      </c>
    </row>
    <row r="730" spans="1:16" ht="15" customHeight="1" x14ac:dyDescent="0.25">
      <c r="A730" s="552"/>
      <c r="B730" s="559"/>
      <c r="C730" s="110">
        <v>13</v>
      </c>
      <c r="D730" s="12"/>
      <c r="E730" s="12"/>
      <c r="F730" s="12"/>
      <c r="G730" s="12"/>
      <c r="H730" s="12"/>
      <c r="I730" s="12"/>
      <c r="J730" s="12"/>
      <c r="K730" s="12"/>
      <c r="L730" s="12"/>
      <c r="M730" s="12"/>
      <c r="N730" s="12"/>
      <c r="O730" s="12"/>
      <c r="P730" s="55">
        <f t="shared" si="44"/>
        <v>0</v>
      </c>
    </row>
    <row r="731" spans="1:16" ht="15" customHeight="1" x14ac:dyDescent="0.25">
      <c r="A731" s="552"/>
      <c r="B731" s="559"/>
      <c r="C731" s="110">
        <v>14</v>
      </c>
      <c r="D731" s="12"/>
      <c r="E731" s="12"/>
      <c r="F731" s="12"/>
      <c r="G731" s="12"/>
      <c r="H731" s="12"/>
      <c r="I731" s="12"/>
      <c r="J731" s="12"/>
      <c r="K731" s="12"/>
      <c r="L731" s="12"/>
      <c r="M731" s="12"/>
      <c r="N731" s="12"/>
      <c r="O731" s="12"/>
      <c r="P731" s="55">
        <f t="shared" si="44"/>
        <v>0</v>
      </c>
    </row>
    <row r="732" spans="1:16" ht="15" customHeight="1" x14ac:dyDescent="0.25">
      <c r="A732" s="552"/>
      <c r="B732" s="559"/>
      <c r="C732" s="110">
        <v>15</v>
      </c>
      <c r="D732" s="12">
        <v>91667</v>
      </c>
      <c r="E732" s="12">
        <v>62262</v>
      </c>
      <c r="F732" s="12">
        <v>64820</v>
      </c>
      <c r="G732" s="12">
        <v>56986</v>
      </c>
      <c r="H732" s="12">
        <v>57066</v>
      </c>
      <c r="I732" s="12">
        <v>62052</v>
      </c>
      <c r="J732" s="12">
        <v>36547</v>
      </c>
      <c r="K732" s="12">
        <v>39110</v>
      </c>
      <c r="L732" s="12">
        <v>26212</v>
      </c>
      <c r="M732" s="12">
        <v>29222</v>
      </c>
      <c r="N732" s="12">
        <v>34650</v>
      </c>
      <c r="O732" s="12">
        <v>47359</v>
      </c>
      <c r="P732" s="55">
        <f t="shared" si="44"/>
        <v>607953</v>
      </c>
    </row>
    <row r="733" spans="1:16" ht="15" customHeight="1" x14ac:dyDescent="0.25">
      <c r="A733" s="552"/>
      <c r="B733" s="559"/>
      <c r="C733" s="110">
        <v>16</v>
      </c>
      <c r="D733" s="12"/>
      <c r="E733" s="12"/>
      <c r="F733" s="12"/>
      <c r="G733" s="12"/>
      <c r="H733" s="12"/>
      <c r="I733" s="12"/>
      <c r="J733" s="12"/>
      <c r="K733" s="12"/>
      <c r="L733" s="12"/>
      <c r="M733" s="12"/>
      <c r="N733" s="12"/>
      <c r="O733" s="12"/>
      <c r="P733" s="55">
        <f t="shared" si="44"/>
        <v>0</v>
      </c>
    </row>
    <row r="734" spans="1:16" ht="15" customHeight="1" x14ac:dyDescent="0.25">
      <c r="A734" s="552"/>
      <c r="B734" s="559"/>
      <c r="C734" s="110">
        <v>17</v>
      </c>
      <c r="D734" s="12"/>
      <c r="E734" s="12"/>
      <c r="F734" s="12"/>
      <c r="G734" s="12"/>
      <c r="H734" s="12"/>
      <c r="I734" s="12"/>
      <c r="J734" s="12"/>
      <c r="K734" s="12"/>
      <c r="L734" s="12"/>
      <c r="M734" s="12"/>
      <c r="N734" s="12"/>
      <c r="O734" s="12"/>
      <c r="P734" s="55">
        <f t="shared" si="44"/>
        <v>0</v>
      </c>
    </row>
    <row r="735" spans="1:16" ht="15" customHeight="1" x14ac:dyDescent="0.25">
      <c r="A735" s="552"/>
      <c r="B735" s="559"/>
      <c r="C735" s="110">
        <v>25</v>
      </c>
      <c r="D735" s="12"/>
      <c r="E735" s="12"/>
      <c r="F735" s="12"/>
      <c r="G735" s="12"/>
      <c r="H735" s="12"/>
      <c r="I735" s="12"/>
      <c r="J735" s="12"/>
      <c r="K735" s="12"/>
      <c r="L735" s="12"/>
      <c r="M735" s="12"/>
      <c r="N735" s="12"/>
      <c r="O735" s="12"/>
      <c r="P735" s="55">
        <f t="shared" si="44"/>
        <v>0</v>
      </c>
    </row>
    <row r="736" spans="1:16" ht="15" customHeight="1" x14ac:dyDescent="0.25">
      <c r="A736" s="552"/>
      <c r="B736" s="559"/>
      <c r="C736" s="110">
        <v>26</v>
      </c>
      <c r="D736" s="12"/>
      <c r="E736" s="12"/>
      <c r="F736" s="12"/>
      <c r="G736" s="12"/>
      <c r="H736" s="12"/>
      <c r="I736" s="12"/>
      <c r="J736" s="12"/>
      <c r="K736" s="12"/>
      <c r="L736" s="12"/>
      <c r="M736" s="12"/>
      <c r="N736" s="12"/>
      <c r="O736" s="12"/>
      <c r="P736" s="55">
        <f t="shared" si="44"/>
        <v>0</v>
      </c>
    </row>
    <row r="737" spans="1:16" ht="15" customHeight="1" x14ac:dyDescent="0.25">
      <c r="A737" s="553"/>
      <c r="B737" s="559"/>
      <c r="C737" s="110">
        <v>27</v>
      </c>
      <c r="D737" s="12"/>
      <c r="E737" s="12"/>
      <c r="F737" s="12"/>
      <c r="G737" s="12"/>
      <c r="H737" s="12"/>
      <c r="I737" s="12"/>
      <c r="J737" s="12"/>
      <c r="K737" s="12"/>
      <c r="L737" s="12"/>
      <c r="M737" s="12"/>
      <c r="N737" s="12"/>
      <c r="O737" s="12"/>
      <c r="P737" s="55">
        <f t="shared" si="44"/>
        <v>0</v>
      </c>
    </row>
    <row r="738" spans="1:16" ht="15" customHeight="1" x14ac:dyDescent="0.25">
      <c r="A738" s="551">
        <v>299</v>
      </c>
      <c r="B738" s="558" t="s">
        <v>119</v>
      </c>
      <c r="C738" s="110">
        <v>11</v>
      </c>
      <c r="D738" s="12"/>
      <c r="E738" s="12"/>
      <c r="F738" s="12"/>
      <c r="G738" s="12"/>
      <c r="H738" s="12"/>
      <c r="I738" s="12"/>
      <c r="J738" s="12"/>
      <c r="K738" s="12"/>
      <c r="L738" s="12"/>
      <c r="M738" s="12"/>
      <c r="N738" s="12"/>
      <c r="O738" s="12"/>
      <c r="P738" s="55">
        <f t="shared" si="44"/>
        <v>0</v>
      </c>
    </row>
    <row r="739" spans="1:16" ht="15" customHeight="1" x14ac:dyDescent="0.25">
      <c r="A739" s="552"/>
      <c r="B739" s="559"/>
      <c r="C739" s="110">
        <v>12</v>
      </c>
      <c r="D739" s="12"/>
      <c r="E739" s="12"/>
      <c r="F739" s="12"/>
      <c r="G739" s="12"/>
      <c r="H739" s="12"/>
      <c r="I739" s="12"/>
      <c r="J739" s="12"/>
      <c r="K739" s="12"/>
      <c r="L739" s="12"/>
      <c r="M739" s="12"/>
      <c r="N739" s="12"/>
      <c r="O739" s="12"/>
      <c r="P739" s="55">
        <f t="shared" si="44"/>
        <v>0</v>
      </c>
    </row>
    <row r="740" spans="1:16" ht="15" customHeight="1" x14ac:dyDescent="0.25">
      <c r="A740" s="552"/>
      <c r="B740" s="559"/>
      <c r="C740" s="110">
        <v>13</v>
      </c>
      <c r="D740" s="12"/>
      <c r="E740" s="12"/>
      <c r="F740" s="12"/>
      <c r="G740" s="12"/>
      <c r="H740" s="12"/>
      <c r="I740" s="12"/>
      <c r="J740" s="12"/>
      <c r="K740" s="12"/>
      <c r="L740" s="12"/>
      <c r="M740" s="12"/>
      <c r="N740" s="12"/>
      <c r="O740" s="12"/>
      <c r="P740" s="55">
        <f t="shared" si="44"/>
        <v>0</v>
      </c>
    </row>
    <row r="741" spans="1:16" ht="15" customHeight="1" x14ac:dyDescent="0.25">
      <c r="A741" s="552"/>
      <c r="B741" s="559"/>
      <c r="C741" s="110">
        <v>14</v>
      </c>
      <c r="D741" s="12"/>
      <c r="E741" s="12"/>
      <c r="F741" s="12"/>
      <c r="G741" s="12"/>
      <c r="H741" s="12"/>
      <c r="I741" s="12"/>
      <c r="J741" s="12"/>
      <c r="K741" s="12"/>
      <c r="L741" s="12"/>
      <c r="M741" s="12"/>
      <c r="N741" s="12"/>
      <c r="O741" s="12"/>
      <c r="P741" s="55">
        <f t="shared" si="44"/>
        <v>0</v>
      </c>
    </row>
    <row r="742" spans="1:16" ht="15" customHeight="1" x14ac:dyDescent="0.25">
      <c r="A742" s="552"/>
      <c r="B742" s="559"/>
      <c r="C742" s="110">
        <v>15</v>
      </c>
      <c r="D742" s="12"/>
      <c r="E742" s="12"/>
      <c r="F742" s="12"/>
      <c r="G742" s="12"/>
      <c r="H742" s="12"/>
      <c r="I742" s="12"/>
      <c r="J742" s="12"/>
      <c r="K742" s="12"/>
      <c r="L742" s="12"/>
      <c r="M742" s="12"/>
      <c r="N742" s="12"/>
      <c r="O742" s="12"/>
      <c r="P742" s="55">
        <f t="shared" si="44"/>
        <v>0</v>
      </c>
    </row>
    <row r="743" spans="1:16" ht="15" customHeight="1" x14ac:dyDescent="0.25">
      <c r="A743" s="552"/>
      <c r="B743" s="559"/>
      <c r="C743" s="110">
        <v>16</v>
      </c>
      <c r="D743" s="12"/>
      <c r="E743" s="12"/>
      <c r="F743" s="12"/>
      <c r="G743" s="12"/>
      <c r="H743" s="12"/>
      <c r="I743" s="12"/>
      <c r="J743" s="12"/>
      <c r="K743" s="12"/>
      <c r="L743" s="12"/>
      <c r="M743" s="12"/>
      <c r="N743" s="12"/>
      <c r="O743" s="12"/>
      <c r="P743" s="55">
        <f t="shared" si="44"/>
        <v>0</v>
      </c>
    </row>
    <row r="744" spans="1:16" ht="15" customHeight="1" x14ac:dyDescent="0.25">
      <c r="A744" s="552"/>
      <c r="B744" s="559"/>
      <c r="C744" s="110">
        <v>17</v>
      </c>
      <c r="D744" s="12"/>
      <c r="E744" s="12"/>
      <c r="F744" s="12"/>
      <c r="G744" s="12"/>
      <c r="H744" s="12"/>
      <c r="I744" s="12"/>
      <c r="J744" s="12"/>
      <c r="K744" s="12"/>
      <c r="L744" s="12"/>
      <c r="M744" s="12"/>
      <c r="N744" s="12"/>
      <c r="O744" s="12"/>
      <c r="P744" s="55">
        <f t="shared" si="44"/>
        <v>0</v>
      </c>
    </row>
    <row r="745" spans="1:16" ht="15" customHeight="1" x14ac:dyDescent="0.25">
      <c r="A745" s="552"/>
      <c r="B745" s="559"/>
      <c r="C745" s="110">
        <v>25</v>
      </c>
      <c r="D745" s="66"/>
      <c r="E745" s="12"/>
      <c r="F745" s="12"/>
      <c r="G745" s="12"/>
      <c r="H745" s="12"/>
      <c r="I745" s="12"/>
      <c r="J745" s="12"/>
      <c r="K745" s="12"/>
      <c r="L745" s="12"/>
      <c r="M745" s="12"/>
      <c r="N745" s="12"/>
      <c r="O745" s="12"/>
      <c r="P745" s="55">
        <f t="shared" si="44"/>
        <v>0</v>
      </c>
    </row>
    <row r="746" spans="1:16" ht="15" customHeight="1" x14ac:dyDescent="0.25">
      <c r="A746" s="552"/>
      <c r="B746" s="559"/>
      <c r="C746" s="110">
        <v>26</v>
      </c>
      <c r="D746" s="66"/>
      <c r="E746" s="12"/>
      <c r="F746" s="12"/>
      <c r="G746" s="12"/>
      <c r="H746" s="12"/>
      <c r="I746" s="12"/>
      <c r="J746" s="12"/>
      <c r="K746" s="12"/>
      <c r="L746" s="12"/>
      <c r="M746" s="12"/>
      <c r="N746" s="12"/>
      <c r="O746" s="12"/>
      <c r="P746" s="55">
        <f t="shared" si="44"/>
        <v>0</v>
      </c>
    </row>
    <row r="747" spans="1:16" ht="15" customHeight="1" x14ac:dyDescent="0.25">
      <c r="A747" s="553"/>
      <c r="B747" s="559"/>
      <c r="C747" s="110">
        <v>27</v>
      </c>
      <c r="D747" s="66"/>
      <c r="E747" s="12"/>
      <c r="F747" s="12"/>
      <c r="G747" s="12"/>
      <c r="H747" s="12"/>
      <c r="I747" s="12"/>
      <c r="J747" s="12"/>
      <c r="K747" s="12"/>
      <c r="L747" s="12"/>
      <c r="M747" s="12"/>
      <c r="N747" s="12"/>
      <c r="O747" s="12"/>
      <c r="P747" s="55">
        <f t="shared" si="44"/>
        <v>0</v>
      </c>
    </row>
    <row r="748" spans="1:16" x14ac:dyDescent="0.25">
      <c r="A748" s="75">
        <v>3000</v>
      </c>
      <c r="B748" s="309" t="s">
        <v>2292</v>
      </c>
      <c r="C748" s="310"/>
      <c r="D748" s="76">
        <f t="shared" ref="D748:P748" si="45">D749+D840+D931+D1022+D1113+D1204+D1275+D1366+D1417</f>
        <v>1143775</v>
      </c>
      <c r="E748" s="77">
        <f t="shared" si="45"/>
        <v>887707</v>
      </c>
      <c r="F748" s="77">
        <f t="shared" si="45"/>
        <v>857623</v>
      </c>
      <c r="G748" s="77">
        <f t="shared" si="45"/>
        <v>1239045</v>
      </c>
      <c r="H748" s="77">
        <f t="shared" si="45"/>
        <v>1667370</v>
      </c>
      <c r="I748" s="77">
        <f t="shared" si="45"/>
        <v>1220618</v>
      </c>
      <c r="J748" s="77">
        <f t="shared" si="45"/>
        <v>767617</v>
      </c>
      <c r="K748" s="77">
        <f t="shared" si="45"/>
        <v>704017</v>
      </c>
      <c r="L748" s="77">
        <f t="shared" si="45"/>
        <v>1170880</v>
      </c>
      <c r="M748" s="77">
        <f t="shared" si="45"/>
        <v>948073</v>
      </c>
      <c r="N748" s="77">
        <f t="shared" si="45"/>
        <v>942026</v>
      </c>
      <c r="O748" s="77">
        <f t="shared" si="45"/>
        <v>1122769</v>
      </c>
      <c r="P748" s="77">
        <f t="shared" si="45"/>
        <v>12671520</v>
      </c>
    </row>
    <row r="749" spans="1:16" x14ac:dyDescent="0.25">
      <c r="A749" s="74">
        <v>3100</v>
      </c>
      <c r="B749" s="305" t="s">
        <v>2293</v>
      </c>
      <c r="C749" s="306"/>
      <c r="D749" s="72">
        <f>SUM(D750:D839)</f>
        <v>199350</v>
      </c>
      <c r="E749" s="72">
        <f t="shared" ref="E749:O749" si="46">SUM(E750:E839)</f>
        <v>122089</v>
      </c>
      <c r="F749" s="72">
        <f t="shared" si="46"/>
        <v>224693</v>
      </c>
      <c r="G749" s="72">
        <f t="shared" si="46"/>
        <v>93526</v>
      </c>
      <c r="H749" s="72">
        <f t="shared" si="46"/>
        <v>213447</v>
      </c>
      <c r="I749" s="72">
        <f t="shared" si="46"/>
        <v>120623</v>
      </c>
      <c r="J749" s="72">
        <f t="shared" si="46"/>
        <v>151988</v>
      </c>
      <c r="K749" s="72">
        <f t="shared" si="46"/>
        <v>120830</v>
      </c>
      <c r="L749" s="72">
        <f t="shared" si="46"/>
        <v>206211</v>
      </c>
      <c r="M749" s="72">
        <f t="shared" si="46"/>
        <v>259088</v>
      </c>
      <c r="N749" s="72">
        <f t="shared" si="46"/>
        <v>222795</v>
      </c>
      <c r="O749" s="72">
        <f t="shared" si="46"/>
        <v>161379</v>
      </c>
      <c r="P749" s="72">
        <f>SUM(P750:P839)</f>
        <v>2096019</v>
      </c>
    </row>
    <row r="750" spans="1:16" ht="15" customHeight="1" x14ac:dyDescent="0.25">
      <c r="A750" s="551">
        <v>311</v>
      </c>
      <c r="B750" s="558" t="s">
        <v>122</v>
      </c>
      <c r="C750" s="110">
        <v>11</v>
      </c>
      <c r="D750" s="12">
        <v>173826</v>
      </c>
      <c r="E750" s="12"/>
      <c r="F750" s="12">
        <v>153388</v>
      </c>
      <c r="G750" s="12"/>
      <c r="H750" s="12"/>
      <c r="I750" s="12"/>
      <c r="J750" s="12"/>
      <c r="K750" s="12"/>
      <c r="L750" s="12">
        <v>50952</v>
      </c>
      <c r="M750" s="12"/>
      <c r="N750" s="12"/>
      <c r="O750" s="12"/>
      <c r="P750" s="55">
        <f t="shared" ref="P750:P922" si="47">SUM(D750:O750)</f>
        <v>378166</v>
      </c>
    </row>
    <row r="751" spans="1:16" ht="15" customHeight="1" x14ac:dyDescent="0.25">
      <c r="A751" s="552"/>
      <c r="B751" s="559"/>
      <c r="C751" s="110">
        <v>12</v>
      </c>
      <c r="D751" s="12"/>
      <c r="E751" s="12"/>
      <c r="F751" s="12"/>
      <c r="G751" s="12"/>
      <c r="H751" s="12"/>
      <c r="I751" s="12"/>
      <c r="J751" s="12"/>
      <c r="K751" s="12"/>
      <c r="L751" s="12"/>
      <c r="M751" s="12"/>
      <c r="N751" s="12"/>
      <c r="O751" s="12"/>
      <c r="P751" s="55">
        <f t="shared" si="47"/>
        <v>0</v>
      </c>
    </row>
    <row r="752" spans="1:16" ht="15" customHeight="1" x14ac:dyDescent="0.25">
      <c r="A752" s="552"/>
      <c r="B752" s="559"/>
      <c r="C752" s="110">
        <v>13</v>
      </c>
      <c r="D752" s="12"/>
      <c r="E752" s="12"/>
      <c r="F752" s="12"/>
      <c r="G752" s="12"/>
      <c r="H752" s="12"/>
      <c r="I752" s="12"/>
      <c r="J752" s="12"/>
      <c r="K752" s="12"/>
      <c r="L752" s="12"/>
      <c r="M752" s="12"/>
      <c r="N752" s="12"/>
      <c r="O752" s="12"/>
      <c r="P752" s="55">
        <f t="shared" si="47"/>
        <v>0</v>
      </c>
    </row>
    <row r="753" spans="1:16" ht="15" customHeight="1" x14ac:dyDescent="0.25">
      <c r="A753" s="552"/>
      <c r="B753" s="559"/>
      <c r="C753" s="110">
        <v>14</v>
      </c>
      <c r="D753" s="12"/>
      <c r="E753" s="12"/>
      <c r="F753" s="12"/>
      <c r="G753" s="12"/>
      <c r="H753" s="12"/>
      <c r="I753" s="12"/>
      <c r="J753" s="12"/>
      <c r="K753" s="12"/>
      <c r="L753" s="12"/>
      <c r="M753" s="12"/>
      <c r="N753" s="12"/>
      <c r="O753" s="12"/>
      <c r="P753" s="55">
        <f t="shared" si="47"/>
        <v>0</v>
      </c>
    </row>
    <row r="754" spans="1:16" ht="15" customHeight="1" x14ac:dyDescent="0.25">
      <c r="A754" s="552"/>
      <c r="B754" s="559"/>
      <c r="C754" s="110">
        <v>15</v>
      </c>
      <c r="D754" s="12"/>
      <c r="E754" s="12">
        <v>113946</v>
      </c>
      <c r="F754" s="12">
        <v>59850</v>
      </c>
      <c r="G754" s="12">
        <v>84624</v>
      </c>
      <c r="H754" s="12">
        <v>194292</v>
      </c>
      <c r="I754" s="12">
        <v>105496</v>
      </c>
      <c r="J754" s="12">
        <v>143197</v>
      </c>
      <c r="K754" s="12">
        <v>112072</v>
      </c>
      <c r="L754" s="12">
        <v>142802</v>
      </c>
      <c r="M754" s="12">
        <v>193498</v>
      </c>
      <c r="N754" s="12">
        <v>215209</v>
      </c>
      <c r="O754" s="12">
        <v>145986</v>
      </c>
      <c r="P754" s="55">
        <f t="shared" si="47"/>
        <v>1510972</v>
      </c>
    </row>
    <row r="755" spans="1:16" ht="15" customHeight="1" x14ac:dyDescent="0.25">
      <c r="A755" s="552"/>
      <c r="B755" s="559"/>
      <c r="C755" s="110">
        <v>16</v>
      </c>
      <c r="D755" s="12"/>
      <c r="E755" s="12"/>
      <c r="F755" s="12"/>
      <c r="G755" s="12"/>
      <c r="H755" s="12"/>
      <c r="I755" s="12"/>
      <c r="J755" s="12"/>
      <c r="K755" s="12"/>
      <c r="L755" s="12"/>
      <c r="M755" s="12"/>
      <c r="N755" s="12"/>
      <c r="O755" s="12"/>
      <c r="P755" s="55">
        <f t="shared" si="47"/>
        <v>0</v>
      </c>
    </row>
    <row r="756" spans="1:16" ht="15" customHeight="1" x14ac:dyDescent="0.25">
      <c r="A756" s="552"/>
      <c r="B756" s="559"/>
      <c r="C756" s="110">
        <v>17</v>
      </c>
      <c r="D756" s="12"/>
      <c r="E756" s="12"/>
      <c r="F756" s="12"/>
      <c r="G756" s="12"/>
      <c r="H756" s="12"/>
      <c r="I756" s="12"/>
      <c r="J756" s="12"/>
      <c r="K756" s="12"/>
      <c r="L756" s="12"/>
      <c r="M756" s="12"/>
      <c r="N756" s="12"/>
      <c r="O756" s="12"/>
      <c r="P756" s="55">
        <f t="shared" si="47"/>
        <v>0</v>
      </c>
    </row>
    <row r="757" spans="1:16" ht="15" customHeight="1" x14ac:dyDescent="0.25">
      <c r="A757" s="552"/>
      <c r="B757" s="559"/>
      <c r="C757" s="110">
        <v>25</v>
      </c>
      <c r="D757" s="12"/>
      <c r="E757" s="12"/>
      <c r="F757" s="12"/>
      <c r="G757" s="12"/>
      <c r="H757" s="12"/>
      <c r="I757" s="12"/>
      <c r="J757" s="12"/>
      <c r="K757" s="12"/>
      <c r="L757" s="12"/>
      <c r="M757" s="12"/>
      <c r="N757" s="12"/>
      <c r="O757" s="12"/>
      <c r="P757" s="55">
        <f t="shared" si="47"/>
        <v>0</v>
      </c>
    </row>
    <row r="758" spans="1:16" ht="15" customHeight="1" x14ac:dyDescent="0.25">
      <c r="A758" s="552"/>
      <c r="B758" s="559"/>
      <c r="C758" s="110">
        <v>26</v>
      </c>
      <c r="D758" s="12"/>
      <c r="E758" s="12"/>
      <c r="F758" s="12"/>
      <c r="G758" s="12"/>
      <c r="H758" s="12"/>
      <c r="I758" s="12"/>
      <c r="J758" s="12"/>
      <c r="K758" s="12"/>
      <c r="L758" s="12"/>
      <c r="M758" s="12"/>
      <c r="N758" s="12"/>
      <c r="O758" s="12"/>
      <c r="P758" s="55">
        <f t="shared" si="47"/>
        <v>0</v>
      </c>
    </row>
    <row r="759" spans="1:16" ht="15" customHeight="1" x14ac:dyDescent="0.25">
      <c r="A759" s="553"/>
      <c r="B759" s="559"/>
      <c r="C759" s="110">
        <v>27</v>
      </c>
      <c r="D759" s="12"/>
      <c r="E759" s="12"/>
      <c r="F759" s="12"/>
      <c r="G759" s="12"/>
      <c r="H759" s="12"/>
      <c r="I759" s="12"/>
      <c r="J759" s="12"/>
      <c r="K759" s="12"/>
      <c r="L759" s="12"/>
      <c r="M759" s="12"/>
      <c r="N759" s="12"/>
      <c r="O759" s="12"/>
      <c r="P759" s="55">
        <f t="shared" si="47"/>
        <v>0</v>
      </c>
    </row>
    <row r="760" spans="1:16" ht="15" customHeight="1" x14ac:dyDescent="0.25">
      <c r="A760" s="551">
        <v>312</v>
      </c>
      <c r="B760" s="558" t="s">
        <v>2294</v>
      </c>
      <c r="C760" s="110">
        <v>11</v>
      </c>
      <c r="D760" s="12"/>
      <c r="E760" s="12"/>
      <c r="F760" s="12"/>
      <c r="G760" s="12"/>
      <c r="H760" s="12"/>
      <c r="I760" s="12"/>
      <c r="J760" s="12"/>
      <c r="K760" s="12"/>
      <c r="L760" s="12"/>
      <c r="M760" s="12"/>
      <c r="N760" s="12"/>
      <c r="O760" s="12"/>
      <c r="P760" s="55">
        <f t="shared" si="47"/>
        <v>0</v>
      </c>
    </row>
    <row r="761" spans="1:16" ht="15" customHeight="1" x14ac:dyDescent="0.25">
      <c r="A761" s="552"/>
      <c r="B761" s="559"/>
      <c r="C761" s="110">
        <v>12</v>
      </c>
      <c r="D761" s="12"/>
      <c r="E761" s="12"/>
      <c r="F761" s="12"/>
      <c r="G761" s="12"/>
      <c r="H761" s="12"/>
      <c r="I761" s="12"/>
      <c r="J761" s="12"/>
      <c r="K761" s="12"/>
      <c r="L761" s="12"/>
      <c r="M761" s="12"/>
      <c r="N761" s="12"/>
      <c r="O761" s="12"/>
      <c r="P761" s="55">
        <f t="shared" si="47"/>
        <v>0</v>
      </c>
    </row>
    <row r="762" spans="1:16" ht="15" customHeight="1" x14ac:dyDescent="0.25">
      <c r="A762" s="552"/>
      <c r="B762" s="559"/>
      <c r="C762" s="110">
        <v>13</v>
      </c>
      <c r="D762" s="12"/>
      <c r="E762" s="12"/>
      <c r="F762" s="12"/>
      <c r="G762" s="12"/>
      <c r="H762" s="12"/>
      <c r="I762" s="12"/>
      <c r="J762" s="12"/>
      <c r="K762" s="12"/>
      <c r="L762" s="12"/>
      <c r="M762" s="12"/>
      <c r="N762" s="12"/>
      <c r="O762" s="12"/>
      <c r="P762" s="55">
        <f t="shared" si="47"/>
        <v>0</v>
      </c>
    </row>
    <row r="763" spans="1:16" ht="15" customHeight="1" x14ac:dyDescent="0.25">
      <c r="A763" s="552"/>
      <c r="B763" s="559"/>
      <c r="C763" s="110">
        <v>14</v>
      </c>
      <c r="D763" s="12"/>
      <c r="E763" s="12"/>
      <c r="F763" s="12"/>
      <c r="G763" s="12"/>
      <c r="H763" s="12"/>
      <c r="I763" s="12"/>
      <c r="J763" s="12"/>
      <c r="K763" s="12"/>
      <c r="L763" s="12"/>
      <c r="M763" s="12"/>
      <c r="N763" s="12"/>
      <c r="O763" s="12"/>
      <c r="P763" s="55">
        <f t="shared" si="47"/>
        <v>0</v>
      </c>
    </row>
    <row r="764" spans="1:16" ht="15" customHeight="1" x14ac:dyDescent="0.25">
      <c r="A764" s="552"/>
      <c r="B764" s="559"/>
      <c r="C764" s="110">
        <v>15</v>
      </c>
      <c r="D764" s="12"/>
      <c r="E764" s="12"/>
      <c r="F764" s="12"/>
      <c r="G764" s="12"/>
      <c r="H764" s="12"/>
      <c r="I764" s="12"/>
      <c r="J764" s="12"/>
      <c r="K764" s="12"/>
      <c r="L764" s="12"/>
      <c r="M764" s="12"/>
      <c r="N764" s="12"/>
      <c r="O764" s="12"/>
      <c r="P764" s="55">
        <f t="shared" si="47"/>
        <v>0</v>
      </c>
    </row>
    <row r="765" spans="1:16" ht="15" customHeight="1" x14ac:dyDescent="0.25">
      <c r="A765" s="552"/>
      <c r="B765" s="559"/>
      <c r="C765" s="110">
        <v>16</v>
      </c>
      <c r="D765" s="12"/>
      <c r="E765" s="12"/>
      <c r="F765" s="12"/>
      <c r="G765" s="12"/>
      <c r="H765" s="12"/>
      <c r="I765" s="12"/>
      <c r="J765" s="12"/>
      <c r="K765" s="12"/>
      <c r="L765" s="12"/>
      <c r="M765" s="12"/>
      <c r="N765" s="12"/>
      <c r="O765" s="12"/>
      <c r="P765" s="55">
        <f t="shared" si="47"/>
        <v>0</v>
      </c>
    </row>
    <row r="766" spans="1:16" ht="15" customHeight="1" x14ac:dyDescent="0.25">
      <c r="A766" s="552"/>
      <c r="B766" s="559"/>
      <c r="C766" s="110">
        <v>17</v>
      </c>
      <c r="D766" s="12"/>
      <c r="E766" s="12"/>
      <c r="F766" s="12"/>
      <c r="G766" s="12"/>
      <c r="H766" s="12"/>
      <c r="I766" s="12"/>
      <c r="J766" s="12"/>
      <c r="K766" s="12"/>
      <c r="L766" s="12"/>
      <c r="M766" s="12"/>
      <c r="N766" s="12"/>
      <c r="O766" s="12"/>
      <c r="P766" s="55">
        <f t="shared" si="47"/>
        <v>0</v>
      </c>
    </row>
    <row r="767" spans="1:16" ht="15" customHeight="1" x14ac:dyDescent="0.25">
      <c r="A767" s="552"/>
      <c r="B767" s="559"/>
      <c r="C767" s="110">
        <v>25</v>
      </c>
      <c r="D767" s="12"/>
      <c r="E767" s="12"/>
      <c r="F767" s="12"/>
      <c r="G767" s="12"/>
      <c r="H767" s="12"/>
      <c r="I767" s="12"/>
      <c r="J767" s="12"/>
      <c r="K767" s="12"/>
      <c r="L767" s="12"/>
      <c r="M767" s="12"/>
      <c r="N767" s="12"/>
      <c r="O767" s="12"/>
      <c r="P767" s="55">
        <f t="shared" si="47"/>
        <v>0</v>
      </c>
    </row>
    <row r="768" spans="1:16" ht="15" customHeight="1" x14ac:dyDescent="0.25">
      <c r="A768" s="552"/>
      <c r="B768" s="559"/>
      <c r="C768" s="110">
        <v>26</v>
      </c>
      <c r="D768" s="12"/>
      <c r="E768" s="12"/>
      <c r="F768" s="12"/>
      <c r="G768" s="12"/>
      <c r="H768" s="12"/>
      <c r="I768" s="12"/>
      <c r="J768" s="12"/>
      <c r="K768" s="12"/>
      <c r="L768" s="12"/>
      <c r="M768" s="12"/>
      <c r="N768" s="12"/>
      <c r="O768" s="12"/>
      <c r="P768" s="55">
        <f t="shared" si="47"/>
        <v>0</v>
      </c>
    </row>
    <row r="769" spans="1:16" ht="15" customHeight="1" x14ac:dyDescent="0.25">
      <c r="A769" s="553"/>
      <c r="B769" s="559"/>
      <c r="C769" s="110">
        <v>27</v>
      </c>
      <c r="D769" s="12"/>
      <c r="E769" s="12"/>
      <c r="F769" s="12"/>
      <c r="G769" s="12"/>
      <c r="H769" s="12"/>
      <c r="I769" s="12"/>
      <c r="J769" s="12"/>
      <c r="K769" s="12"/>
      <c r="L769" s="12"/>
      <c r="M769" s="12"/>
      <c r="N769" s="12"/>
      <c r="O769" s="12"/>
      <c r="P769" s="55">
        <f t="shared" si="47"/>
        <v>0</v>
      </c>
    </row>
    <row r="770" spans="1:16" ht="15" customHeight="1" x14ac:dyDescent="0.25">
      <c r="A770" s="551">
        <v>313</v>
      </c>
      <c r="B770" s="558" t="s">
        <v>124</v>
      </c>
      <c r="C770" s="110">
        <v>11</v>
      </c>
      <c r="D770" s="12"/>
      <c r="E770" s="12"/>
      <c r="F770" s="12"/>
      <c r="G770" s="12"/>
      <c r="H770" s="12"/>
      <c r="I770" s="12"/>
      <c r="J770" s="12"/>
      <c r="K770" s="12"/>
      <c r="L770" s="12"/>
      <c r="M770" s="12"/>
      <c r="N770" s="12"/>
      <c r="O770" s="12"/>
      <c r="P770" s="55">
        <f t="shared" si="47"/>
        <v>0</v>
      </c>
    </row>
    <row r="771" spans="1:16" ht="15" customHeight="1" x14ac:dyDescent="0.25">
      <c r="A771" s="552"/>
      <c r="B771" s="559"/>
      <c r="C771" s="110">
        <v>12</v>
      </c>
      <c r="D771" s="12"/>
      <c r="E771" s="12"/>
      <c r="F771" s="12"/>
      <c r="G771" s="12"/>
      <c r="H771" s="12"/>
      <c r="I771" s="12"/>
      <c r="J771" s="12"/>
      <c r="K771" s="12"/>
      <c r="L771" s="12"/>
      <c r="M771" s="12"/>
      <c r="N771" s="12"/>
      <c r="O771" s="12"/>
      <c r="P771" s="55">
        <f t="shared" si="47"/>
        <v>0</v>
      </c>
    </row>
    <row r="772" spans="1:16" ht="15" customHeight="1" x14ac:dyDescent="0.25">
      <c r="A772" s="552"/>
      <c r="B772" s="559"/>
      <c r="C772" s="110">
        <v>13</v>
      </c>
      <c r="D772" s="12"/>
      <c r="E772" s="12"/>
      <c r="F772" s="12"/>
      <c r="G772" s="12"/>
      <c r="H772" s="12"/>
      <c r="I772" s="12"/>
      <c r="J772" s="12"/>
      <c r="K772" s="12"/>
      <c r="L772" s="12"/>
      <c r="M772" s="12"/>
      <c r="N772" s="12"/>
      <c r="O772" s="12"/>
      <c r="P772" s="55">
        <f t="shared" si="47"/>
        <v>0</v>
      </c>
    </row>
    <row r="773" spans="1:16" ht="15" customHeight="1" x14ac:dyDescent="0.25">
      <c r="A773" s="552"/>
      <c r="B773" s="559"/>
      <c r="C773" s="110">
        <v>14</v>
      </c>
      <c r="D773" s="12"/>
      <c r="E773" s="12"/>
      <c r="F773" s="12"/>
      <c r="G773" s="12"/>
      <c r="H773" s="12"/>
      <c r="I773" s="12"/>
      <c r="J773" s="12"/>
      <c r="K773" s="12"/>
      <c r="L773" s="12"/>
      <c r="M773" s="12"/>
      <c r="N773" s="12"/>
      <c r="O773" s="12"/>
      <c r="P773" s="55">
        <f t="shared" si="47"/>
        <v>0</v>
      </c>
    </row>
    <row r="774" spans="1:16" ht="15" customHeight="1" x14ac:dyDescent="0.25">
      <c r="A774" s="552"/>
      <c r="B774" s="559"/>
      <c r="C774" s="110">
        <v>15</v>
      </c>
      <c r="D774" s="12">
        <v>4319</v>
      </c>
      <c r="E774" s="12">
        <v>4038</v>
      </c>
      <c r="F774" s="12">
        <v>3708</v>
      </c>
      <c r="G774" s="12">
        <v>3847</v>
      </c>
      <c r="H774" s="12">
        <v>3800</v>
      </c>
      <c r="I774" s="12">
        <v>4079</v>
      </c>
      <c r="J774" s="12">
        <v>3986</v>
      </c>
      <c r="K774" s="12">
        <v>4033</v>
      </c>
      <c r="L774" s="12">
        <v>3893</v>
      </c>
      <c r="M774" s="12">
        <v>4125</v>
      </c>
      <c r="N774" s="12">
        <v>3600</v>
      </c>
      <c r="O774" s="12">
        <v>3893</v>
      </c>
      <c r="P774" s="55">
        <f t="shared" si="47"/>
        <v>47321</v>
      </c>
    </row>
    <row r="775" spans="1:16" ht="15" customHeight="1" x14ac:dyDescent="0.25">
      <c r="A775" s="552"/>
      <c r="B775" s="559"/>
      <c r="C775" s="110">
        <v>16</v>
      </c>
      <c r="D775" s="12"/>
      <c r="E775" s="12"/>
      <c r="F775" s="12"/>
      <c r="G775" s="12"/>
      <c r="H775" s="12"/>
      <c r="I775" s="12"/>
      <c r="J775" s="12"/>
      <c r="K775" s="12"/>
      <c r="L775" s="12"/>
      <c r="M775" s="12"/>
      <c r="N775" s="12"/>
      <c r="O775" s="12"/>
      <c r="P775" s="55">
        <f t="shared" si="47"/>
        <v>0</v>
      </c>
    </row>
    <row r="776" spans="1:16" ht="15" customHeight="1" x14ac:dyDescent="0.25">
      <c r="A776" s="552"/>
      <c r="B776" s="559"/>
      <c r="C776" s="110">
        <v>17</v>
      </c>
      <c r="D776" s="12"/>
      <c r="E776" s="12"/>
      <c r="F776" s="12"/>
      <c r="G776" s="12"/>
      <c r="H776" s="12"/>
      <c r="I776" s="12"/>
      <c r="J776" s="12"/>
      <c r="K776" s="12"/>
      <c r="L776" s="12"/>
      <c r="M776" s="12"/>
      <c r="N776" s="12"/>
      <c r="O776" s="12"/>
      <c r="P776" s="55">
        <f t="shared" si="47"/>
        <v>0</v>
      </c>
    </row>
    <row r="777" spans="1:16" ht="15" customHeight="1" x14ac:dyDescent="0.25">
      <c r="A777" s="552"/>
      <c r="B777" s="559"/>
      <c r="C777" s="110">
        <v>25</v>
      </c>
      <c r="D777" s="12"/>
      <c r="E777" s="12"/>
      <c r="F777" s="12"/>
      <c r="G777" s="12"/>
      <c r="H777" s="12"/>
      <c r="I777" s="12"/>
      <c r="J777" s="12"/>
      <c r="K777" s="12"/>
      <c r="L777" s="12"/>
      <c r="M777" s="12"/>
      <c r="N777" s="12"/>
      <c r="O777" s="12"/>
      <c r="P777" s="55">
        <f t="shared" si="47"/>
        <v>0</v>
      </c>
    </row>
    <row r="778" spans="1:16" ht="15" customHeight="1" x14ac:dyDescent="0.25">
      <c r="A778" s="552"/>
      <c r="B778" s="559"/>
      <c r="C778" s="110">
        <v>26</v>
      </c>
      <c r="D778" s="12"/>
      <c r="E778" s="12"/>
      <c r="F778" s="12"/>
      <c r="G778" s="12"/>
      <c r="H778" s="12"/>
      <c r="I778" s="12"/>
      <c r="J778" s="12"/>
      <c r="K778" s="12"/>
      <c r="L778" s="12"/>
      <c r="M778" s="12"/>
      <c r="N778" s="12"/>
      <c r="O778" s="12"/>
      <c r="P778" s="55">
        <f t="shared" si="47"/>
        <v>0</v>
      </c>
    </row>
    <row r="779" spans="1:16" ht="15" customHeight="1" x14ac:dyDescent="0.25">
      <c r="A779" s="553"/>
      <c r="B779" s="559"/>
      <c r="C779" s="110">
        <v>27</v>
      </c>
      <c r="D779" s="12"/>
      <c r="E779" s="12"/>
      <c r="F779" s="12"/>
      <c r="G779" s="12"/>
      <c r="H779" s="12"/>
      <c r="I779" s="12"/>
      <c r="J779" s="12"/>
      <c r="K779" s="12"/>
      <c r="L779" s="12"/>
      <c r="M779" s="12"/>
      <c r="N779" s="12"/>
      <c r="O779" s="12"/>
      <c r="P779" s="55">
        <f t="shared" si="47"/>
        <v>0</v>
      </c>
    </row>
    <row r="780" spans="1:16" ht="15" customHeight="1" x14ac:dyDescent="0.25">
      <c r="A780" s="551">
        <v>314</v>
      </c>
      <c r="B780" s="558" t="s">
        <v>125</v>
      </c>
      <c r="C780" s="110">
        <v>11</v>
      </c>
      <c r="D780" s="12">
        <v>4450</v>
      </c>
      <c r="E780" s="12"/>
      <c r="F780" s="12"/>
      <c r="G780" s="12"/>
      <c r="H780" s="12"/>
      <c r="I780" s="12"/>
      <c r="J780" s="12"/>
      <c r="K780" s="12"/>
      <c r="L780" s="12"/>
      <c r="M780" s="12"/>
      <c r="N780" s="12"/>
      <c r="O780" s="12"/>
      <c r="P780" s="55">
        <f t="shared" si="47"/>
        <v>4450</v>
      </c>
    </row>
    <row r="781" spans="1:16" ht="15" customHeight="1" x14ac:dyDescent="0.25">
      <c r="A781" s="552"/>
      <c r="B781" s="559"/>
      <c r="C781" s="110">
        <v>12</v>
      </c>
      <c r="D781" s="12"/>
      <c r="E781" s="12"/>
      <c r="F781" s="12"/>
      <c r="G781" s="12"/>
      <c r="H781" s="12"/>
      <c r="I781" s="12"/>
      <c r="J781" s="12"/>
      <c r="K781" s="12"/>
      <c r="L781" s="12"/>
      <c r="M781" s="12"/>
      <c r="N781" s="12"/>
      <c r="O781" s="12"/>
      <c r="P781" s="55">
        <f t="shared" si="47"/>
        <v>0</v>
      </c>
    </row>
    <row r="782" spans="1:16" ht="15" customHeight="1" x14ac:dyDescent="0.25">
      <c r="A782" s="552"/>
      <c r="B782" s="559"/>
      <c r="C782" s="110">
        <v>13</v>
      </c>
      <c r="D782" s="12"/>
      <c r="E782" s="12"/>
      <c r="F782" s="12"/>
      <c r="G782" s="12"/>
      <c r="H782" s="12"/>
      <c r="I782" s="12"/>
      <c r="J782" s="12"/>
      <c r="K782" s="12"/>
      <c r="L782" s="12"/>
      <c r="M782" s="12"/>
      <c r="N782" s="12"/>
      <c r="O782" s="12"/>
      <c r="P782" s="55">
        <f t="shared" si="47"/>
        <v>0</v>
      </c>
    </row>
    <row r="783" spans="1:16" ht="15" customHeight="1" x14ac:dyDescent="0.25">
      <c r="A783" s="552"/>
      <c r="B783" s="559"/>
      <c r="C783" s="110">
        <v>14</v>
      </c>
      <c r="D783" s="12"/>
      <c r="E783" s="12"/>
      <c r="F783" s="12"/>
      <c r="G783" s="12"/>
      <c r="H783" s="12"/>
      <c r="I783" s="12"/>
      <c r="J783" s="12"/>
      <c r="K783" s="12"/>
      <c r="L783" s="12"/>
      <c r="M783" s="12"/>
      <c r="N783" s="12"/>
      <c r="O783" s="12"/>
      <c r="P783" s="55">
        <f t="shared" si="47"/>
        <v>0</v>
      </c>
    </row>
    <row r="784" spans="1:16" ht="15" customHeight="1" x14ac:dyDescent="0.25">
      <c r="A784" s="552"/>
      <c r="B784" s="559"/>
      <c r="C784" s="110">
        <v>15</v>
      </c>
      <c r="D784" s="12"/>
      <c r="E784" s="12"/>
      <c r="F784" s="12">
        <v>3761</v>
      </c>
      <c r="G784" s="12"/>
      <c r="H784" s="12"/>
      <c r="I784" s="12">
        <v>6943</v>
      </c>
      <c r="J784" s="12"/>
      <c r="K784" s="12"/>
      <c r="L784" s="12">
        <v>4578</v>
      </c>
      <c r="M784" s="12"/>
      <c r="N784" s="12"/>
      <c r="O784" s="12">
        <v>7395</v>
      </c>
      <c r="P784" s="55">
        <f t="shared" si="47"/>
        <v>22677</v>
      </c>
    </row>
    <row r="785" spans="1:16" ht="15" customHeight="1" x14ac:dyDescent="0.25">
      <c r="A785" s="552"/>
      <c r="B785" s="559"/>
      <c r="C785" s="110">
        <v>16</v>
      </c>
      <c r="D785" s="12"/>
      <c r="E785" s="12"/>
      <c r="F785" s="12"/>
      <c r="G785" s="12"/>
      <c r="H785" s="12"/>
      <c r="I785" s="12"/>
      <c r="J785" s="12"/>
      <c r="K785" s="12"/>
      <c r="L785" s="12"/>
      <c r="M785" s="12"/>
      <c r="N785" s="12"/>
      <c r="O785" s="12"/>
      <c r="P785" s="55">
        <f t="shared" si="47"/>
        <v>0</v>
      </c>
    </row>
    <row r="786" spans="1:16" ht="15" customHeight="1" x14ac:dyDescent="0.25">
      <c r="A786" s="552"/>
      <c r="B786" s="559"/>
      <c r="C786" s="110">
        <v>17</v>
      </c>
      <c r="D786" s="12"/>
      <c r="E786" s="12"/>
      <c r="F786" s="12"/>
      <c r="G786" s="12"/>
      <c r="H786" s="12"/>
      <c r="I786" s="12"/>
      <c r="J786" s="12"/>
      <c r="K786" s="12"/>
      <c r="L786" s="12"/>
      <c r="M786" s="12"/>
      <c r="N786" s="12"/>
      <c r="O786" s="12"/>
      <c r="P786" s="55">
        <f t="shared" si="47"/>
        <v>0</v>
      </c>
    </row>
    <row r="787" spans="1:16" ht="15" customHeight="1" x14ac:dyDescent="0.25">
      <c r="A787" s="552"/>
      <c r="B787" s="559"/>
      <c r="C787" s="110">
        <v>25</v>
      </c>
      <c r="D787" s="12"/>
      <c r="E787" s="12"/>
      <c r="F787" s="12"/>
      <c r="G787" s="12"/>
      <c r="H787" s="12"/>
      <c r="I787" s="12"/>
      <c r="J787" s="12"/>
      <c r="K787" s="12"/>
      <c r="L787" s="12"/>
      <c r="M787" s="12"/>
      <c r="N787" s="12"/>
      <c r="O787" s="12"/>
      <c r="P787" s="55">
        <f t="shared" si="47"/>
        <v>0</v>
      </c>
    </row>
    <row r="788" spans="1:16" ht="15" customHeight="1" x14ac:dyDescent="0.25">
      <c r="A788" s="552"/>
      <c r="B788" s="559"/>
      <c r="C788" s="110">
        <v>26</v>
      </c>
      <c r="D788" s="12"/>
      <c r="E788" s="12"/>
      <c r="F788" s="12"/>
      <c r="G788" s="12"/>
      <c r="H788" s="12"/>
      <c r="I788" s="12"/>
      <c r="J788" s="12"/>
      <c r="K788" s="12"/>
      <c r="L788" s="12"/>
      <c r="M788" s="12"/>
      <c r="N788" s="12"/>
      <c r="O788" s="12"/>
      <c r="P788" s="55">
        <f t="shared" si="47"/>
        <v>0</v>
      </c>
    </row>
    <row r="789" spans="1:16" ht="15" customHeight="1" x14ac:dyDescent="0.25">
      <c r="A789" s="553"/>
      <c r="B789" s="559"/>
      <c r="C789" s="110">
        <v>27</v>
      </c>
      <c r="D789" s="12"/>
      <c r="E789" s="12"/>
      <c r="F789" s="12"/>
      <c r="G789" s="12"/>
      <c r="H789" s="12"/>
      <c r="I789" s="12"/>
      <c r="J789" s="12"/>
      <c r="K789" s="12"/>
      <c r="L789" s="12"/>
      <c r="M789" s="12"/>
      <c r="N789" s="12"/>
      <c r="O789" s="12"/>
      <c r="P789" s="55">
        <f t="shared" si="47"/>
        <v>0</v>
      </c>
    </row>
    <row r="790" spans="1:16" ht="15" customHeight="1" x14ac:dyDescent="0.25">
      <c r="A790" s="551">
        <v>315</v>
      </c>
      <c r="B790" s="558" t="s">
        <v>126</v>
      </c>
      <c r="C790" s="110">
        <v>11</v>
      </c>
      <c r="D790" s="12"/>
      <c r="E790" s="12"/>
      <c r="F790" s="12"/>
      <c r="G790" s="12"/>
      <c r="H790" s="12"/>
      <c r="I790" s="12"/>
      <c r="J790" s="12"/>
      <c r="K790" s="12"/>
      <c r="L790" s="12"/>
      <c r="M790" s="12"/>
      <c r="N790" s="12"/>
      <c r="O790" s="12"/>
      <c r="P790" s="55">
        <f t="shared" si="47"/>
        <v>0</v>
      </c>
    </row>
    <row r="791" spans="1:16" ht="15" customHeight="1" x14ac:dyDescent="0.25">
      <c r="A791" s="552"/>
      <c r="B791" s="559"/>
      <c r="C791" s="110">
        <v>12</v>
      </c>
      <c r="D791" s="12"/>
      <c r="E791" s="12"/>
      <c r="F791" s="12"/>
      <c r="G791" s="12"/>
      <c r="H791" s="12"/>
      <c r="I791" s="12"/>
      <c r="J791" s="12"/>
      <c r="K791" s="12"/>
      <c r="L791" s="12"/>
      <c r="M791" s="12"/>
      <c r="N791" s="12"/>
      <c r="O791" s="12"/>
      <c r="P791" s="55">
        <f t="shared" si="47"/>
        <v>0</v>
      </c>
    </row>
    <row r="792" spans="1:16" ht="15" customHeight="1" x14ac:dyDescent="0.25">
      <c r="A792" s="552"/>
      <c r="B792" s="559"/>
      <c r="C792" s="110">
        <v>13</v>
      </c>
      <c r="D792" s="12"/>
      <c r="E792" s="12"/>
      <c r="F792" s="12"/>
      <c r="G792" s="12"/>
      <c r="H792" s="12"/>
      <c r="I792" s="12"/>
      <c r="J792" s="12"/>
      <c r="K792" s="12"/>
      <c r="L792" s="12"/>
      <c r="M792" s="12"/>
      <c r="N792" s="12"/>
      <c r="O792" s="12"/>
      <c r="P792" s="55">
        <f t="shared" si="47"/>
        <v>0</v>
      </c>
    </row>
    <row r="793" spans="1:16" ht="15" customHeight="1" x14ac:dyDescent="0.25">
      <c r="A793" s="552"/>
      <c r="B793" s="559"/>
      <c r="C793" s="110">
        <v>14</v>
      </c>
      <c r="D793" s="12"/>
      <c r="E793" s="12"/>
      <c r="F793" s="12"/>
      <c r="G793" s="12"/>
      <c r="H793" s="12"/>
      <c r="I793" s="12"/>
      <c r="J793" s="12"/>
      <c r="K793" s="12"/>
      <c r="L793" s="12"/>
      <c r="M793" s="12"/>
      <c r="N793" s="12"/>
      <c r="O793" s="12"/>
      <c r="P793" s="55">
        <f t="shared" si="47"/>
        <v>0</v>
      </c>
    </row>
    <row r="794" spans="1:16" ht="15" customHeight="1" x14ac:dyDescent="0.25">
      <c r="A794" s="552"/>
      <c r="B794" s="559"/>
      <c r="C794" s="110">
        <v>15</v>
      </c>
      <c r="D794" s="12">
        <v>4105</v>
      </c>
      <c r="E794" s="12">
        <v>4105</v>
      </c>
      <c r="F794" s="12">
        <v>3986</v>
      </c>
      <c r="G794" s="12">
        <v>4605</v>
      </c>
      <c r="H794" s="12">
        <v>4105</v>
      </c>
      <c r="I794" s="12">
        <v>4105</v>
      </c>
      <c r="J794" s="12">
        <v>4805</v>
      </c>
      <c r="K794" s="12">
        <v>4105</v>
      </c>
      <c r="L794" s="12">
        <v>3986</v>
      </c>
      <c r="M794" s="12">
        <v>4105</v>
      </c>
      <c r="N794" s="12">
        <v>3986</v>
      </c>
      <c r="O794" s="12">
        <v>4105</v>
      </c>
      <c r="P794" s="55">
        <f t="shared" si="47"/>
        <v>50103</v>
      </c>
    </row>
    <row r="795" spans="1:16" ht="15" customHeight="1" x14ac:dyDescent="0.25">
      <c r="A795" s="552"/>
      <c r="B795" s="559"/>
      <c r="C795" s="110">
        <v>16</v>
      </c>
      <c r="D795" s="12"/>
      <c r="E795" s="12"/>
      <c r="F795" s="12"/>
      <c r="G795" s="12"/>
      <c r="H795" s="12"/>
      <c r="I795" s="12"/>
      <c r="J795" s="12"/>
      <c r="K795" s="12"/>
      <c r="L795" s="12"/>
      <c r="M795" s="12"/>
      <c r="N795" s="12"/>
      <c r="O795" s="12"/>
      <c r="P795" s="55">
        <f t="shared" si="47"/>
        <v>0</v>
      </c>
    </row>
    <row r="796" spans="1:16" ht="15" customHeight="1" x14ac:dyDescent="0.25">
      <c r="A796" s="552"/>
      <c r="B796" s="559"/>
      <c r="C796" s="110">
        <v>17</v>
      </c>
      <c r="D796" s="12"/>
      <c r="E796" s="12"/>
      <c r="F796" s="12"/>
      <c r="G796" s="12"/>
      <c r="H796" s="12"/>
      <c r="I796" s="12"/>
      <c r="J796" s="12"/>
      <c r="K796" s="12"/>
      <c r="L796" s="12"/>
      <c r="M796" s="12"/>
      <c r="N796" s="12"/>
      <c r="O796" s="12"/>
      <c r="P796" s="55">
        <f t="shared" si="47"/>
        <v>0</v>
      </c>
    </row>
    <row r="797" spans="1:16" ht="15" customHeight="1" x14ac:dyDescent="0.25">
      <c r="A797" s="552"/>
      <c r="B797" s="559"/>
      <c r="C797" s="110">
        <v>25</v>
      </c>
      <c r="D797" s="12"/>
      <c r="E797" s="12"/>
      <c r="F797" s="12"/>
      <c r="G797" s="12"/>
      <c r="H797" s="12"/>
      <c r="I797" s="12"/>
      <c r="J797" s="12"/>
      <c r="K797" s="12"/>
      <c r="L797" s="12"/>
      <c r="M797" s="12"/>
      <c r="N797" s="12"/>
      <c r="O797" s="12"/>
      <c r="P797" s="55">
        <f t="shared" si="47"/>
        <v>0</v>
      </c>
    </row>
    <row r="798" spans="1:16" ht="15" customHeight="1" x14ac:dyDescent="0.25">
      <c r="A798" s="552"/>
      <c r="B798" s="559"/>
      <c r="C798" s="110">
        <v>26</v>
      </c>
      <c r="D798" s="12"/>
      <c r="E798" s="12"/>
      <c r="F798" s="12"/>
      <c r="G798" s="12"/>
      <c r="H798" s="12"/>
      <c r="I798" s="12"/>
      <c r="J798" s="12"/>
      <c r="K798" s="12"/>
      <c r="L798" s="12"/>
      <c r="M798" s="12"/>
      <c r="N798" s="12"/>
      <c r="O798" s="12"/>
      <c r="P798" s="55">
        <f t="shared" si="47"/>
        <v>0</v>
      </c>
    </row>
    <row r="799" spans="1:16" ht="15" customHeight="1" x14ac:dyDescent="0.25">
      <c r="A799" s="553"/>
      <c r="B799" s="559"/>
      <c r="C799" s="110">
        <v>27</v>
      </c>
      <c r="D799" s="12"/>
      <c r="E799" s="12"/>
      <c r="F799" s="12"/>
      <c r="G799" s="12"/>
      <c r="H799" s="12"/>
      <c r="I799" s="12"/>
      <c r="J799" s="12"/>
      <c r="K799" s="12"/>
      <c r="L799" s="12"/>
      <c r="M799" s="12"/>
      <c r="N799" s="12"/>
      <c r="O799" s="12"/>
      <c r="P799" s="55">
        <f t="shared" si="47"/>
        <v>0</v>
      </c>
    </row>
    <row r="800" spans="1:16" ht="15" customHeight="1" x14ac:dyDescent="0.25">
      <c r="A800" s="551">
        <v>316</v>
      </c>
      <c r="B800" s="558" t="s">
        <v>127</v>
      </c>
      <c r="C800" s="110">
        <v>11</v>
      </c>
      <c r="D800" s="12"/>
      <c r="E800" s="12"/>
      <c r="F800" s="12"/>
      <c r="G800" s="12"/>
      <c r="H800" s="12"/>
      <c r="I800" s="12"/>
      <c r="J800" s="12"/>
      <c r="K800" s="12"/>
      <c r="L800" s="12"/>
      <c r="M800" s="12"/>
      <c r="N800" s="12"/>
      <c r="O800" s="12"/>
      <c r="P800" s="55">
        <f t="shared" si="47"/>
        <v>0</v>
      </c>
    </row>
    <row r="801" spans="1:16" ht="15" customHeight="1" x14ac:dyDescent="0.25">
      <c r="A801" s="552"/>
      <c r="B801" s="559"/>
      <c r="C801" s="110">
        <v>12</v>
      </c>
      <c r="D801" s="12"/>
      <c r="E801" s="12"/>
      <c r="F801" s="12"/>
      <c r="G801" s="12"/>
      <c r="H801" s="12"/>
      <c r="I801" s="12"/>
      <c r="J801" s="12"/>
      <c r="K801" s="12"/>
      <c r="L801" s="12"/>
      <c r="M801" s="12"/>
      <c r="N801" s="12"/>
      <c r="O801" s="12"/>
      <c r="P801" s="55">
        <f t="shared" si="47"/>
        <v>0</v>
      </c>
    </row>
    <row r="802" spans="1:16" ht="15" customHeight="1" x14ac:dyDescent="0.25">
      <c r="A802" s="552"/>
      <c r="B802" s="559"/>
      <c r="C802" s="110">
        <v>13</v>
      </c>
      <c r="D802" s="12"/>
      <c r="E802" s="12"/>
      <c r="F802" s="12"/>
      <c r="G802" s="12"/>
      <c r="H802" s="12"/>
      <c r="I802" s="12"/>
      <c r="J802" s="12"/>
      <c r="K802" s="12"/>
      <c r="L802" s="12"/>
      <c r="M802" s="12"/>
      <c r="N802" s="12"/>
      <c r="O802" s="12"/>
      <c r="P802" s="55">
        <f t="shared" si="47"/>
        <v>0</v>
      </c>
    </row>
    <row r="803" spans="1:16" ht="15" customHeight="1" x14ac:dyDescent="0.25">
      <c r="A803" s="552"/>
      <c r="B803" s="559"/>
      <c r="C803" s="110">
        <v>14</v>
      </c>
      <c r="D803" s="12"/>
      <c r="E803" s="12"/>
      <c r="F803" s="12"/>
      <c r="G803" s="12"/>
      <c r="H803" s="12"/>
      <c r="I803" s="12"/>
      <c r="J803" s="12"/>
      <c r="K803" s="12"/>
      <c r="L803" s="12"/>
      <c r="M803" s="12"/>
      <c r="N803" s="12"/>
      <c r="O803" s="12"/>
      <c r="P803" s="55">
        <f t="shared" si="47"/>
        <v>0</v>
      </c>
    </row>
    <row r="804" spans="1:16" ht="15" customHeight="1" x14ac:dyDescent="0.25">
      <c r="A804" s="552"/>
      <c r="B804" s="559"/>
      <c r="C804" s="110">
        <v>15</v>
      </c>
      <c r="D804" s="12"/>
      <c r="E804" s="12"/>
      <c r="F804" s="12"/>
      <c r="G804" s="12"/>
      <c r="H804" s="12"/>
      <c r="I804" s="12"/>
      <c r="J804" s="12"/>
      <c r="K804" s="12"/>
      <c r="L804" s="12"/>
      <c r="M804" s="12"/>
      <c r="N804" s="12"/>
      <c r="O804" s="12"/>
      <c r="P804" s="55">
        <f t="shared" si="47"/>
        <v>0</v>
      </c>
    </row>
    <row r="805" spans="1:16" ht="15" customHeight="1" x14ac:dyDescent="0.25">
      <c r="A805" s="552"/>
      <c r="B805" s="559"/>
      <c r="C805" s="110">
        <v>16</v>
      </c>
      <c r="D805" s="12"/>
      <c r="E805" s="12"/>
      <c r="F805" s="12"/>
      <c r="G805" s="12"/>
      <c r="H805" s="12"/>
      <c r="I805" s="12"/>
      <c r="J805" s="12"/>
      <c r="K805" s="12"/>
      <c r="L805" s="12"/>
      <c r="M805" s="12"/>
      <c r="N805" s="12"/>
      <c r="O805" s="12"/>
      <c r="P805" s="55">
        <f t="shared" si="47"/>
        <v>0</v>
      </c>
    </row>
    <row r="806" spans="1:16" ht="15" customHeight="1" x14ac:dyDescent="0.25">
      <c r="A806" s="552"/>
      <c r="B806" s="559"/>
      <c r="C806" s="110">
        <v>17</v>
      </c>
      <c r="D806" s="12"/>
      <c r="E806" s="12"/>
      <c r="F806" s="12"/>
      <c r="G806" s="12"/>
      <c r="H806" s="12"/>
      <c r="I806" s="12"/>
      <c r="J806" s="12"/>
      <c r="K806" s="12"/>
      <c r="L806" s="12"/>
      <c r="M806" s="12"/>
      <c r="N806" s="12"/>
      <c r="O806" s="12"/>
      <c r="P806" s="55">
        <f t="shared" si="47"/>
        <v>0</v>
      </c>
    </row>
    <row r="807" spans="1:16" ht="15" customHeight="1" x14ac:dyDescent="0.25">
      <c r="A807" s="552"/>
      <c r="B807" s="559"/>
      <c r="C807" s="110">
        <v>25</v>
      </c>
      <c r="D807" s="12"/>
      <c r="E807" s="12"/>
      <c r="F807" s="12"/>
      <c r="G807" s="12"/>
      <c r="H807" s="12"/>
      <c r="I807" s="12"/>
      <c r="J807" s="12"/>
      <c r="K807" s="12"/>
      <c r="L807" s="12"/>
      <c r="M807" s="12"/>
      <c r="N807" s="12"/>
      <c r="O807" s="12"/>
      <c r="P807" s="55">
        <f t="shared" si="47"/>
        <v>0</v>
      </c>
    </row>
    <row r="808" spans="1:16" ht="15" customHeight="1" x14ac:dyDescent="0.25">
      <c r="A808" s="552"/>
      <c r="B808" s="559"/>
      <c r="C808" s="110">
        <v>26</v>
      </c>
      <c r="D808" s="12"/>
      <c r="E808" s="12"/>
      <c r="F808" s="12"/>
      <c r="G808" s="12"/>
      <c r="H808" s="12"/>
      <c r="I808" s="12"/>
      <c r="J808" s="12"/>
      <c r="K808" s="12"/>
      <c r="L808" s="12"/>
      <c r="M808" s="12"/>
      <c r="N808" s="12"/>
      <c r="O808" s="12"/>
      <c r="P808" s="55">
        <f t="shared" si="47"/>
        <v>0</v>
      </c>
    </row>
    <row r="809" spans="1:16" ht="15" customHeight="1" x14ac:dyDescent="0.25">
      <c r="A809" s="553"/>
      <c r="B809" s="559"/>
      <c r="C809" s="110">
        <v>27</v>
      </c>
      <c r="D809" s="12"/>
      <c r="E809" s="12"/>
      <c r="F809" s="12"/>
      <c r="G809" s="12"/>
      <c r="H809" s="12"/>
      <c r="I809" s="12"/>
      <c r="J809" s="12"/>
      <c r="K809" s="12"/>
      <c r="L809" s="12"/>
      <c r="M809" s="12"/>
      <c r="N809" s="12"/>
      <c r="O809" s="12"/>
      <c r="P809" s="55">
        <f t="shared" si="47"/>
        <v>0</v>
      </c>
    </row>
    <row r="810" spans="1:16" ht="15" customHeight="1" x14ac:dyDescent="0.25">
      <c r="A810" s="551">
        <v>317</v>
      </c>
      <c r="B810" s="558" t="s">
        <v>128</v>
      </c>
      <c r="C810" s="110">
        <v>11</v>
      </c>
      <c r="D810" s="12">
        <v>12650</v>
      </c>
      <c r="E810" s="12"/>
      <c r="F810" s="12"/>
      <c r="G810" s="12"/>
      <c r="H810" s="12"/>
      <c r="I810" s="12"/>
      <c r="J810" s="12"/>
      <c r="K810" s="12"/>
      <c r="L810" s="12"/>
      <c r="M810" s="12"/>
      <c r="N810" s="12"/>
      <c r="O810" s="12"/>
      <c r="P810" s="55">
        <f t="shared" si="47"/>
        <v>12650</v>
      </c>
    </row>
    <row r="811" spans="1:16" ht="15" customHeight="1" x14ac:dyDescent="0.25">
      <c r="A811" s="552"/>
      <c r="B811" s="559"/>
      <c r="C811" s="110">
        <v>12</v>
      </c>
      <c r="D811" s="12"/>
      <c r="E811" s="12"/>
      <c r="F811" s="12"/>
      <c r="G811" s="12"/>
      <c r="H811" s="12"/>
      <c r="I811" s="12"/>
      <c r="J811" s="12"/>
      <c r="K811" s="12"/>
      <c r="L811" s="12"/>
      <c r="M811" s="12"/>
      <c r="N811" s="12"/>
      <c r="O811" s="12"/>
      <c r="P811" s="55">
        <f t="shared" si="47"/>
        <v>0</v>
      </c>
    </row>
    <row r="812" spans="1:16" ht="15" customHeight="1" x14ac:dyDescent="0.25">
      <c r="A812" s="552"/>
      <c r="B812" s="559"/>
      <c r="C812" s="110">
        <v>13</v>
      </c>
      <c r="D812" s="12"/>
      <c r="E812" s="12"/>
      <c r="F812" s="12"/>
      <c r="G812" s="12"/>
      <c r="H812" s="12"/>
      <c r="I812" s="12"/>
      <c r="J812" s="12"/>
      <c r="K812" s="12"/>
      <c r="L812" s="12"/>
      <c r="M812" s="12"/>
      <c r="N812" s="12"/>
      <c r="O812" s="12"/>
      <c r="P812" s="55">
        <f t="shared" si="47"/>
        <v>0</v>
      </c>
    </row>
    <row r="813" spans="1:16" ht="15" customHeight="1" x14ac:dyDescent="0.25">
      <c r="A813" s="552"/>
      <c r="B813" s="559"/>
      <c r="C813" s="110">
        <v>14</v>
      </c>
      <c r="D813" s="12"/>
      <c r="E813" s="12"/>
      <c r="F813" s="12"/>
      <c r="G813" s="12"/>
      <c r="H813" s="12"/>
      <c r="I813" s="12"/>
      <c r="J813" s="12"/>
      <c r="K813" s="12"/>
      <c r="L813" s="12"/>
      <c r="M813" s="12"/>
      <c r="N813" s="12"/>
      <c r="O813" s="12"/>
      <c r="P813" s="55">
        <f t="shared" si="47"/>
        <v>0</v>
      </c>
    </row>
    <row r="814" spans="1:16" ht="15" customHeight="1" x14ac:dyDescent="0.25">
      <c r="A814" s="552"/>
      <c r="B814" s="559"/>
      <c r="C814" s="110">
        <v>15</v>
      </c>
      <c r="D814" s="12"/>
      <c r="E814" s="12"/>
      <c r="F814" s="12"/>
      <c r="G814" s="12"/>
      <c r="H814" s="12">
        <v>11250</v>
      </c>
      <c r="I814" s="12"/>
      <c r="J814" s="12"/>
      <c r="K814" s="12"/>
      <c r="L814" s="12"/>
      <c r="M814" s="12">
        <v>57360</v>
      </c>
      <c r="N814" s="12"/>
      <c r="O814" s="12"/>
      <c r="P814" s="55">
        <f t="shared" si="47"/>
        <v>68610</v>
      </c>
    </row>
    <row r="815" spans="1:16" ht="15" customHeight="1" x14ac:dyDescent="0.25">
      <c r="A815" s="552"/>
      <c r="B815" s="559"/>
      <c r="C815" s="110">
        <v>16</v>
      </c>
      <c r="D815" s="12"/>
      <c r="E815" s="12"/>
      <c r="F815" s="12"/>
      <c r="G815" s="12"/>
      <c r="H815" s="12"/>
      <c r="I815" s="12"/>
      <c r="J815" s="12"/>
      <c r="K815" s="12"/>
      <c r="L815" s="12"/>
      <c r="M815" s="12"/>
      <c r="N815" s="12"/>
      <c r="O815" s="12"/>
      <c r="P815" s="55">
        <f t="shared" si="47"/>
        <v>0</v>
      </c>
    </row>
    <row r="816" spans="1:16" ht="15" customHeight="1" x14ac:dyDescent="0.25">
      <c r="A816" s="552"/>
      <c r="B816" s="559"/>
      <c r="C816" s="110">
        <v>17</v>
      </c>
      <c r="D816" s="12"/>
      <c r="E816" s="12"/>
      <c r="F816" s="12"/>
      <c r="G816" s="12"/>
      <c r="H816" s="12"/>
      <c r="I816" s="12"/>
      <c r="J816" s="12"/>
      <c r="K816" s="12"/>
      <c r="L816" s="12"/>
      <c r="M816" s="12"/>
      <c r="N816" s="12"/>
      <c r="O816" s="12"/>
      <c r="P816" s="55">
        <f t="shared" si="47"/>
        <v>0</v>
      </c>
    </row>
    <row r="817" spans="1:16" ht="15" customHeight="1" x14ac:dyDescent="0.25">
      <c r="A817" s="552"/>
      <c r="B817" s="559"/>
      <c r="C817" s="110">
        <v>25</v>
      </c>
      <c r="D817" s="12"/>
      <c r="E817" s="12"/>
      <c r="F817" s="12"/>
      <c r="G817" s="12"/>
      <c r="H817" s="12"/>
      <c r="I817" s="12"/>
      <c r="J817" s="12"/>
      <c r="K817" s="12"/>
      <c r="L817" s="12"/>
      <c r="M817" s="12"/>
      <c r="N817" s="12"/>
      <c r="O817" s="12"/>
      <c r="P817" s="55">
        <f t="shared" si="47"/>
        <v>0</v>
      </c>
    </row>
    <row r="818" spans="1:16" ht="15" customHeight="1" x14ac:dyDescent="0.25">
      <c r="A818" s="552"/>
      <c r="B818" s="559"/>
      <c r="C818" s="110">
        <v>26</v>
      </c>
      <c r="D818" s="12"/>
      <c r="E818" s="12"/>
      <c r="F818" s="12"/>
      <c r="G818" s="12"/>
      <c r="H818" s="12"/>
      <c r="I818" s="12"/>
      <c r="J818" s="12"/>
      <c r="K818" s="12"/>
      <c r="L818" s="12"/>
      <c r="M818" s="12"/>
      <c r="N818" s="12"/>
      <c r="O818" s="12"/>
      <c r="P818" s="55">
        <f t="shared" si="47"/>
        <v>0</v>
      </c>
    </row>
    <row r="819" spans="1:16" ht="15" customHeight="1" x14ac:dyDescent="0.25">
      <c r="A819" s="553"/>
      <c r="B819" s="559"/>
      <c r="C819" s="110">
        <v>27</v>
      </c>
      <c r="D819" s="12"/>
      <c r="E819" s="12"/>
      <c r="F819" s="12"/>
      <c r="G819" s="12"/>
      <c r="H819" s="12"/>
      <c r="I819" s="12"/>
      <c r="J819" s="12"/>
      <c r="K819" s="12"/>
      <c r="L819" s="12"/>
      <c r="M819" s="12"/>
      <c r="N819" s="12"/>
      <c r="O819" s="12"/>
      <c r="P819" s="55">
        <f t="shared" si="47"/>
        <v>0</v>
      </c>
    </row>
    <row r="820" spans="1:16" ht="15" customHeight="1" x14ac:dyDescent="0.25">
      <c r="A820" s="551">
        <v>318</v>
      </c>
      <c r="B820" s="558" t="s">
        <v>129</v>
      </c>
      <c r="C820" s="110">
        <v>11</v>
      </c>
      <c r="D820" s="12"/>
      <c r="E820" s="12"/>
      <c r="F820" s="12"/>
      <c r="G820" s="12">
        <v>450</v>
      </c>
      <c r="H820" s="12"/>
      <c r="I820" s="12"/>
      <c r="J820" s="12"/>
      <c r="K820" s="12">
        <v>620</v>
      </c>
      <c r="L820" s="12"/>
      <c r="M820" s="12"/>
      <c r="N820" s="12"/>
      <c r="O820" s="12"/>
      <c r="P820" s="55">
        <f t="shared" si="47"/>
        <v>1070</v>
      </c>
    </row>
    <row r="821" spans="1:16" ht="15" customHeight="1" x14ac:dyDescent="0.25">
      <c r="A821" s="552"/>
      <c r="B821" s="559"/>
      <c r="C821" s="110">
        <v>12</v>
      </c>
      <c r="D821" s="12"/>
      <c r="E821" s="12"/>
      <c r="F821" s="12"/>
      <c r="G821" s="12"/>
      <c r="H821" s="12"/>
      <c r="I821" s="12"/>
      <c r="J821" s="12"/>
      <c r="K821" s="12"/>
      <c r="L821" s="12"/>
      <c r="M821" s="12"/>
      <c r="N821" s="12"/>
      <c r="O821" s="12"/>
      <c r="P821" s="55">
        <f t="shared" si="47"/>
        <v>0</v>
      </c>
    </row>
    <row r="822" spans="1:16" ht="15" customHeight="1" x14ac:dyDescent="0.25">
      <c r="A822" s="552"/>
      <c r="B822" s="559"/>
      <c r="C822" s="110">
        <v>13</v>
      </c>
      <c r="D822" s="12"/>
      <c r="E822" s="12"/>
      <c r="F822" s="12"/>
      <c r="G822" s="12"/>
      <c r="H822" s="12"/>
      <c r="I822" s="12"/>
      <c r="J822" s="12"/>
      <c r="K822" s="12"/>
      <c r="L822" s="12"/>
      <c r="M822" s="12"/>
      <c r="N822" s="12"/>
      <c r="O822" s="12"/>
      <c r="P822" s="55">
        <f t="shared" si="47"/>
        <v>0</v>
      </c>
    </row>
    <row r="823" spans="1:16" ht="15" customHeight="1" x14ac:dyDescent="0.25">
      <c r="A823" s="552"/>
      <c r="B823" s="559"/>
      <c r="C823" s="110">
        <v>14</v>
      </c>
      <c r="D823" s="12"/>
      <c r="E823" s="12"/>
      <c r="F823" s="12"/>
      <c r="G823" s="12"/>
      <c r="H823" s="12"/>
      <c r="I823" s="12"/>
      <c r="J823" s="12"/>
      <c r="K823" s="12"/>
      <c r="L823" s="12"/>
      <c r="M823" s="12"/>
      <c r="N823" s="12"/>
      <c r="O823" s="12"/>
      <c r="P823" s="55">
        <f t="shared" si="47"/>
        <v>0</v>
      </c>
    </row>
    <row r="824" spans="1:16" ht="15" customHeight="1" x14ac:dyDescent="0.25">
      <c r="A824" s="552"/>
      <c r="B824" s="559"/>
      <c r="C824" s="110">
        <v>15</v>
      </c>
      <c r="D824" s="12"/>
      <c r="E824" s="12"/>
      <c r="F824" s="12"/>
      <c r="G824" s="12"/>
      <c r="H824" s="12"/>
      <c r="I824" s="12"/>
      <c r="J824" s="12"/>
      <c r="K824" s="12"/>
      <c r="L824" s="12"/>
      <c r="M824" s="12"/>
      <c r="N824" s="12"/>
      <c r="O824" s="12"/>
      <c r="P824" s="55">
        <f t="shared" si="47"/>
        <v>0</v>
      </c>
    </row>
    <row r="825" spans="1:16" ht="15" customHeight="1" x14ac:dyDescent="0.25">
      <c r="A825" s="552"/>
      <c r="B825" s="559"/>
      <c r="C825" s="110">
        <v>16</v>
      </c>
      <c r="D825" s="12"/>
      <c r="E825" s="12"/>
      <c r="F825" s="12"/>
      <c r="G825" s="12"/>
      <c r="H825" s="12"/>
      <c r="I825" s="12"/>
      <c r="J825" s="12"/>
      <c r="K825" s="12"/>
      <c r="L825" s="12"/>
      <c r="M825" s="12"/>
      <c r="N825" s="12"/>
      <c r="O825" s="12"/>
      <c r="P825" s="55">
        <f t="shared" si="47"/>
        <v>0</v>
      </c>
    </row>
    <row r="826" spans="1:16" ht="15" customHeight="1" x14ac:dyDescent="0.25">
      <c r="A826" s="552"/>
      <c r="B826" s="559"/>
      <c r="C826" s="110">
        <v>17</v>
      </c>
      <c r="D826" s="12"/>
      <c r="E826" s="12"/>
      <c r="F826" s="12"/>
      <c r="G826" s="12"/>
      <c r="H826" s="12"/>
      <c r="I826" s="12"/>
      <c r="J826" s="12"/>
      <c r="K826" s="12"/>
      <c r="L826" s="12"/>
      <c r="M826" s="12"/>
      <c r="N826" s="12"/>
      <c r="O826" s="12"/>
      <c r="P826" s="55">
        <f t="shared" si="47"/>
        <v>0</v>
      </c>
    </row>
    <row r="827" spans="1:16" ht="15" customHeight="1" x14ac:dyDescent="0.25">
      <c r="A827" s="552"/>
      <c r="B827" s="559"/>
      <c r="C827" s="110">
        <v>25</v>
      </c>
      <c r="D827" s="12"/>
      <c r="E827" s="12"/>
      <c r="F827" s="12"/>
      <c r="G827" s="12"/>
      <c r="H827" s="12"/>
      <c r="I827" s="12"/>
      <c r="J827" s="12"/>
      <c r="K827" s="12"/>
      <c r="L827" s="12"/>
      <c r="M827" s="12"/>
      <c r="N827" s="12"/>
      <c r="O827" s="12"/>
      <c r="P827" s="55">
        <f t="shared" si="47"/>
        <v>0</v>
      </c>
    </row>
    <row r="828" spans="1:16" ht="15" customHeight="1" x14ac:dyDescent="0.25">
      <c r="A828" s="552"/>
      <c r="B828" s="559"/>
      <c r="C828" s="110">
        <v>26</v>
      </c>
      <c r="D828" s="12"/>
      <c r="E828" s="12"/>
      <c r="F828" s="12"/>
      <c r="G828" s="12"/>
      <c r="H828" s="12"/>
      <c r="I828" s="12"/>
      <c r="J828" s="12"/>
      <c r="K828" s="12"/>
      <c r="L828" s="12"/>
      <c r="M828" s="12"/>
      <c r="N828" s="12"/>
      <c r="O828" s="12"/>
      <c r="P828" s="55">
        <f t="shared" si="47"/>
        <v>0</v>
      </c>
    </row>
    <row r="829" spans="1:16" ht="15" customHeight="1" x14ac:dyDescent="0.25">
      <c r="A829" s="553"/>
      <c r="B829" s="559"/>
      <c r="C829" s="110">
        <v>27</v>
      </c>
      <c r="D829" s="12"/>
      <c r="E829" s="12"/>
      <c r="F829" s="12"/>
      <c r="G829" s="12"/>
      <c r="H829" s="12"/>
      <c r="I829" s="12"/>
      <c r="J829" s="12"/>
      <c r="K829" s="12"/>
      <c r="L829" s="12"/>
      <c r="M829" s="12"/>
      <c r="N829" s="12"/>
      <c r="O829" s="12"/>
      <c r="P829" s="55">
        <f t="shared" si="47"/>
        <v>0</v>
      </c>
    </row>
    <row r="830" spans="1:16" ht="15" customHeight="1" x14ac:dyDescent="0.25">
      <c r="A830" s="551">
        <v>319</v>
      </c>
      <c r="B830" s="558" t="s">
        <v>130</v>
      </c>
      <c r="C830" s="110">
        <v>11</v>
      </c>
      <c r="D830" s="12"/>
      <c r="E830" s="12"/>
      <c r="F830" s="12"/>
      <c r="G830" s="12"/>
      <c r="H830" s="12"/>
      <c r="I830" s="12"/>
      <c r="J830" s="12"/>
      <c r="K830" s="12"/>
      <c r="L830" s="12"/>
      <c r="M830" s="12"/>
      <c r="N830" s="12"/>
      <c r="O830" s="12"/>
      <c r="P830" s="55">
        <f t="shared" si="47"/>
        <v>0</v>
      </c>
    </row>
    <row r="831" spans="1:16" ht="15" customHeight="1" x14ac:dyDescent="0.25">
      <c r="A831" s="552"/>
      <c r="B831" s="559"/>
      <c r="C831" s="110">
        <v>12</v>
      </c>
      <c r="D831" s="12"/>
      <c r="E831" s="12"/>
      <c r="F831" s="12"/>
      <c r="G831" s="12"/>
      <c r="H831" s="12"/>
      <c r="I831" s="12"/>
      <c r="J831" s="12"/>
      <c r="K831" s="12"/>
      <c r="L831" s="12"/>
      <c r="M831" s="12"/>
      <c r="N831" s="12"/>
      <c r="O831" s="12"/>
      <c r="P831" s="55">
        <f t="shared" si="47"/>
        <v>0</v>
      </c>
    </row>
    <row r="832" spans="1:16" ht="15" customHeight="1" x14ac:dyDescent="0.25">
      <c r="A832" s="552"/>
      <c r="B832" s="559"/>
      <c r="C832" s="110">
        <v>13</v>
      </c>
      <c r="D832" s="12"/>
      <c r="E832" s="12"/>
      <c r="F832" s="12"/>
      <c r="G832" s="12"/>
      <c r="H832" s="12"/>
      <c r="I832" s="12"/>
      <c r="J832" s="12"/>
      <c r="K832" s="12"/>
      <c r="L832" s="12"/>
      <c r="M832" s="12"/>
      <c r="N832" s="12"/>
      <c r="O832" s="12"/>
      <c r="P832" s="55">
        <f t="shared" si="47"/>
        <v>0</v>
      </c>
    </row>
    <row r="833" spans="1:16" ht="15" customHeight="1" x14ac:dyDescent="0.25">
      <c r="A833" s="552"/>
      <c r="B833" s="559"/>
      <c r="C833" s="110">
        <v>14</v>
      </c>
      <c r="D833" s="12"/>
      <c r="E833" s="12"/>
      <c r="F833" s="12"/>
      <c r="G833" s="12"/>
      <c r="H833" s="12"/>
      <c r="I833" s="12"/>
      <c r="J833" s="12"/>
      <c r="K833" s="12"/>
      <c r="L833" s="12"/>
      <c r="M833" s="12"/>
      <c r="N833" s="12"/>
      <c r="O833" s="12"/>
      <c r="P833" s="55">
        <f t="shared" si="47"/>
        <v>0</v>
      </c>
    </row>
    <row r="834" spans="1:16" ht="15" customHeight="1" x14ac:dyDescent="0.25">
      <c r="A834" s="552"/>
      <c r="B834" s="559"/>
      <c r="C834" s="110">
        <v>15</v>
      </c>
      <c r="D834" s="12"/>
      <c r="E834" s="12"/>
      <c r="F834" s="12"/>
      <c r="G834" s="12"/>
      <c r="H834" s="12"/>
      <c r="I834" s="12"/>
      <c r="J834" s="12"/>
      <c r="K834" s="12"/>
      <c r="L834" s="12"/>
      <c r="M834" s="12"/>
      <c r="N834" s="12"/>
      <c r="O834" s="12"/>
      <c r="P834" s="55">
        <f t="shared" si="47"/>
        <v>0</v>
      </c>
    </row>
    <row r="835" spans="1:16" ht="15" customHeight="1" x14ac:dyDescent="0.25">
      <c r="A835" s="552"/>
      <c r="B835" s="559"/>
      <c r="C835" s="110">
        <v>16</v>
      </c>
      <c r="D835" s="12"/>
      <c r="E835" s="12"/>
      <c r="F835" s="12"/>
      <c r="G835" s="12"/>
      <c r="H835" s="12"/>
      <c r="I835" s="12"/>
      <c r="J835" s="12"/>
      <c r="K835" s="12"/>
      <c r="L835" s="12"/>
      <c r="M835" s="12"/>
      <c r="N835" s="12"/>
      <c r="O835" s="12"/>
      <c r="P835" s="55">
        <f t="shared" si="47"/>
        <v>0</v>
      </c>
    </row>
    <row r="836" spans="1:16" ht="15" customHeight="1" x14ac:dyDescent="0.25">
      <c r="A836" s="552"/>
      <c r="B836" s="559"/>
      <c r="C836" s="110">
        <v>17</v>
      </c>
      <c r="D836" s="12"/>
      <c r="E836" s="12"/>
      <c r="F836" s="12"/>
      <c r="G836" s="12"/>
      <c r="H836" s="12"/>
      <c r="I836" s="12"/>
      <c r="J836" s="12"/>
      <c r="K836" s="12"/>
      <c r="L836" s="12"/>
      <c r="M836" s="12"/>
      <c r="N836" s="12"/>
      <c r="O836" s="12"/>
      <c r="P836" s="55">
        <f t="shared" si="47"/>
        <v>0</v>
      </c>
    </row>
    <row r="837" spans="1:16" ht="15" customHeight="1" x14ac:dyDescent="0.25">
      <c r="A837" s="552"/>
      <c r="B837" s="559"/>
      <c r="C837" s="110">
        <v>25</v>
      </c>
      <c r="D837" s="66"/>
      <c r="E837" s="66"/>
      <c r="F837" s="66"/>
      <c r="G837" s="66"/>
      <c r="H837" s="66"/>
      <c r="I837" s="66"/>
      <c r="J837" s="66"/>
      <c r="K837" s="66"/>
      <c r="L837" s="66"/>
      <c r="M837" s="66"/>
      <c r="N837" s="66"/>
      <c r="O837" s="66"/>
      <c r="P837" s="55">
        <f t="shared" si="47"/>
        <v>0</v>
      </c>
    </row>
    <row r="838" spans="1:16" ht="15" customHeight="1" x14ac:dyDescent="0.25">
      <c r="A838" s="552"/>
      <c r="B838" s="559"/>
      <c r="C838" s="110">
        <v>26</v>
      </c>
      <c r="D838" s="66"/>
      <c r="E838" s="66"/>
      <c r="F838" s="66"/>
      <c r="G838" s="66"/>
      <c r="H838" s="66"/>
      <c r="I838" s="66"/>
      <c r="J838" s="66"/>
      <c r="K838" s="66"/>
      <c r="L838" s="66"/>
      <c r="M838" s="66"/>
      <c r="N838" s="66"/>
      <c r="O838" s="66"/>
      <c r="P838" s="55">
        <f t="shared" si="47"/>
        <v>0</v>
      </c>
    </row>
    <row r="839" spans="1:16" ht="15" customHeight="1" x14ac:dyDescent="0.25">
      <c r="A839" s="553"/>
      <c r="B839" s="559"/>
      <c r="C839" s="110">
        <v>27</v>
      </c>
      <c r="D839" s="66"/>
      <c r="E839" s="66"/>
      <c r="F839" s="66"/>
      <c r="G839" s="66"/>
      <c r="H839" s="66"/>
      <c r="I839" s="66"/>
      <c r="J839" s="66"/>
      <c r="K839" s="66"/>
      <c r="L839" s="66"/>
      <c r="M839" s="66"/>
      <c r="N839" s="66"/>
      <c r="O839" s="66"/>
      <c r="P839" s="55">
        <f t="shared" si="47"/>
        <v>0</v>
      </c>
    </row>
    <row r="840" spans="1:16" x14ac:dyDescent="0.25">
      <c r="A840" s="74">
        <v>3200</v>
      </c>
      <c r="B840" s="305" t="s">
        <v>2295</v>
      </c>
      <c r="C840" s="306"/>
      <c r="D840" s="72">
        <f>SUM(D841:D930)</f>
        <v>293700</v>
      </c>
      <c r="E840" s="72">
        <f t="shared" ref="E840:O840" si="48">SUM(E841:E930)</f>
        <v>285266</v>
      </c>
      <c r="F840" s="72">
        <f t="shared" si="48"/>
        <v>278500</v>
      </c>
      <c r="G840" s="72">
        <f t="shared" si="48"/>
        <v>278500</v>
      </c>
      <c r="H840" s="72">
        <f t="shared" si="48"/>
        <v>303300</v>
      </c>
      <c r="I840" s="72">
        <f t="shared" si="48"/>
        <v>284500</v>
      </c>
      <c r="J840" s="72">
        <f t="shared" si="48"/>
        <v>278500</v>
      </c>
      <c r="K840" s="72">
        <f t="shared" si="48"/>
        <v>278500</v>
      </c>
      <c r="L840" s="72">
        <f t="shared" si="48"/>
        <v>289020</v>
      </c>
      <c r="M840" s="72">
        <f t="shared" si="48"/>
        <v>293500</v>
      </c>
      <c r="N840" s="72">
        <f t="shared" si="48"/>
        <v>278500</v>
      </c>
      <c r="O840" s="72">
        <f t="shared" si="48"/>
        <v>278500</v>
      </c>
      <c r="P840" s="72">
        <f>SUM(P841:P930)</f>
        <v>3420286</v>
      </c>
    </row>
    <row r="841" spans="1:16" ht="15" customHeight="1" x14ac:dyDescent="0.25">
      <c r="A841" s="551">
        <v>321</v>
      </c>
      <c r="B841" s="558" t="s">
        <v>132</v>
      </c>
      <c r="C841" s="110">
        <v>11</v>
      </c>
      <c r="D841" s="12"/>
      <c r="E841" s="12"/>
      <c r="F841" s="12"/>
      <c r="G841" s="12"/>
      <c r="H841" s="12"/>
      <c r="I841" s="12"/>
      <c r="J841" s="12"/>
      <c r="K841" s="12"/>
      <c r="L841" s="12"/>
      <c r="M841" s="12"/>
      <c r="N841" s="12"/>
      <c r="O841" s="12"/>
      <c r="P841" s="55">
        <f t="shared" si="47"/>
        <v>0</v>
      </c>
    </row>
    <row r="842" spans="1:16" ht="15" customHeight="1" x14ac:dyDescent="0.25">
      <c r="A842" s="552"/>
      <c r="B842" s="559"/>
      <c r="C842" s="110">
        <v>12</v>
      </c>
      <c r="D842" s="12"/>
      <c r="E842" s="12"/>
      <c r="F842" s="12"/>
      <c r="G842" s="12"/>
      <c r="H842" s="12"/>
      <c r="I842" s="12"/>
      <c r="J842" s="12"/>
      <c r="K842" s="12"/>
      <c r="L842" s="12"/>
      <c r="M842" s="12"/>
      <c r="N842" s="12"/>
      <c r="O842" s="12"/>
      <c r="P842" s="55">
        <f t="shared" si="47"/>
        <v>0</v>
      </c>
    </row>
    <row r="843" spans="1:16" ht="15" customHeight="1" x14ac:dyDescent="0.25">
      <c r="A843" s="552"/>
      <c r="B843" s="559"/>
      <c r="C843" s="110">
        <v>13</v>
      </c>
      <c r="D843" s="12"/>
      <c r="E843" s="12"/>
      <c r="F843" s="12"/>
      <c r="G843" s="12"/>
      <c r="H843" s="12"/>
      <c r="I843" s="12"/>
      <c r="J843" s="12"/>
      <c r="K843" s="12"/>
      <c r="L843" s="12"/>
      <c r="M843" s="12"/>
      <c r="N843" s="12"/>
      <c r="O843" s="12"/>
      <c r="P843" s="55">
        <f t="shared" si="47"/>
        <v>0</v>
      </c>
    </row>
    <row r="844" spans="1:16" ht="15" customHeight="1" x14ac:dyDescent="0.25">
      <c r="A844" s="552"/>
      <c r="B844" s="559"/>
      <c r="C844" s="110">
        <v>14</v>
      </c>
      <c r="D844" s="12"/>
      <c r="E844" s="12"/>
      <c r="F844" s="12"/>
      <c r="G844" s="12"/>
      <c r="H844" s="12"/>
      <c r="I844" s="12"/>
      <c r="J844" s="12"/>
      <c r="K844" s="12"/>
      <c r="L844" s="12"/>
      <c r="M844" s="12"/>
      <c r="N844" s="12"/>
      <c r="O844" s="12"/>
      <c r="P844" s="55">
        <f t="shared" si="47"/>
        <v>0</v>
      </c>
    </row>
    <row r="845" spans="1:16" ht="15" customHeight="1" x14ac:dyDescent="0.25">
      <c r="A845" s="552"/>
      <c r="B845" s="559"/>
      <c r="C845" s="110">
        <v>15</v>
      </c>
      <c r="D845" s="12"/>
      <c r="E845" s="12"/>
      <c r="F845" s="12"/>
      <c r="G845" s="12"/>
      <c r="H845" s="12">
        <v>15000</v>
      </c>
      <c r="I845" s="12"/>
      <c r="J845" s="12"/>
      <c r="K845" s="12"/>
      <c r="L845" s="12"/>
      <c r="M845" s="12">
        <v>15000</v>
      </c>
      <c r="N845" s="12"/>
      <c r="O845" s="12"/>
      <c r="P845" s="55">
        <f t="shared" si="47"/>
        <v>30000</v>
      </c>
    </row>
    <row r="846" spans="1:16" ht="15" customHeight="1" x14ac:dyDescent="0.25">
      <c r="A846" s="552"/>
      <c r="B846" s="559"/>
      <c r="C846" s="110">
        <v>16</v>
      </c>
      <c r="D846" s="12"/>
      <c r="E846" s="12"/>
      <c r="F846" s="12"/>
      <c r="G846" s="12"/>
      <c r="H846" s="12"/>
      <c r="I846" s="12"/>
      <c r="J846" s="12"/>
      <c r="K846" s="12"/>
      <c r="L846" s="12"/>
      <c r="M846" s="12"/>
      <c r="N846" s="12"/>
      <c r="O846" s="12"/>
      <c r="P846" s="55">
        <f t="shared" si="47"/>
        <v>0</v>
      </c>
    </row>
    <row r="847" spans="1:16" ht="15" customHeight="1" x14ac:dyDescent="0.25">
      <c r="A847" s="552"/>
      <c r="B847" s="559"/>
      <c r="C847" s="110">
        <v>17</v>
      </c>
      <c r="D847" s="12"/>
      <c r="E847" s="12"/>
      <c r="F847" s="12"/>
      <c r="G847" s="12"/>
      <c r="H847" s="12"/>
      <c r="I847" s="12"/>
      <c r="J847" s="12"/>
      <c r="K847" s="12"/>
      <c r="L847" s="12"/>
      <c r="M847" s="12"/>
      <c r="N847" s="12"/>
      <c r="O847" s="12"/>
      <c r="P847" s="55">
        <f t="shared" si="47"/>
        <v>0</v>
      </c>
    </row>
    <row r="848" spans="1:16" ht="15" customHeight="1" x14ac:dyDescent="0.25">
      <c r="A848" s="552"/>
      <c r="B848" s="559"/>
      <c r="C848" s="110">
        <v>25</v>
      </c>
      <c r="D848" s="12"/>
      <c r="E848" s="12"/>
      <c r="F848" s="12"/>
      <c r="G848" s="12"/>
      <c r="H848" s="12"/>
      <c r="I848" s="12"/>
      <c r="J848" s="12"/>
      <c r="K848" s="12"/>
      <c r="L848" s="12"/>
      <c r="M848" s="12"/>
      <c r="N848" s="12"/>
      <c r="O848" s="12"/>
      <c r="P848" s="55">
        <f t="shared" si="47"/>
        <v>0</v>
      </c>
    </row>
    <row r="849" spans="1:16" ht="15" customHeight="1" x14ac:dyDescent="0.25">
      <c r="A849" s="552"/>
      <c r="B849" s="559"/>
      <c r="C849" s="110">
        <v>26</v>
      </c>
      <c r="D849" s="12"/>
      <c r="E849" s="12"/>
      <c r="F849" s="12"/>
      <c r="G849" s="12"/>
      <c r="H849" s="12"/>
      <c r="I849" s="12"/>
      <c r="J849" s="12"/>
      <c r="K849" s="12"/>
      <c r="L849" s="12"/>
      <c r="M849" s="12"/>
      <c r="N849" s="12"/>
      <c r="O849" s="12"/>
      <c r="P849" s="55">
        <f t="shared" si="47"/>
        <v>0</v>
      </c>
    </row>
    <row r="850" spans="1:16" ht="15" customHeight="1" x14ac:dyDescent="0.25">
      <c r="A850" s="553"/>
      <c r="B850" s="559"/>
      <c r="C850" s="110">
        <v>27</v>
      </c>
      <c r="D850" s="12"/>
      <c r="E850" s="12"/>
      <c r="F850" s="12"/>
      <c r="G850" s="12"/>
      <c r="H850" s="12"/>
      <c r="I850" s="12"/>
      <c r="J850" s="12"/>
      <c r="K850" s="12"/>
      <c r="L850" s="12"/>
      <c r="M850" s="12"/>
      <c r="N850" s="12"/>
      <c r="O850" s="12"/>
      <c r="P850" s="55">
        <f t="shared" si="47"/>
        <v>0</v>
      </c>
    </row>
    <row r="851" spans="1:16" ht="15" customHeight="1" x14ac:dyDescent="0.25">
      <c r="A851" s="551">
        <v>322</v>
      </c>
      <c r="B851" s="558" t="s">
        <v>133</v>
      </c>
      <c r="C851" s="110">
        <v>11</v>
      </c>
      <c r="D851" s="12"/>
      <c r="E851" s="12">
        <v>3000</v>
      </c>
      <c r="F851" s="12"/>
      <c r="G851" s="12"/>
      <c r="H851" s="12"/>
      <c r="I851" s="12">
        <v>6000</v>
      </c>
      <c r="J851" s="12"/>
      <c r="K851" s="12"/>
      <c r="L851" s="12"/>
      <c r="M851" s="12"/>
      <c r="N851" s="12"/>
      <c r="O851" s="12"/>
      <c r="P851" s="55">
        <f t="shared" si="47"/>
        <v>9000</v>
      </c>
    </row>
    <row r="852" spans="1:16" ht="15" customHeight="1" x14ac:dyDescent="0.25">
      <c r="A852" s="552"/>
      <c r="B852" s="559"/>
      <c r="C852" s="110">
        <v>12</v>
      </c>
      <c r="D852" s="12"/>
      <c r="E852" s="12"/>
      <c r="F852" s="12"/>
      <c r="G852" s="12"/>
      <c r="H852" s="12"/>
      <c r="I852" s="12"/>
      <c r="J852" s="12"/>
      <c r="K852" s="12"/>
      <c r="L852" s="12"/>
      <c r="M852" s="12"/>
      <c r="N852" s="12"/>
      <c r="O852" s="12"/>
      <c r="P852" s="55">
        <f t="shared" si="47"/>
        <v>0</v>
      </c>
    </row>
    <row r="853" spans="1:16" ht="15" customHeight="1" x14ac:dyDescent="0.25">
      <c r="A853" s="552"/>
      <c r="B853" s="559"/>
      <c r="C853" s="110">
        <v>13</v>
      </c>
      <c r="D853" s="12"/>
      <c r="E853" s="12"/>
      <c r="F853" s="12"/>
      <c r="G853" s="12"/>
      <c r="H853" s="12"/>
      <c r="I853" s="12"/>
      <c r="J853" s="12"/>
      <c r="K853" s="12"/>
      <c r="L853" s="12"/>
      <c r="M853" s="12"/>
      <c r="N853" s="12"/>
      <c r="O853" s="12"/>
      <c r="P853" s="55">
        <f t="shared" si="47"/>
        <v>0</v>
      </c>
    </row>
    <row r="854" spans="1:16" ht="15" customHeight="1" x14ac:dyDescent="0.25">
      <c r="A854" s="552"/>
      <c r="B854" s="559"/>
      <c r="C854" s="110">
        <v>14</v>
      </c>
      <c r="D854" s="12"/>
      <c r="E854" s="12"/>
      <c r="F854" s="12"/>
      <c r="G854" s="12"/>
      <c r="H854" s="12"/>
      <c r="I854" s="12"/>
      <c r="J854" s="12"/>
      <c r="K854" s="12"/>
      <c r="L854" s="12"/>
      <c r="M854" s="12"/>
      <c r="N854" s="12"/>
      <c r="O854" s="12"/>
      <c r="P854" s="55">
        <f t="shared" si="47"/>
        <v>0</v>
      </c>
    </row>
    <row r="855" spans="1:16" ht="15" customHeight="1" x14ac:dyDescent="0.25">
      <c r="A855" s="552"/>
      <c r="B855" s="559"/>
      <c r="C855" s="110">
        <v>15</v>
      </c>
      <c r="D855" s="12">
        <v>3000</v>
      </c>
      <c r="E855" s="12">
        <v>3000</v>
      </c>
      <c r="F855" s="12">
        <v>3000</v>
      </c>
      <c r="G855" s="12">
        <v>3000</v>
      </c>
      <c r="H855" s="12">
        <v>3000</v>
      </c>
      <c r="I855" s="12">
        <v>3000</v>
      </c>
      <c r="J855" s="12">
        <v>3000</v>
      </c>
      <c r="K855" s="12">
        <v>3000</v>
      </c>
      <c r="L855" s="12">
        <v>3000</v>
      </c>
      <c r="M855" s="12">
        <v>3000</v>
      </c>
      <c r="N855" s="12">
        <v>3000</v>
      </c>
      <c r="O855" s="12">
        <v>3000</v>
      </c>
      <c r="P855" s="55">
        <f t="shared" si="47"/>
        <v>36000</v>
      </c>
    </row>
    <row r="856" spans="1:16" ht="15" customHeight="1" x14ac:dyDescent="0.25">
      <c r="A856" s="552"/>
      <c r="B856" s="559"/>
      <c r="C856" s="110">
        <v>16</v>
      </c>
      <c r="D856" s="12"/>
      <c r="E856" s="12"/>
      <c r="F856" s="12"/>
      <c r="G856" s="12"/>
      <c r="H856" s="12"/>
      <c r="I856" s="12"/>
      <c r="J856" s="12"/>
      <c r="K856" s="12"/>
      <c r="L856" s="12"/>
      <c r="M856" s="12"/>
      <c r="N856" s="12"/>
      <c r="O856" s="12"/>
      <c r="P856" s="55">
        <f t="shared" si="47"/>
        <v>0</v>
      </c>
    </row>
    <row r="857" spans="1:16" ht="15" customHeight="1" x14ac:dyDescent="0.25">
      <c r="A857" s="552"/>
      <c r="B857" s="559"/>
      <c r="C857" s="110">
        <v>17</v>
      </c>
      <c r="D857" s="12"/>
      <c r="E857" s="12"/>
      <c r="F857" s="12"/>
      <c r="G857" s="12"/>
      <c r="H857" s="12"/>
      <c r="I857" s="12"/>
      <c r="J857" s="12"/>
      <c r="K857" s="12"/>
      <c r="L857" s="12"/>
      <c r="M857" s="12"/>
      <c r="N857" s="12"/>
      <c r="O857" s="12"/>
      <c r="P857" s="55">
        <f t="shared" si="47"/>
        <v>0</v>
      </c>
    </row>
    <row r="858" spans="1:16" ht="15" customHeight="1" x14ac:dyDescent="0.25">
      <c r="A858" s="552"/>
      <c r="B858" s="559"/>
      <c r="C858" s="110">
        <v>25</v>
      </c>
      <c r="D858" s="12"/>
      <c r="E858" s="12"/>
      <c r="F858" s="12"/>
      <c r="G858" s="12"/>
      <c r="H858" s="12"/>
      <c r="I858" s="12"/>
      <c r="J858" s="12"/>
      <c r="K858" s="12"/>
      <c r="L858" s="12"/>
      <c r="M858" s="12"/>
      <c r="N858" s="12"/>
      <c r="O858" s="12"/>
      <c r="P858" s="55">
        <f t="shared" si="47"/>
        <v>0</v>
      </c>
    </row>
    <row r="859" spans="1:16" ht="15" customHeight="1" x14ac:dyDescent="0.25">
      <c r="A859" s="552"/>
      <c r="B859" s="559"/>
      <c r="C859" s="110">
        <v>26</v>
      </c>
      <c r="D859" s="12"/>
      <c r="E859" s="12"/>
      <c r="F859" s="12"/>
      <c r="G859" s="12"/>
      <c r="H859" s="12"/>
      <c r="I859" s="12"/>
      <c r="J859" s="12"/>
      <c r="K859" s="12"/>
      <c r="L859" s="12"/>
      <c r="M859" s="12"/>
      <c r="N859" s="12"/>
      <c r="O859" s="12"/>
      <c r="P859" s="55">
        <f t="shared" si="47"/>
        <v>0</v>
      </c>
    </row>
    <row r="860" spans="1:16" ht="15" customHeight="1" x14ac:dyDescent="0.25">
      <c r="A860" s="553"/>
      <c r="B860" s="559"/>
      <c r="C860" s="110">
        <v>27</v>
      </c>
      <c r="D860" s="12"/>
      <c r="E860" s="12"/>
      <c r="F860" s="12"/>
      <c r="G860" s="12"/>
      <c r="H860" s="12"/>
      <c r="I860" s="12"/>
      <c r="J860" s="12"/>
      <c r="K860" s="12"/>
      <c r="L860" s="12"/>
      <c r="M860" s="12"/>
      <c r="N860" s="12"/>
      <c r="O860" s="12"/>
      <c r="P860" s="55">
        <f t="shared" si="47"/>
        <v>0</v>
      </c>
    </row>
    <row r="861" spans="1:16" ht="15" customHeight="1" x14ac:dyDescent="0.25">
      <c r="A861" s="551">
        <v>323</v>
      </c>
      <c r="B861" s="558" t="s">
        <v>134</v>
      </c>
      <c r="C861" s="110">
        <v>11</v>
      </c>
      <c r="D861" s="12">
        <v>15200</v>
      </c>
      <c r="E861" s="12"/>
      <c r="F861" s="12"/>
      <c r="G861" s="12"/>
      <c r="H861" s="12">
        <v>9800</v>
      </c>
      <c r="I861" s="12"/>
      <c r="J861" s="12"/>
      <c r="K861" s="12"/>
      <c r="L861" s="12">
        <v>8650</v>
      </c>
      <c r="M861" s="12"/>
      <c r="N861" s="12"/>
      <c r="O861" s="12"/>
      <c r="P861" s="55">
        <f t="shared" si="47"/>
        <v>33650</v>
      </c>
    </row>
    <row r="862" spans="1:16" ht="15" customHeight="1" x14ac:dyDescent="0.25">
      <c r="A862" s="552"/>
      <c r="B862" s="559"/>
      <c r="C862" s="110">
        <v>12</v>
      </c>
      <c r="D862" s="12"/>
      <c r="E862" s="12"/>
      <c r="F862" s="12"/>
      <c r="G862" s="12"/>
      <c r="H862" s="12"/>
      <c r="I862" s="12"/>
      <c r="J862" s="12"/>
      <c r="K862" s="12"/>
      <c r="L862" s="12"/>
      <c r="M862" s="12"/>
      <c r="N862" s="12"/>
      <c r="O862" s="12"/>
      <c r="P862" s="55">
        <f t="shared" si="47"/>
        <v>0</v>
      </c>
    </row>
    <row r="863" spans="1:16" ht="15" customHeight="1" x14ac:dyDescent="0.25">
      <c r="A863" s="552"/>
      <c r="B863" s="559"/>
      <c r="C863" s="110">
        <v>13</v>
      </c>
      <c r="D863" s="12"/>
      <c r="E863" s="12"/>
      <c r="F863" s="12"/>
      <c r="G863" s="12"/>
      <c r="H863" s="12"/>
      <c r="I863" s="12"/>
      <c r="J863" s="12"/>
      <c r="K863" s="12"/>
      <c r="L863" s="12"/>
      <c r="M863" s="12"/>
      <c r="N863" s="12"/>
      <c r="O863" s="12"/>
      <c r="P863" s="55">
        <f t="shared" si="47"/>
        <v>0</v>
      </c>
    </row>
    <row r="864" spans="1:16" ht="15" customHeight="1" x14ac:dyDescent="0.25">
      <c r="A864" s="552"/>
      <c r="B864" s="559"/>
      <c r="C864" s="110">
        <v>14</v>
      </c>
      <c r="D864" s="12"/>
      <c r="E864" s="12"/>
      <c r="F864" s="12"/>
      <c r="G864" s="12"/>
      <c r="H864" s="12"/>
      <c r="I864" s="12"/>
      <c r="J864" s="12"/>
      <c r="K864" s="12"/>
      <c r="L864" s="12"/>
      <c r="M864" s="12"/>
      <c r="N864" s="12"/>
      <c r="O864" s="12"/>
      <c r="P864" s="55">
        <f t="shared" si="47"/>
        <v>0</v>
      </c>
    </row>
    <row r="865" spans="1:16" ht="15" customHeight="1" x14ac:dyDescent="0.25">
      <c r="A865" s="552"/>
      <c r="B865" s="559"/>
      <c r="C865" s="110">
        <v>15</v>
      </c>
      <c r="D865" s="12"/>
      <c r="E865" s="12"/>
      <c r="F865" s="12"/>
      <c r="G865" s="12"/>
      <c r="H865" s="12"/>
      <c r="I865" s="12"/>
      <c r="J865" s="12"/>
      <c r="K865" s="12"/>
      <c r="L865" s="12"/>
      <c r="M865" s="12"/>
      <c r="N865" s="12"/>
      <c r="O865" s="12"/>
      <c r="P865" s="55">
        <f t="shared" si="47"/>
        <v>0</v>
      </c>
    </row>
    <row r="866" spans="1:16" ht="15" customHeight="1" x14ac:dyDescent="0.25">
      <c r="A866" s="552"/>
      <c r="B866" s="559"/>
      <c r="C866" s="110">
        <v>16</v>
      </c>
      <c r="D866" s="12"/>
      <c r="E866" s="12"/>
      <c r="F866" s="12"/>
      <c r="G866" s="12"/>
      <c r="H866" s="12"/>
      <c r="I866" s="12"/>
      <c r="J866" s="12"/>
      <c r="K866" s="12"/>
      <c r="L866" s="12"/>
      <c r="M866" s="12"/>
      <c r="N866" s="12"/>
      <c r="O866" s="12"/>
      <c r="P866" s="55">
        <f t="shared" si="47"/>
        <v>0</v>
      </c>
    </row>
    <row r="867" spans="1:16" ht="15" customHeight="1" x14ac:dyDescent="0.25">
      <c r="A867" s="552"/>
      <c r="B867" s="559"/>
      <c r="C867" s="110">
        <v>17</v>
      </c>
      <c r="D867" s="12"/>
      <c r="E867" s="12"/>
      <c r="F867" s="12"/>
      <c r="G867" s="12"/>
      <c r="H867" s="12"/>
      <c r="I867" s="12"/>
      <c r="J867" s="12"/>
      <c r="K867" s="12"/>
      <c r="L867" s="12"/>
      <c r="M867" s="12"/>
      <c r="N867" s="12"/>
      <c r="O867" s="12"/>
      <c r="P867" s="55">
        <f t="shared" si="47"/>
        <v>0</v>
      </c>
    </row>
    <row r="868" spans="1:16" ht="15" customHeight="1" x14ac:dyDescent="0.25">
      <c r="A868" s="552"/>
      <c r="B868" s="559"/>
      <c r="C868" s="110">
        <v>25</v>
      </c>
      <c r="D868" s="12"/>
      <c r="E868" s="12"/>
      <c r="F868" s="12"/>
      <c r="G868" s="12"/>
      <c r="H868" s="12"/>
      <c r="I868" s="12"/>
      <c r="J868" s="12"/>
      <c r="K868" s="12"/>
      <c r="L868" s="12"/>
      <c r="M868" s="12"/>
      <c r="N868" s="12"/>
      <c r="O868" s="12"/>
      <c r="P868" s="55">
        <f t="shared" si="47"/>
        <v>0</v>
      </c>
    </row>
    <row r="869" spans="1:16" ht="15" customHeight="1" x14ac:dyDescent="0.25">
      <c r="A869" s="552"/>
      <c r="B869" s="559"/>
      <c r="C869" s="110">
        <v>26</v>
      </c>
      <c r="D869" s="12"/>
      <c r="E869" s="12"/>
      <c r="F869" s="12"/>
      <c r="G869" s="12"/>
      <c r="H869" s="12"/>
      <c r="I869" s="12"/>
      <c r="J869" s="12"/>
      <c r="K869" s="12"/>
      <c r="L869" s="12"/>
      <c r="M869" s="12"/>
      <c r="N869" s="12"/>
      <c r="O869" s="12"/>
      <c r="P869" s="55">
        <f t="shared" si="47"/>
        <v>0</v>
      </c>
    </row>
    <row r="870" spans="1:16" ht="15" customHeight="1" x14ac:dyDescent="0.25">
      <c r="A870" s="553"/>
      <c r="B870" s="559"/>
      <c r="C870" s="110">
        <v>27</v>
      </c>
      <c r="D870" s="12"/>
      <c r="E870" s="12"/>
      <c r="F870" s="12"/>
      <c r="G870" s="12"/>
      <c r="H870" s="12"/>
      <c r="I870" s="12"/>
      <c r="J870" s="12"/>
      <c r="K870" s="12"/>
      <c r="L870" s="12"/>
      <c r="M870" s="12"/>
      <c r="N870" s="12"/>
      <c r="O870" s="12"/>
      <c r="P870" s="55">
        <f t="shared" si="47"/>
        <v>0</v>
      </c>
    </row>
    <row r="871" spans="1:16" ht="15" customHeight="1" x14ac:dyDescent="0.25">
      <c r="A871" s="551">
        <v>324</v>
      </c>
      <c r="B871" s="558" t="s">
        <v>135</v>
      </c>
      <c r="C871" s="110">
        <v>11</v>
      </c>
      <c r="D871" s="12"/>
      <c r="E871" s="12"/>
      <c r="F871" s="12"/>
      <c r="G871" s="12"/>
      <c r="H871" s="12"/>
      <c r="I871" s="12"/>
      <c r="J871" s="12"/>
      <c r="K871" s="12"/>
      <c r="L871" s="12"/>
      <c r="M871" s="12"/>
      <c r="N871" s="12"/>
      <c r="O871" s="12"/>
      <c r="P871" s="55">
        <f t="shared" si="47"/>
        <v>0</v>
      </c>
    </row>
    <row r="872" spans="1:16" ht="15" customHeight="1" x14ac:dyDescent="0.25">
      <c r="A872" s="552"/>
      <c r="B872" s="559"/>
      <c r="C872" s="110">
        <v>12</v>
      </c>
      <c r="D872" s="12"/>
      <c r="E872" s="12"/>
      <c r="F872" s="12"/>
      <c r="G872" s="12"/>
      <c r="H872" s="12"/>
      <c r="I872" s="12"/>
      <c r="J872" s="12"/>
      <c r="K872" s="12"/>
      <c r="L872" s="12"/>
      <c r="M872" s="12"/>
      <c r="N872" s="12"/>
      <c r="O872" s="12"/>
      <c r="P872" s="55">
        <f t="shared" si="47"/>
        <v>0</v>
      </c>
    </row>
    <row r="873" spans="1:16" ht="15" customHeight="1" x14ac:dyDescent="0.25">
      <c r="A873" s="552"/>
      <c r="B873" s="559"/>
      <c r="C873" s="110">
        <v>13</v>
      </c>
      <c r="D873" s="12"/>
      <c r="E873" s="12"/>
      <c r="F873" s="12"/>
      <c r="G873" s="12"/>
      <c r="H873" s="12"/>
      <c r="I873" s="12"/>
      <c r="J873" s="12"/>
      <c r="K873" s="12"/>
      <c r="L873" s="12"/>
      <c r="M873" s="12"/>
      <c r="N873" s="12"/>
      <c r="O873" s="12"/>
      <c r="P873" s="55">
        <f t="shared" si="47"/>
        <v>0</v>
      </c>
    </row>
    <row r="874" spans="1:16" ht="15" customHeight="1" x14ac:dyDescent="0.25">
      <c r="A874" s="552"/>
      <c r="B874" s="559"/>
      <c r="C874" s="110">
        <v>14</v>
      </c>
      <c r="D874" s="12"/>
      <c r="E874" s="12"/>
      <c r="F874" s="12"/>
      <c r="G874" s="12"/>
      <c r="H874" s="12"/>
      <c r="I874" s="12"/>
      <c r="J874" s="12"/>
      <c r="K874" s="12"/>
      <c r="L874" s="12"/>
      <c r="M874" s="12"/>
      <c r="N874" s="12"/>
      <c r="O874" s="12"/>
      <c r="P874" s="55">
        <f t="shared" si="47"/>
        <v>0</v>
      </c>
    </row>
    <row r="875" spans="1:16" ht="15" customHeight="1" x14ac:dyDescent="0.25">
      <c r="A875" s="552"/>
      <c r="B875" s="559"/>
      <c r="C875" s="110">
        <v>15</v>
      </c>
      <c r="D875" s="12"/>
      <c r="E875" s="12"/>
      <c r="F875" s="12"/>
      <c r="G875" s="12"/>
      <c r="H875" s="12"/>
      <c r="I875" s="12"/>
      <c r="J875" s="12"/>
      <c r="K875" s="12"/>
      <c r="L875" s="12"/>
      <c r="M875" s="12"/>
      <c r="N875" s="12"/>
      <c r="O875" s="12"/>
      <c r="P875" s="55">
        <f t="shared" si="47"/>
        <v>0</v>
      </c>
    </row>
    <row r="876" spans="1:16" ht="15" customHeight="1" x14ac:dyDescent="0.25">
      <c r="A876" s="552"/>
      <c r="B876" s="559"/>
      <c r="C876" s="110">
        <v>16</v>
      </c>
      <c r="D876" s="12"/>
      <c r="E876" s="12"/>
      <c r="F876" s="12"/>
      <c r="G876" s="12"/>
      <c r="H876" s="12"/>
      <c r="I876" s="12"/>
      <c r="J876" s="12"/>
      <c r="K876" s="12"/>
      <c r="L876" s="12"/>
      <c r="M876" s="12"/>
      <c r="N876" s="12"/>
      <c r="O876" s="12"/>
      <c r="P876" s="55">
        <f t="shared" si="47"/>
        <v>0</v>
      </c>
    </row>
    <row r="877" spans="1:16" ht="15" customHeight="1" x14ac:dyDescent="0.25">
      <c r="A877" s="552"/>
      <c r="B877" s="559"/>
      <c r="C877" s="110">
        <v>17</v>
      </c>
      <c r="D877" s="12"/>
      <c r="E877" s="12"/>
      <c r="F877" s="12"/>
      <c r="G877" s="12"/>
      <c r="H877" s="12"/>
      <c r="I877" s="12"/>
      <c r="J877" s="12"/>
      <c r="K877" s="12"/>
      <c r="L877" s="12"/>
      <c r="M877" s="12"/>
      <c r="N877" s="12"/>
      <c r="O877" s="12"/>
      <c r="P877" s="55">
        <f t="shared" si="47"/>
        <v>0</v>
      </c>
    </row>
    <row r="878" spans="1:16" ht="15" customHeight="1" x14ac:dyDescent="0.25">
      <c r="A878" s="552"/>
      <c r="B878" s="559"/>
      <c r="C878" s="110">
        <v>25</v>
      </c>
      <c r="D878" s="12"/>
      <c r="E878" s="12"/>
      <c r="F878" s="12"/>
      <c r="G878" s="12"/>
      <c r="H878" s="12"/>
      <c r="I878" s="12"/>
      <c r="J878" s="12"/>
      <c r="K878" s="12"/>
      <c r="L878" s="12"/>
      <c r="M878" s="12"/>
      <c r="N878" s="12"/>
      <c r="O878" s="12"/>
      <c r="P878" s="55">
        <f t="shared" si="47"/>
        <v>0</v>
      </c>
    </row>
    <row r="879" spans="1:16" ht="15" customHeight="1" x14ac:dyDescent="0.25">
      <c r="A879" s="552"/>
      <c r="B879" s="559"/>
      <c r="C879" s="110">
        <v>26</v>
      </c>
      <c r="D879" s="12"/>
      <c r="E879" s="12"/>
      <c r="F879" s="12"/>
      <c r="G879" s="12"/>
      <c r="H879" s="12"/>
      <c r="I879" s="12"/>
      <c r="J879" s="12"/>
      <c r="K879" s="12"/>
      <c r="L879" s="12"/>
      <c r="M879" s="12"/>
      <c r="N879" s="12"/>
      <c r="O879" s="12"/>
      <c r="P879" s="55">
        <f t="shared" si="47"/>
        <v>0</v>
      </c>
    </row>
    <row r="880" spans="1:16" ht="15" customHeight="1" x14ac:dyDescent="0.25">
      <c r="A880" s="553"/>
      <c r="B880" s="559"/>
      <c r="C880" s="110">
        <v>27</v>
      </c>
      <c r="D880" s="12"/>
      <c r="E880" s="12"/>
      <c r="F880" s="12"/>
      <c r="G880" s="12"/>
      <c r="H880" s="12"/>
      <c r="I880" s="12"/>
      <c r="J880" s="12"/>
      <c r="K880" s="12"/>
      <c r="L880" s="12"/>
      <c r="M880" s="12"/>
      <c r="N880" s="12"/>
      <c r="O880" s="12"/>
      <c r="P880" s="55">
        <f t="shared" si="47"/>
        <v>0</v>
      </c>
    </row>
    <row r="881" spans="1:16" ht="15" customHeight="1" x14ac:dyDescent="0.25">
      <c r="A881" s="551">
        <v>325</v>
      </c>
      <c r="B881" s="558" t="s">
        <v>136</v>
      </c>
      <c r="C881" s="110">
        <v>11</v>
      </c>
      <c r="D881" s="12"/>
      <c r="E881" s="12"/>
      <c r="F881" s="12"/>
      <c r="G881" s="12"/>
      <c r="H881" s="12"/>
      <c r="I881" s="12"/>
      <c r="J881" s="12"/>
      <c r="K881" s="12"/>
      <c r="L881" s="12"/>
      <c r="M881" s="12"/>
      <c r="N881" s="12"/>
      <c r="O881" s="12"/>
      <c r="P881" s="55">
        <f t="shared" si="47"/>
        <v>0</v>
      </c>
    </row>
    <row r="882" spans="1:16" ht="15" customHeight="1" x14ac:dyDescent="0.25">
      <c r="A882" s="552"/>
      <c r="B882" s="559"/>
      <c r="C882" s="110">
        <v>12</v>
      </c>
      <c r="D882" s="12"/>
      <c r="E882" s="12"/>
      <c r="F882" s="12"/>
      <c r="G882" s="12"/>
      <c r="H882" s="12"/>
      <c r="I882" s="12"/>
      <c r="J882" s="12"/>
      <c r="K882" s="12"/>
      <c r="L882" s="12"/>
      <c r="M882" s="12"/>
      <c r="N882" s="12"/>
      <c r="O882" s="12"/>
      <c r="P882" s="55">
        <f t="shared" si="47"/>
        <v>0</v>
      </c>
    </row>
    <row r="883" spans="1:16" ht="15" customHeight="1" x14ac:dyDescent="0.25">
      <c r="A883" s="552"/>
      <c r="B883" s="559"/>
      <c r="C883" s="110">
        <v>13</v>
      </c>
      <c r="D883" s="12"/>
      <c r="E883" s="12"/>
      <c r="F883" s="12"/>
      <c r="G883" s="12"/>
      <c r="H883" s="12"/>
      <c r="I883" s="12"/>
      <c r="J883" s="12"/>
      <c r="K883" s="12"/>
      <c r="L883" s="12"/>
      <c r="M883" s="12"/>
      <c r="N883" s="12"/>
      <c r="O883" s="12"/>
      <c r="P883" s="55">
        <f t="shared" si="47"/>
        <v>0</v>
      </c>
    </row>
    <row r="884" spans="1:16" ht="15" customHeight="1" x14ac:dyDescent="0.25">
      <c r="A884" s="552"/>
      <c r="B884" s="559"/>
      <c r="C884" s="110">
        <v>14</v>
      </c>
      <c r="D884" s="12"/>
      <c r="E884" s="12"/>
      <c r="F884" s="12"/>
      <c r="G884" s="12"/>
      <c r="H884" s="12"/>
      <c r="I884" s="12"/>
      <c r="J884" s="12"/>
      <c r="K884" s="12"/>
      <c r="L884" s="12"/>
      <c r="M884" s="12"/>
      <c r="N884" s="12"/>
      <c r="O884" s="12"/>
      <c r="P884" s="55">
        <f t="shared" si="47"/>
        <v>0</v>
      </c>
    </row>
    <row r="885" spans="1:16" ht="15" customHeight="1" x14ac:dyDescent="0.25">
      <c r="A885" s="552"/>
      <c r="B885" s="559"/>
      <c r="C885" s="110">
        <v>15</v>
      </c>
      <c r="D885" s="12"/>
      <c r="E885" s="12"/>
      <c r="F885" s="12"/>
      <c r="G885" s="12"/>
      <c r="H885" s="12"/>
      <c r="I885" s="12"/>
      <c r="J885" s="12"/>
      <c r="K885" s="12"/>
      <c r="L885" s="12"/>
      <c r="M885" s="12"/>
      <c r="N885" s="12"/>
      <c r="O885" s="12"/>
      <c r="P885" s="55">
        <f t="shared" si="47"/>
        <v>0</v>
      </c>
    </row>
    <row r="886" spans="1:16" ht="15" customHeight="1" x14ac:dyDescent="0.25">
      <c r="A886" s="552"/>
      <c r="B886" s="559"/>
      <c r="C886" s="110">
        <v>16</v>
      </c>
      <c r="D886" s="12"/>
      <c r="E886" s="12"/>
      <c r="F886" s="12"/>
      <c r="G886" s="12"/>
      <c r="H886" s="12"/>
      <c r="I886" s="12"/>
      <c r="J886" s="12"/>
      <c r="K886" s="12"/>
      <c r="L886" s="12"/>
      <c r="M886" s="12"/>
      <c r="N886" s="12"/>
      <c r="O886" s="12"/>
      <c r="P886" s="55">
        <f t="shared" si="47"/>
        <v>0</v>
      </c>
    </row>
    <row r="887" spans="1:16" ht="15" customHeight="1" x14ac:dyDescent="0.25">
      <c r="A887" s="552"/>
      <c r="B887" s="559"/>
      <c r="C887" s="110">
        <v>17</v>
      </c>
      <c r="D887" s="12"/>
      <c r="E887" s="12"/>
      <c r="F887" s="12"/>
      <c r="G887" s="12"/>
      <c r="H887" s="12"/>
      <c r="I887" s="12"/>
      <c r="J887" s="12"/>
      <c r="K887" s="12"/>
      <c r="L887" s="12"/>
      <c r="M887" s="12"/>
      <c r="N887" s="12"/>
      <c r="O887" s="12"/>
      <c r="P887" s="55">
        <f t="shared" si="47"/>
        <v>0</v>
      </c>
    </row>
    <row r="888" spans="1:16" ht="15" customHeight="1" x14ac:dyDescent="0.25">
      <c r="A888" s="552"/>
      <c r="B888" s="559"/>
      <c r="C888" s="110">
        <v>25</v>
      </c>
      <c r="D888" s="12"/>
      <c r="E888" s="12"/>
      <c r="F888" s="12"/>
      <c r="G888" s="12"/>
      <c r="H888" s="12"/>
      <c r="I888" s="12"/>
      <c r="J888" s="12"/>
      <c r="K888" s="12"/>
      <c r="L888" s="12"/>
      <c r="M888" s="12"/>
      <c r="N888" s="12"/>
      <c r="O888" s="12"/>
      <c r="P888" s="55">
        <f t="shared" si="47"/>
        <v>0</v>
      </c>
    </row>
    <row r="889" spans="1:16" ht="15" customHeight="1" x14ac:dyDescent="0.25">
      <c r="A889" s="552"/>
      <c r="B889" s="559"/>
      <c r="C889" s="110">
        <v>26</v>
      </c>
      <c r="D889" s="12"/>
      <c r="E889" s="12"/>
      <c r="F889" s="12"/>
      <c r="G889" s="12"/>
      <c r="H889" s="12"/>
      <c r="I889" s="12"/>
      <c r="J889" s="12"/>
      <c r="K889" s="12"/>
      <c r="L889" s="12"/>
      <c r="M889" s="12"/>
      <c r="N889" s="12"/>
      <c r="O889" s="12"/>
      <c r="P889" s="55">
        <f t="shared" si="47"/>
        <v>0</v>
      </c>
    </row>
    <row r="890" spans="1:16" ht="15" customHeight="1" x14ac:dyDescent="0.25">
      <c r="A890" s="553"/>
      <c r="B890" s="559"/>
      <c r="C890" s="110">
        <v>27</v>
      </c>
      <c r="D890" s="12"/>
      <c r="E890" s="12"/>
      <c r="F890" s="12"/>
      <c r="G890" s="12"/>
      <c r="H890" s="12"/>
      <c r="I890" s="12"/>
      <c r="J890" s="12"/>
      <c r="K890" s="12"/>
      <c r="L890" s="12"/>
      <c r="M890" s="12"/>
      <c r="N890" s="12"/>
      <c r="O890" s="12"/>
      <c r="P890" s="55">
        <f t="shared" si="47"/>
        <v>0</v>
      </c>
    </row>
    <row r="891" spans="1:16" ht="15" customHeight="1" x14ac:dyDescent="0.25">
      <c r="A891" s="551">
        <v>326</v>
      </c>
      <c r="B891" s="558" t="s">
        <v>137</v>
      </c>
      <c r="C891" s="110">
        <v>11</v>
      </c>
      <c r="D891" s="12"/>
      <c r="E891" s="12"/>
      <c r="F891" s="12"/>
      <c r="G891" s="12"/>
      <c r="H891" s="12"/>
      <c r="I891" s="12"/>
      <c r="J891" s="12"/>
      <c r="K891" s="12"/>
      <c r="L891" s="12"/>
      <c r="M891" s="12"/>
      <c r="N891" s="12"/>
      <c r="O891" s="12"/>
      <c r="P891" s="55">
        <f t="shared" si="47"/>
        <v>0</v>
      </c>
    </row>
    <row r="892" spans="1:16" ht="15" customHeight="1" x14ac:dyDescent="0.25">
      <c r="A892" s="552"/>
      <c r="B892" s="559"/>
      <c r="C892" s="110">
        <v>12</v>
      </c>
      <c r="D892" s="12"/>
      <c r="E892" s="12"/>
      <c r="F892" s="12"/>
      <c r="G892" s="12"/>
      <c r="H892" s="12"/>
      <c r="I892" s="12"/>
      <c r="J892" s="12"/>
      <c r="K892" s="12"/>
      <c r="L892" s="12"/>
      <c r="M892" s="12"/>
      <c r="N892" s="12"/>
      <c r="O892" s="12"/>
      <c r="P892" s="55">
        <f t="shared" si="47"/>
        <v>0</v>
      </c>
    </row>
    <row r="893" spans="1:16" ht="15" customHeight="1" x14ac:dyDescent="0.25">
      <c r="A893" s="552"/>
      <c r="B893" s="559"/>
      <c r="C893" s="110">
        <v>13</v>
      </c>
      <c r="D893" s="12"/>
      <c r="E893" s="12"/>
      <c r="F893" s="12"/>
      <c r="G893" s="12"/>
      <c r="H893" s="12"/>
      <c r="I893" s="12"/>
      <c r="J893" s="12"/>
      <c r="K893" s="12"/>
      <c r="L893" s="12"/>
      <c r="M893" s="12"/>
      <c r="N893" s="12"/>
      <c r="O893" s="12"/>
      <c r="P893" s="55">
        <f t="shared" si="47"/>
        <v>0</v>
      </c>
    </row>
    <row r="894" spans="1:16" ht="15" customHeight="1" x14ac:dyDescent="0.25">
      <c r="A894" s="552"/>
      <c r="B894" s="559"/>
      <c r="C894" s="110">
        <v>14</v>
      </c>
      <c r="D894" s="12"/>
      <c r="E894" s="12"/>
      <c r="F894" s="12"/>
      <c r="G894" s="12"/>
      <c r="H894" s="12"/>
      <c r="I894" s="12"/>
      <c r="J894" s="12"/>
      <c r="K894" s="12"/>
      <c r="L894" s="12"/>
      <c r="M894" s="12"/>
      <c r="N894" s="12"/>
      <c r="O894" s="12"/>
      <c r="P894" s="55">
        <f t="shared" si="47"/>
        <v>0</v>
      </c>
    </row>
    <row r="895" spans="1:16" ht="15" customHeight="1" x14ac:dyDescent="0.25">
      <c r="A895" s="552"/>
      <c r="B895" s="559"/>
      <c r="C895" s="110">
        <v>15</v>
      </c>
      <c r="D895" s="12">
        <v>275500</v>
      </c>
      <c r="E895" s="12">
        <v>275500</v>
      </c>
      <c r="F895" s="12">
        <v>275500</v>
      </c>
      <c r="G895" s="12">
        <v>275500</v>
      </c>
      <c r="H895" s="12">
        <v>275500</v>
      </c>
      <c r="I895" s="12">
        <v>275500</v>
      </c>
      <c r="J895" s="12">
        <v>275500</v>
      </c>
      <c r="K895" s="12">
        <v>275500</v>
      </c>
      <c r="L895" s="12">
        <v>275500</v>
      </c>
      <c r="M895" s="12">
        <v>275500</v>
      </c>
      <c r="N895" s="12">
        <v>275500</v>
      </c>
      <c r="O895" s="12">
        <v>275500</v>
      </c>
      <c r="P895" s="55">
        <f t="shared" si="47"/>
        <v>3306000</v>
      </c>
    </row>
    <row r="896" spans="1:16" ht="15" customHeight="1" x14ac:dyDescent="0.25">
      <c r="A896" s="552"/>
      <c r="B896" s="559"/>
      <c r="C896" s="110">
        <v>16</v>
      </c>
      <c r="D896" s="12"/>
      <c r="E896" s="12"/>
      <c r="F896" s="12"/>
      <c r="G896" s="12"/>
      <c r="H896" s="12"/>
      <c r="I896" s="12"/>
      <c r="J896" s="12"/>
      <c r="K896" s="12"/>
      <c r="L896" s="12"/>
      <c r="M896" s="12"/>
      <c r="N896" s="12"/>
      <c r="O896" s="12"/>
      <c r="P896" s="55">
        <f t="shared" si="47"/>
        <v>0</v>
      </c>
    </row>
    <row r="897" spans="1:16" ht="15" customHeight="1" x14ac:dyDescent="0.25">
      <c r="A897" s="552"/>
      <c r="B897" s="559"/>
      <c r="C897" s="110">
        <v>17</v>
      </c>
      <c r="D897" s="12"/>
      <c r="E897" s="12"/>
      <c r="F897" s="12"/>
      <c r="G897" s="12"/>
      <c r="H897" s="12"/>
      <c r="I897" s="12"/>
      <c r="J897" s="12"/>
      <c r="K897" s="12"/>
      <c r="L897" s="12"/>
      <c r="M897" s="12"/>
      <c r="N897" s="12"/>
      <c r="O897" s="12"/>
      <c r="P897" s="55">
        <f t="shared" si="47"/>
        <v>0</v>
      </c>
    </row>
    <row r="898" spans="1:16" ht="15" customHeight="1" x14ac:dyDescent="0.25">
      <c r="A898" s="552"/>
      <c r="B898" s="559"/>
      <c r="C898" s="110">
        <v>25</v>
      </c>
      <c r="D898" s="12"/>
      <c r="E898" s="12"/>
      <c r="F898" s="12"/>
      <c r="G898" s="12"/>
      <c r="H898" s="12"/>
      <c r="I898" s="12"/>
      <c r="J898" s="12"/>
      <c r="K898" s="12"/>
      <c r="L898" s="12"/>
      <c r="M898" s="12"/>
      <c r="N898" s="12"/>
      <c r="O898" s="12"/>
      <c r="P898" s="55">
        <f t="shared" si="47"/>
        <v>0</v>
      </c>
    </row>
    <row r="899" spans="1:16" ht="15" customHeight="1" x14ac:dyDescent="0.25">
      <c r="A899" s="552"/>
      <c r="B899" s="559"/>
      <c r="C899" s="110">
        <v>26</v>
      </c>
      <c r="D899" s="12"/>
      <c r="E899" s="12"/>
      <c r="F899" s="12"/>
      <c r="G899" s="12"/>
      <c r="H899" s="12"/>
      <c r="I899" s="12"/>
      <c r="J899" s="12"/>
      <c r="K899" s="12"/>
      <c r="L899" s="12"/>
      <c r="M899" s="12"/>
      <c r="N899" s="12"/>
      <c r="O899" s="12"/>
      <c r="P899" s="55">
        <f t="shared" si="47"/>
        <v>0</v>
      </c>
    </row>
    <row r="900" spans="1:16" ht="15" customHeight="1" x14ac:dyDescent="0.25">
      <c r="A900" s="553"/>
      <c r="B900" s="559"/>
      <c r="C900" s="110">
        <v>27</v>
      </c>
      <c r="D900" s="12"/>
      <c r="E900" s="12"/>
      <c r="F900" s="12"/>
      <c r="G900" s="12"/>
      <c r="H900" s="12"/>
      <c r="I900" s="12"/>
      <c r="J900" s="12"/>
      <c r="K900" s="12"/>
      <c r="L900" s="12"/>
      <c r="M900" s="12"/>
      <c r="N900" s="12"/>
      <c r="O900" s="12"/>
      <c r="P900" s="55">
        <f t="shared" si="47"/>
        <v>0</v>
      </c>
    </row>
    <row r="901" spans="1:16" ht="15" customHeight="1" x14ac:dyDescent="0.25">
      <c r="A901" s="551">
        <v>327</v>
      </c>
      <c r="B901" s="558" t="s">
        <v>138</v>
      </c>
      <c r="C901" s="110">
        <v>11</v>
      </c>
      <c r="D901" s="12"/>
      <c r="E901" s="12"/>
      <c r="F901" s="12"/>
      <c r="G901" s="12"/>
      <c r="H901" s="12"/>
      <c r="I901" s="12"/>
      <c r="J901" s="12"/>
      <c r="K901" s="12"/>
      <c r="L901" s="12"/>
      <c r="M901" s="12"/>
      <c r="N901" s="12"/>
      <c r="O901" s="12"/>
      <c r="P901" s="55">
        <f t="shared" si="47"/>
        <v>0</v>
      </c>
    </row>
    <row r="902" spans="1:16" ht="15" customHeight="1" x14ac:dyDescent="0.25">
      <c r="A902" s="552"/>
      <c r="B902" s="559"/>
      <c r="C902" s="110">
        <v>12</v>
      </c>
      <c r="D902" s="12"/>
      <c r="E902" s="12"/>
      <c r="F902" s="12"/>
      <c r="G902" s="12"/>
      <c r="H902" s="12"/>
      <c r="I902" s="12"/>
      <c r="J902" s="12"/>
      <c r="K902" s="12"/>
      <c r="L902" s="12"/>
      <c r="M902" s="12"/>
      <c r="N902" s="12"/>
      <c r="O902" s="12"/>
      <c r="P902" s="55">
        <f t="shared" si="47"/>
        <v>0</v>
      </c>
    </row>
    <row r="903" spans="1:16" ht="15" customHeight="1" x14ac:dyDescent="0.25">
      <c r="A903" s="552"/>
      <c r="B903" s="559"/>
      <c r="C903" s="110">
        <v>13</v>
      </c>
      <c r="D903" s="12"/>
      <c r="E903" s="12"/>
      <c r="F903" s="12"/>
      <c r="G903" s="12"/>
      <c r="H903" s="12"/>
      <c r="I903" s="12"/>
      <c r="J903" s="12"/>
      <c r="K903" s="12"/>
      <c r="L903" s="12"/>
      <c r="M903" s="12"/>
      <c r="N903" s="12"/>
      <c r="O903" s="12"/>
      <c r="P903" s="55">
        <f t="shared" si="47"/>
        <v>0</v>
      </c>
    </row>
    <row r="904" spans="1:16" ht="15" customHeight="1" x14ac:dyDescent="0.25">
      <c r="A904" s="552"/>
      <c r="B904" s="559"/>
      <c r="C904" s="110">
        <v>14</v>
      </c>
      <c r="D904" s="12"/>
      <c r="E904" s="12"/>
      <c r="F904" s="12"/>
      <c r="G904" s="12"/>
      <c r="H904" s="12"/>
      <c r="I904" s="12"/>
      <c r="J904" s="12"/>
      <c r="K904" s="12"/>
      <c r="L904" s="12"/>
      <c r="M904" s="12"/>
      <c r="N904" s="12"/>
      <c r="O904" s="12"/>
      <c r="P904" s="55">
        <f t="shared" si="47"/>
        <v>0</v>
      </c>
    </row>
    <row r="905" spans="1:16" ht="15" customHeight="1" x14ac:dyDescent="0.25">
      <c r="A905" s="552"/>
      <c r="B905" s="559"/>
      <c r="C905" s="110">
        <v>15</v>
      </c>
      <c r="D905" s="12"/>
      <c r="E905" s="12">
        <v>3766</v>
      </c>
      <c r="F905" s="12"/>
      <c r="G905" s="12"/>
      <c r="H905" s="12"/>
      <c r="I905" s="12"/>
      <c r="J905" s="12"/>
      <c r="K905" s="12"/>
      <c r="L905" s="12">
        <v>1870</v>
      </c>
      <c r="M905" s="12"/>
      <c r="N905" s="12"/>
      <c r="O905" s="12"/>
      <c r="P905" s="55">
        <f t="shared" si="47"/>
        <v>5636</v>
      </c>
    </row>
    <row r="906" spans="1:16" ht="15" customHeight="1" x14ac:dyDescent="0.25">
      <c r="A906" s="552"/>
      <c r="B906" s="559"/>
      <c r="C906" s="110">
        <v>16</v>
      </c>
      <c r="D906" s="12"/>
      <c r="E906" s="12"/>
      <c r="F906" s="12"/>
      <c r="G906" s="12"/>
      <c r="H906" s="12"/>
      <c r="I906" s="12"/>
      <c r="J906" s="12"/>
      <c r="K906" s="12"/>
      <c r="L906" s="12"/>
      <c r="M906" s="12"/>
      <c r="N906" s="12"/>
      <c r="O906" s="12"/>
      <c r="P906" s="55">
        <f t="shared" si="47"/>
        <v>0</v>
      </c>
    </row>
    <row r="907" spans="1:16" ht="15" customHeight="1" x14ac:dyDescent="0.25">
      <c r="A907" s="552"/>
      <c r="B907" s="559"/>
      <c r="C907" s="110">
        <v>17</v>
      </c>
      <c r="D907" s="12"/>
      <c r="E907" s="12"/>
      <c r="F907" s="12"/>
      <c r="G907" s="12"/>
      <c r="H907" s="12"/>
      <c r="I907" s="12"/>
      <c r="J907" s="12"/>
      <c r="K907" s="12"/>
      <c r="L907" s="12"/>
      <c r="M907" s="12"/>
      <c r="N907" s="12"/>
      <c r="O907" s="12"/>
      <c r="P907" s="55">
        <f t="shared" si="47"/>
        <v>0</v>
      </c>
    </row>
    <row r="908" spans="1:16" ht="15" customHeight="1" x14ac:dyDescent="0.25">
      <c r="A908" s="552"/>
      <c r="B908" s="559"/>
      <c r="C908" s="110">
        <v>25</v>
      </c>
      <c r="D908" s="12"/>
      <c r="E908" s="12"/>
      <c r="F908" s="12"/>
      <c r="G908" s="12"/>
      <c r="H908" s="12"/>
      <c r="I908" s="12"/>
      <c r="J908" s="12"/>
      <c r="K908" s="12"/>
      <c r="L908" s="12"/>
      <c r="M908" s="12"/>
      <c r="N908" s="12"/>
      <c r="O908" s="12"/>
      <c r="P908" s="55">
        <f t="shared" si="47"/>
        <v>0</v>
      </c>
    </row>
    <row r="909" spans="1:16" ht="15" customHeight="1" x14ac:dyDescent="0.25">
      <c r="A909" s="552"/>
      <c r="B909" s="559"/>
      <c r="C909" s="110">
        <v>26</v>
      </c>
      <c r="D909" s="12"/>
      <c r="E909" s="12"/>
      <c r="F909" s="12"/>
      <c r="G909" s="12"/>
      <c r="H909" s="12"/>
      <c r="I909" s="12"/>
      <c r="J909" s="12"/>
      <c r="K909" s="12"/>
      <c r="L909" s="12"/>
      <c r="M909" s="12"/>
      <c r="N909" s="12"/>
      <c r="O909" s="12"/>
      <c r="P909" s="55">
        <f t="shared" si="47"/>
        <v>0</v>
      </c>
    </row>
    <row r="910" spans="1:16" ht="15" customHeight="1" x14ac:dyDescent="0.25">
      <c r="A910" s="553"/>
      <c r="B910" s="559"/>
      <c r="C910" s="110">
        <v>27</v>
      </c>
      <c r="D910" s="12"/>
      <c r="E910" s="12"/>
      <c r="F910" s="12"/>
      <c r="G910" s="12"/>
      <c r="H910" s="12"/>
      <c r="I910" s="12"/>
      <c r="J910" s="12"/>
      <c r="K910" s="12"/>
      <c r="L910" s="12"/>
      <c r="M910" s="12"/>
      <c r="N910" s="12"/>
      <c r="O910" s="12"/>
      <c r="P910" s="55">
        <f t="shared" si="47"/>
        <v>0</v>
      </c>
    </row>
    <row r="911" spans="1:16" ht="15" customHeight="1" x14ac:dyDescent="0.25">
      <c r="A911" s="551">
        <v>328</v>
      </c>
      <c r="B911" s="558" t="s">
        <v>139</v>
      </c>
      <c r="C911" s="110">
        <v>11</v>
      </c>
      <c r="D911" s="12"/>
      <c r="E911" s="12"/>
      <c r="F911" s="12"/>
      <c r="G911" s="12"/>
      <c r="H911" s="12"/>
      <c r="I911" s="12"/>
      <c r="J911" s="12"/>
      <c r="K911" s="12"/>
      <c r="L911" s="12"/>
      <c r="M911" s="12"/>
      <c r="N911" s="12"/>
      <c r="O911" s="12"/>
      <c r="P911" s="55">
        <f t="shared" si="47"/>
        <v>0</v>
      </c>
    </row>
    <row r="912" spans="1:16" ht="15" customHeight="1" x14ac:dyDescent="0.25">
      <c r="A912" s="552"/>
      <c r="B912" s="559"/>
      <c r="C912" s="110">
        <v>12</v>
      </c>
      <c r="D912" s="12"/>
      <c r="E912" s="12"/>
      <c r="F912" s="12"/>
      <c r="G912" s="12"/>
      <c r="H912" s="12"/>
      <c r="I912" s="12"/>
      <c r="J912" s="12"/>
      <c r="K912" s="12"/>
      <c r="L912" s="12"/>
      <c r="M912" s="12"/>
      <c r="N912" s="12"/>
      <c r="O912" s="12"/>
      <c r="P912" s="55">
        <f t="shared" si="47"/>
        <v>0</v>
      </c>
    </row>
    <row r="913" spans="1:16" ht="15" customHeight="1" x14ac:dyDescent="0.25">
      <c r="A913" s="552"/>
      <c r="B913" s="559"/>
      <c r="C913" s="110">
        <v>13</v>
      </c>
      <c r="D913" s="12"/>
      <c r="E913" s="12"/>
      <c r="F913" s="12"/>
      <c r="G913" s="12"/>
      <c r="H913" s="12"/>
      <c r="I913" s="12"/>
      <c r="J913" s="12"/>
      <c r="K913" s="12"/>
      <c r="L913" s="12"/>
      <c r="M913" s="12"/>
      <c r="N913" s="12"/>
      <c r="O913" s="12"/>
      <c r="P913" s="55">
        <f t="shared" si="47"/>
        <v>0</v>
      </c>
    </row>
    <row r="914" spans="1:16" ht="15" customHeight="1" x14ac:dyDescent="0.25">
      <c r="A914" s="552"/>
      <c r="B914" s="559"/>
      <c r="C914" s="110">
        <v>14</v>
      </c>
      <c r="D914" s="12"/>
      <c r="E914" s="12"/>
      <c r="F914" s="12"/>
      <c r="G914" s="12"/>
      <c r="H914" s="12"/>
      <c r="I914" s="12"/>
      <c r="J914" s="12"/>
      <c r="K914" s="12"/>
      <c r="L914" s="12"/>
      <c r="M914" s="12"/>
      <c r="N914" s="12"/>
      <c r="O914" s="12"/>
      <c r="P914" s="55">
        <f t="shared" si="47"/>
        <v>0</v>
      </c>
    </row>
    <row r="915" spans="1:16" ht="15" customHeight="1" x14ac:dyDescent="0.25">
      <c r="A915" s="552"/>
      <c r="B915" s="559"/>
      <c r="C915" s="110">
        <v>15</v>
      </c>
      <c r="D915" s="12"/>
      <c r="E915" s="12"/>
      <c r="F915" s="12"/>
      <c r="G915" s="12"/>
      <c r="H915" s="12"/>
      <c r="I915" s="12"/>
      <c r="J915" s="12"/>
      <c r="K915" s="12"/>
      <c r="L915" s="12"/>
      <c r="M915" s="12"/>
      <c r="N915" s="12"/>
      <c r="O915" s="12"/>
      <c r="P915" s="55">
        <f t="shared" si="47"/>
        <v>0</v>
      </c>
    </row>
    <row r="916" spans="1:16" ht="15" customHeight="1" x14ac:dyDescent="0.25">
      <c r="A916" s="552"/>
      <c r="B916" s="559"/>
      <c r="C916" s="110">
        <v>16</v>
      </c>
      <c r="D916" s="12"/>
      <c r="E916" s="12"/>
      <c r="F916" s="12"/>
      <c r="G916" s="12"/>
      <c r="H916" s="12"/>
      <c r="I916" s="12"/>
      <c r="J916" s="12"/>
      <c r="K916" s="12"/>
      <c r="L916" s="12"/>
      <c r="M916" s="12"/>
      <c r="N916" s="12"/>
      <c r="O916" s="12"/>
      <c r="P916" s="55">
        <f t="shared" si="47"/>
        <v>0</v>
      </c>
    </row>
    <row r="917" spans="1:16" ht="15" customHeight="1" x14ac:dyDescent="0.25">
      <c r="A917" s="552"/>
      <c r="B917" s="559"/>
      <c r="C917" s="110">
        <v>17</v>
      </c>
      <c r="D917" s="12"/>
      <c r="E917" s="12"/>
      <c r="F917" s="12"/>
      <c r="G917" s="12"/>
      <c r="H917" s="12"/>
      <c r="I917" s="12"/>
      <c r="J917" s="12"/>
      <c r="K917" s="12"/>
      <c r="L917" s="12"/>
      <c r="M917" s="12"/>
      <c r="N917" s="12"/>
      <c r="O917" s="12"/>
      <c r="P917" s="55">
        <f t="shared" si="47"/>
        <v>0</v>
      </c>
    </row>
    <row r="918" spans="1:16" ht="15" customHeight="1" x14ac:dyDescent="0.25">
      <c r="A918" s="552"/>
      <c r="B918" s="559"/>
      <c r="C918" s="110">
        <v>25</v>
      </c>
      <c r="D918" s="12"/>
      <c r="E918" s="12"/>
      <c r="F918" s="12"/>
      <c r="G918" s="12"/>
      <c r="H918" s="12"/>
      <c r="I918" s="12"/>
      <c r="J918" s="12"/>
      <c r="K918" s="12"/>
      <c r="L918" s="12"/>
      <c r="M918" s="12"/>
      <c r="N918" s="12"/>
      <c r="O918" s="12"/>
      <c r="P918" s="55">
        <f t="shared" si="47"/>
        <v>0</v>
      </c>
    </row>
    <row r="919" spans="1:16" ht="15" customHeight="1" x14ac:dyDescent="0.25">
      <c r="A919" s="552"/>
      <c r="B919" s="559"/>
      <c r="C919" s="110">
        <v>26</v>
      </c>
      <c r="D919" s="12"/>
      <c r="E919" s="12"/>
      <c r="F919" s="12"/>
      <c r="G919" s="12"/>
      <c r="H919" s="12"/>
      <c r="I919" s="12"/>
      <c r="J919" s="12"/>
      <c r="K919" s="12"/>
      <c r="L919" s="12"/>
      <c r="M919" s="12"/>
      <c r="N919" s="12"/>
      <c r="O919" s="12"/>
      <c r="P919" s="55">
        <f t="shared" si="47"/>
        <v>0</v>
      </c>
    </row>
    <row r="920" spans="1:16" ht="15" customHeight="1" x14ac:dyDescent="0.25">
      <c r="A920" s="553"/>
      <c r="B920" s="559"/>
      <c r="C920" s="110">
        <v>27</v>
      </c>
      <c r="D920" s="12"/>
      <c r="E920" s="12"/>
      <c r="F920" s="12"/>
      <c r="G920" s="12"/>
      <c r="H920" s="12"/>
      <c r="I920" s="12"/>
      <c r="J920" s="12"/>
      <c r="K920" s="12"/>
      <c r="L920" s="12"/>
      <c r="M920" s="12"/>
      <c r="N920" s="12"/>
      <c r="O920" s="12"/>
      <c r="P920" s="55">
        <f t="shared" si="47"/>
        <v>0</v>
      </c>
    </row>
    <row r="921" spans="1:16" ht="15" customHeight="1" x14ac:dyDescent="0.25">
      <c r="A921" s="551">
        <v>329</v>
      </c>
      <c r="B921" s="558" t="s">
        <v>140</v>
      </c>
      <c r="C921" s="110">
        <v>11</v>
      </c>
      <c r="D921" s="12"/>
      <c r="E921" s="12"/>
      <c r="F921" s="12"/>
      <c r="G921" s="12"/>
      <c r="H921" s="12"/>
      <c r="I921" s="12"/>
      <c r="J921" s="12"/>
      <c r="K921" s="12"/>
      <c r="L921" s="12"/>
      <c r="M921" s="12"/>
      <c r="N921" s="12"/>
      <c r="O921" s="12"/>
      <c r="P921" s="55">
        <f t="shared" si="47"/>
        <v>0</v>
      </c>
    </row>
    <row r="922" spans="1:16" ht="15" customHeight="1" x14ac:dyDescent="0.25">
      <c r="A922" s="552"/>
      <c r="B922" s="559"/>
      <c r="C922" s="110">
        <v>12</v>
      </c>
      <c r="D922" s="12"/>
      <c r="E922" s="12"/>
      <c r="F922" s="12"/>
      <c r="G922" s="12"/>
      <c r="H922" s="12"/>
      <c r="I922" s="12"/>
      <c r="J922" s="12"/>
      <c r="K922" s="12"/>
      <c r="L922" s="12"/>
      <c r="M922" s="12"/>
      <c r="N922" s="12"/>
      <c r="O922" s="12"/>
      <c r="P922" s="55">
        <f t="shared" si="47"/>
        <v>0</v>
      </c>
    </row>
    <row r="923" spans="1:16" ht="15" customHeight="1" x14ac:dyDescent="0.25">
      <c r="A923" s="552"/>
      <c r="B923" s="559"/>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2"/>
      <c r="B924" s="559"/>
      <c r="C924" s="110">
        <v>14</v>
      </c>
      <c r="D924" s="12"/>
      <c r="E924" s="12"/>
      <c r="F924" s="12"/>
      <c r="G924" s="12"/>
      <c r="H924" s="12"/>
      <c r="I924" s="12"/>
      <c r="J924" s="12"/>
      <c r="K924" s="12"/>
      <c r="L924" s="12"/>
      <c r="M924" s="12"/>
      <c r="N924" s="12"/>
      <c r="O924" s="12"/>
      <c r="P924" s="55">
        <f t="shared" si="49"/>
        <v>0</v>
      </c>
    </row>
    <row r="925" spans="1:16" ht="15" customHeight="1" x14ac:dyDescent="0.25">
      <c r="A925" s="552"/>
      <c r="B925" s="559"/>
      <c r="C925" s="110">
        <v>15</v>
      </c>
      <c r="D925" s="12"/>
      <c r="E925" s="12"/>
      <c r="F925" s="12"/>
      <c r="G925" s="12"/>
      <c r="H925" s="12"/>
      <c r="I925" s="12"/>
      <c r="J925" s="12"/>
      <c r="K925" s="12"/>
      <c r="L925" s="12"/>
      <c r="M925" s="12"/>
      <c r="N925" s="12"/>
      <c r="O925" s="12"/>
      <c r="P925" s="55">
        <f t="shared" si="49"/>
        <v>0</v>
      </c>
    </row>
    <row r="926" spans="1:16" ht="15" customHeight="1" x14ac:dyDescent="0.25">
      <c r="A926" s="552"/>
      <c r="B926" s="559"/>
      <c r="C926" s="110">
        <v>16</v>
      </c>
      <c r="D926" s="12"/>
      <c r="E926" s="12"/>
      <c r="F926" s="12"/>
      <c r="G926" s="12"/>
      <c r="H926" s="12"/>
      <c r="I926" s="12"/>
      <c r="J926" s="12"/>
      <c r="K926" s="12"/>
      <c r="L926" s="12"/>
      <c r="M926" s="12"/>
      <c r="N926" s="12"/>
      <c r="O926" s="12"/>
      <c r="P926" s="55">
        <f t="shared" si="49"/>
        <v>0</v>
      </c>
    </row>
    <row r="927" spans="1:16" ht="15" customHeight="1" x14ac:dyDescent="0.25">
      <c r="A927" s="552"/>
      <c r="B927" s="559"/>
      <c r="C927" s="110">
        <v>17</v>
      </c>
      <c r="D927" s="12"/>
      <c r="E927" s="12"/>
      <c r="F927" s="12"/>
      <c r="G927" s="12"/>
      <c r="H927" s="12"/>
      <c r="I927" s="12"/>
      <c r="J927" s="12"/>
      <c r="K927" s="12"/>
      <c r="L927" s="12"/>
      <c r="M927" s="12"/>
      <c r="N927" s="12"/>
      <c r="O927" s="12"/>
      <c r="P927" s="55">
        <f t="shared" si="49"/>
        <v>0</v>
      </c>
    </row>
    <row r="928" spans="1:16" ht="15" customHeight="1" x14ac:dyDescent="0.25">
      <c r="A928" s="552"/>
      <c r="B928" s="559"/>
      <c r="C928" s="110">
        <v>25</v>
      </c>
      <c r="D928" s="66"/>
      <c r="E928" s="66"/>
      <c r="F928" s="66"/>
      <c r="G928" s="66"/>
      <c r="H928" s="66"/>
      <c r="I928" s="66"/>
      <c r="J928" s="66"/>
      <c r="K928" s="66"/>
      <c r="L928" s="66"/>
      <c r="M928" s="66"/>
      <c r="N928" s="66"/>
      <c r="O928" s="66"/>
      <c r="P928" s="55">
        <f t="shared" si="49"/>
        <v>0</v>
      </c>
    </row>
    <row r="929" spans="1:16" ht="15" customHeight="1" x14ac:dyDescent="0.25">
      <c r="A929" s="552"/>
      <c r="B929" s="559"/>
      <c r="C929" s="110">
        <v>26</v>
      </c>
      <c r="D929" s="66"/>
      <c r="E929" s="66"/>
      <c r="F929" s="66"/>
      <c r="G929" s="66"/>
      <c r="H929" s="66"/>
      <c r="I929" s="66"/>
      <c r="J929" s="66"/>
      <c r="K929" s="66"/>
      <c r="L929" s="66"/>
      <c r="M929" s="66"/>
      <c r="N929" s="66"/>
      <c r="O929" s="66"/>
      <c r="P929" s="55">
        <f t="shared" si="49"/>
        <v>0</v>
      </c>
    </row>
    <row r="930" spans="1:16" ht="15" customHeight="1" x14ac:dyDescent="0.25">
      <c r="A930" s="553"/>
      <c r="B930" s="559"/>
      <c r="C930" s="110">
        <v>27</v>
      </c>
      <c r="D930" s="66"/>
      <c r="E930" s="66"/>
      <c r="F930" s="66"/>
      <c r="G930" s="66"/>
      <c r="H930" s="66"/>
      <c r="I930" s="66"/>
      <c r="J930" s="66"/>
      <c r="K930" s="66"/>
      <c r="L930" s="66"/>
      <c r="M930" s="66"/>
      <c r="N930" s="66"/>
      <c r="O930" s="66"/>
      <c r="P930" s="55">
        <f t="shared" si="49"/>
        <v>0</v>
      </c>
    </row>
    <row r="931" spans="1:16" x14ac:dyDescent="0.25">
      <c r="A931" s="74">
        <v>3300</v>
      </c>
      <c r="B931" s="305" t="s">
        <v>2296</v>
      </c>
      <c r="C931" s="306"/>
      <c r="D931" s="72">
        <f>SUM(D932:D1021)</f>
        <v>34800</v>
      </c>
      <c r="E931" s="72">
        <f t="shared" ref="E931:O931" si="50">SUM(E932:E1021)</f>
        <v>132750</v>
      </c>
      <c r="F931" s="72">
        <f t="shared" si="50"/>
        <v>34800</v>
      </c>
      <c r="G931" s="72">
        <f t="shared" si="50"/>
        <v>34800</v>
      </c>
      <c r="H931" s="72">
        <f t="shared" si="50"/>
        <v>161287</v>
      </c>
      <c r="I931" s="72">
        <f t="shared" si="50"/>
        <v>34800</v>
      </c>
      <c r="J931" s="72">
        <f t="shared" si="50"/>
        <v>34800</v>
      </c>
      <c r="K931" s="72">
        <f t="shared" si="50"/>
        <v>111303</v>
      </c>
      <c r="L931" s="72">
        <f t="shared" si="50"/>
        <v>34800</v>
      </c>
      <c r="M931" s="72">
        <f t="shared" si="50"/>
        <v>34800</v>
      </c>
      <c r="N931" s="72">
        <f t="shared" si="50"/>
        <v>110397</v>
      </c>
      <c r="O931" s="72">
        <f t="shared" si="50"/>
        <v>34800</v>
      </c>
      <c r="P931" s="72">
        <f>SUM(P932:P1021)</f>
        <v>794137</v>
      </c>
    </row>
    <row r="932" spans="1:16" ht="15" customHeight="1" x14ac:dyDescent="0.25">
      <c r="A932" s="551">
        <v>331</v>
      </c>
      <c r="B932" s="558"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25">
      <c r="A933" s="552"/>
      <c r="B933" s="559"/>
      <c r="C933" s="110">
        <v>12</v>
      </c>
      <c r="D933" s="12"/>
      <c r="E933" s="12"/>
      <c r="F933" s="12"/>
      <c r="G933" s="12"/>
      <c r="H933" s="12"/>
      <c r="I933" s="12"/>
      <c r="J933" s="12"/>
      <c r="K933" s="12"/>
      <c r="L933" s="12"/>
      <c r="M933" s="12"/>
      <c r="N933" s="12"/>
      <c r="O933" s="12"/>
      <c r="P933" s="55">
        <f t="shared" si="51"/>
        <v>0</v>
      </c>
    </row>
    <row r="934" spans="1:16" ht="15" customHeight="1" x14ac:dyDescent="0.25">
      <c r="A934" s="552"/>
      <c r="B934" s="559"/>
      <c r="C934" s="110">
        <v>13</v>
      </c>
      <c r="D934" s="12"/>
      <c r="E934" s="12"/>
      <c r="F934" s="12"/>
      <c r="G934" s="12"/>
      <c r="H934" s="12"/>
      <c r="I934" s="12"/>
      <c r="J934" s="12"/>
      <c r="K934" s="12"/>
      <c r="L934" s="12"/>
      <c r="M934" s="12"/>
      <c r="N934" s="12"/>
      <c r="O934" s="12"/>
      <c r="P934" s="55">
        <f t="shared" si="51"/>
        <v>0</v>
      </c>
    </row>
    <row r="935" spans="1:16" ht="15" customHeight="1" x14ac:dyDescent="0.25">
      <c r="A935" s="552"/>
      <c r="B935" s="559"/>
      <c r="C935" s="110">
        <v>14</v>
      </c>
      <c r="D935" s="12"/>
      <c r="E935" s="12"/>
      <c r="F935" s="12"/>
      <c r="G935" s="12"/>
      <c r="H935" s="12"/>
      <c r="I935" s="12"/>
      <c r="J935" s="12"/>
      <c r="K935" s="12"/>
      <c r="L935" s="12"/>
      <c r="M935" s="12"/>
      <c r="N935" s="12"/>
      <c r="O935" s="12"/>
      <c r="P935" s="55">
        <f t="shared" si="51"/>
        <v>0</v>
      </c>
    </row>
    <row r="936" spans="1:16" ht="15" customHeight="1" x14ac:dyDescent="0.25">
      <c r="A936" s="552"/>
      <c r="B936" s="559"/>
      <c r="C936" s="110">
        <v>15</v>
      </c>
      <c r="D936" s="12"/>
      <c r="E936" s="12">
        <v>97950</v>
      </c>
      <c r="F936" s="12"/>
      <c r="G936" s="12"/>
      <c r="H936" s="12">
        <v>80507</v>
      </c>
      <c r="I936" s="12"/>
      <c r="J936" s="12"/>
      <c r="K936" s="12">
        <v>76503</v>
      </c>
      <c r="L936" s="12"/>
      <c r="M936" s="12"/>
      <c r="N936" s="12">
        <v>75597</v>
      </c>
      <c r="O936" s="12"/>
      <c r="P936" s="55">
        <f t="shared" si="51"/>
        <v>330557</v>
      </c>
    </row>
    <row r="937" spans="1:16" ht="15" customHeight="1" x14ac:dyDescent="0.25">
      <c r="A937" s="552"/>
      <c r="B937" s="559"/>
      <c r="C937" s="110">
        <v>16</v>
      </c>
      <c r="D937" s="12"/>
      <c r="E937" s="12"/>
      <c r="F937" s="12"/>
      <c r="G937" s="12"/>
      <c r="H937" s="12"/>
      <c r="I937" s="12"/>
      <c r="J937" s="12"/>
      <c r="K937" s="12"/>
      <c r="L937" s="12"/>
      <c r="M937" s="12"/>
      <c r="N937" s="12"/>
      <c r="O937" s="12"/>
      <c r="P937" s="55">
        <f t="shared" si="51"/>
        <v>0</v>
      </c>
    </row>
    <row r="938" spans="1:16" ht="15" customHeight="1" x14ac:dyDescent="0.25">
      <c r="A938" s="552"/>
      <c r="B938" s="559"/>
      <c r="C938" s="110">
        <v>17</v>
      </c>
      <c r="D938" s="12"/>
      <c r="E938" s="12"/>
      <c r="F938" s="12"/>
      <c r="G938" s="12"/>
      <c r="H938" s="12"/>
      <c r="I938" s="12"/>
      <c r="J938" s="12"/>
      <c r="K938" s="12"/>
      <c r="L938" s="12"/>
      <c r="M938" s="12"/>
      <c r="N938" s="12"/>
      <c r="O938" s="12"/>
      <c r="P938" s="55">
        <f t="shared" si="51"/>
        <v>0</v>
      </c>
    </row>
    <row r="939" spans="1:16" ht="15" customHeight="1" x14ac:dyDescent="0.25">
      <c r="A939" s="552"/>
      <c r="B939" s="559"/>
      <c r="C939" s="110">
        <v>25</v>
      </c>
      <c r="D939" s="12"/>
      <c r="E939" s="12"/>
      <c r="F939" s="12"/>
      <c r="G939" s="12"/>
      <c r="H939" s="12"/>
      <c r="I939" s="12"/>
      <c r="J939" s="12"/>
      <c r="K939" s="12"/>
      <c r="L939" s="12"/>
      <c r="M939" s="12"/>
      <c r="N939" s="12"/>
      <c r="O939" s="12"/>
      <c r="P939" s="55">
        <f t="shared" si="51"/>
        <v>0</v>
      </c>
    </row>
    <row r="940" spans="1:16" ht="15" customHeight="1" x14ac:dyDescent="0.25">
      <c r="A940" s="552"/>
      <c r="B940" s="559"/>
      <c r="C940" s="110">
        <v>26</v>
      </c>
      <c r="D940" s="12"/>
      <c r="E940" s="12"/>
      <c r="F940" s="12"/>
      <c r="G940" s="12"/>
      <c r="H940" s="12"/>
      <c r="I940" s="12"/>
      <c r="J940" s="12"/>
      <c r="K940" s="12"/>
      <c r="L940" s="12"/>
      <c r="M940" s="12"/>
      <c r="N940" s="12"/>
      <c r="O940" s="12"/>
      <c r="P940" s="55">
        <f t="shared" si="51"/>
        <v>0</v>
      </c>
    </row>
    <row r="941" spans="1:16" ht="15" customHeight="1" x14ac:dyDescent="0.25">
      <c r="A941" s="553"/>
      <c r="B941" s="559"/>
      <c r="C941" s="110">
        <v>27</v>
      </c>
      <c r="D941" s="12"/>
      <c r="E941" s="12"/>
      <c r="F941" s="12"/>
      <c r="G941" s="12"/>
      <c r="H941" s="12"/>
      <c r="I941" s="12"/>
      <c r="J941" s="12"/>
      <c r="K941" s="12"/>
      <c r="L941" s="12"/>
      <c r="M941" s="12"/>
      <c r="N941" s="12"/>
      <c r="O941" s="12"/>
      <c r="P941" s="55">
        <f t="shared" si="51"/>
        <v>0</v>
      </c>
    </row>
    <row r="942" spans="1:16" ht="15" customHeight="1" x14ac:dyDescent="0.25">
      <c r="A942" s="551">
        <v>332</v>
      </c>
      <c r="B942" s="558" t="s">
        <v>143</v>
      </c>
      <c r="C942" s="110">
        <v>11</v>
      </c>
      <c r="D942" s="12"/>
      <c r="E942" s="12"/>
      <c r="F942" s="12"/>
      <c r="G942" s="12"/>
      <c r="H942" s="12"/>
      <c r="I942" s="12"/>
      <c r="J942" s="12"/>
      <c r="K942" s="12"/>
      <c r="L942" s="12"/>
      <c r="M942" s="12"/>
      <c r="N942" s="12"/>
      <c r="O942" s="12"/>
      <c r="P942" s="55">
        <f t="shared" si="51"/>
        <v>0</v>
      </c>
    </row>
    <row r="943" spans="1:16" ht="15" customHeight="1" x14ac:dyDescent="0.25">
      <c r="A943" s="552"/>
      <c r="B943" s="559"/>
      <c r="C943" s="110">
        <v>12</v>
      </c>
      <c r="D943" s="12"/>
      <c r="E943" s="12"/>
      <c r="F943" s="12"/>
      <c r="G943" s="12"/>
      <c r="H943" s="12"/>
      <c r="I943" s="12"/>
      <c r="J943" s="12"/>
      <c r="K943" s="12"/>
      <c r="L943" s="12"/>
      <c r="M943" s="12"/>
      <c r="N943" s="12"/>
      <c r="O943" s="12"/>
      <c r="P943" s="55">
        <f t="shared" si="51"/>
        <v>0</v>
      </c>
    </row>
    <row r="944" spans="1:16" ht="15" customHeight="1" x14ac:dyDescent="0.25">
      <c r="A944" s="552"/>
      <c r="B944" s="559"/>
      <c r="C944" s="110">
        <v>13</v>
      </c>
      <c r="D944" s="12"/>
      <c r="E944" s="12"/>
      <c r="F944" s="12"/>
      <c r="G944" s="12"/>
      <c r="H944" s="12"/>
      <c r="I944" s="12"/>
      <c r="J944" s="12"/>
      <c r="K944" s="12"/>
      <c r="L944" s="12"/>
      <c r="M944" s="12"/>
      <c r="N944" s="12"/>
      <c r="O944" s="12"/>
      <c r="P944" s="55">
        <f t="shared" si="51"/>
        <v>0</v>
      </c>
    </row>
    <row r="945" spans="1:16" ht="15" customHeight="1" x14ac:dyDescent="0.25">
      <c r="A945" s="552"/>
      <c r="B945" s="559"/>
      <c r="C945" s="110">
        <v>14</v>
      </c>
      <c r="D945" s="12"/>
      <c r="E945" s="12"/>
      <c r="F945" s="12"/>
      <c r="G945" s="12"/>
      <c r="H945" s="12"/>
      <c r="I945" s="12"/>
      <c r="J945" s="12"/>
      <c r="K945" s="12"/>
      <c r="L945" s="12"/>
      <c r="M945" s="12"/>
      <c r="N945" s="12"/>
      <c r="O945" s="12"/>
      <c r="P945" s="55">
        <f t="shared" si="51"/>
        <v>0</v>
      </c>
    </row>
    <row r="946" spans="1:16" ht="15" customHeight="1" x14ac:dyDescent="0.25">
      <c r="A946" s="552"/>
      <c r="B946" s="559"/>
      <c r="C946" s="110">
        <v>15</v>
      </c>
      <c r="D946" s="12"/>
      <c r="E946" s="12"/>
      <c r="F946" s="12"/>
      <c r="G946" s="12"/>
      <c r="H946" s="12">
        <v>45980</v>
      </c>
      <c r="I946" s="12"/>
      <c r="J946" s="12"/>
      <c r="K946" s="12"/>
      <c r="L946" s="12"/>
      <c r="M946" s="12"/>
      <c r="N946" s="12"/>
      <c r="O946" s="12"/>
      <c r="P946" s="55">
        <f t="shared" si="51"/>
        <v>45980</v>
      </c>
    </row>
    <row r="947" spans="1:16" ht="15" customHeight="1" x14ac:dyDescent="0.25">
      <c r="A947" s="552"/>
      <c r="B947" s="559"/>
      <c r="C947" s="110">
        <v>16</v>
      </c>
      <c r="D947" s="12"/>
      <c r="E947" s="12"/>
      <c r="F947" s="12"/>
      <c r="G947" s="12"/>
      <c r="H947" s="12"/>
      <c r="I947" s="12"/>
      <c r="J947" s="12"/>
      <c r="K947" s="12"/>
      <c r="L947" s="12"/>
      <c r="M947" s="12"/>
      <c r="N947" s="12"/>
      <c r="O947" s="12"/>
      <c r="P947" s="55">
        <f t="shared" si="51"/>
        <v>0</v>
      </c>
    </row>
    <row r="948" spans="1:16" ht="15" customHeight="1" x14ac:dyDescent="0.25">
      <c r="A948" s="552"/>
      <c r="B948" s="559"/>
      <c r="C948" s="110">
        <v>17</v>
      </c>
      <c r="D948" s="12"/>
      <c r="E948" s="12"/>
      <c r="F948" s="12"/>
      <c r="G948" s="12"/>
      <c r="H948" s="12"/>
      <c r="I948" s="12"/>
      <c r="J948" s="12"/>
      <c r="K948" s="12"/>
      <c r="L948" s="12"/>
      <c r="M948" s="12"/>
      <c r="N948" s="12"/>
      <c r="O948" s="12"/>
      <c r="P948" s="55">
        <f t="shared" si="51"/>
        <v>0</v>
      </c>
    </row>
    <row r="949" spans="1:16" ht="15" customHeight="1" x14ac:dyDescent="0.25">
      <c r="A949" s="552"/>
      <c r="B949" s="559"/>
      <c r="C949" s="110">
        <v>25</v>
      </c>
      <c r="D949" s="12"/>
      <c r="E949" s="12"/>
      <c r="F949" s="12"/>
      <c r="G949" s="12"/>
      <c r="H949" s="12"/>
      <c r="I949" s="12"/>
      <c r="J949" s="12"/>
      <c r="K949" s="12"/>
      <c r="L949" s="12"/>
      <c r="M949" s="12"/>
      <c r="N949" s="12"/>
      <c r="O949" s="12"/>
      <c r="P949" s="55">
        <f t="shared" si="51"/>
        <v>0</v>
      </c>
    </row>
    <row r="950" spans="1:16" ht="15" customHeight="1" x14ac:dyDescent="0.25">
      <c r="A950" s="552"/>
      <c r="B950" s="559"/>
      <c r="C950" s="110">
        <v>26</v>
      </c>
      <c r="D950" s="12"/>
      <c r="E950" s="12"/>
      <c r="F950" s="12"/>
      <c r="G950" s="12"/>
      <c r="H950" s="12"/>
      <c r="I950" s="12"/>
      <c r="J950" s="12"/>
      <c r="K950" s="12"/>
      <c r="L950" s="12"/>
      <c r="M950" s="12"/>
      <c r="N950" s="12"/>
      <c r="O950" s="12"/>
      <c r="P950" s="55">
        <f t="shared" si="51"/>
        <v>0</v>
      </c>
    </row>
    <row r="951" spans="1:16" ht="15" customHeight="1" x14ac:dyDescent="0.25">
      <c r="A951" s="553"/>
      <c r="B951" s="559"/>
      <c r="C951" s="110">
        <v>27</v>
      </c>
      <c r="D951" s="12"/>
      <c r="E951" s="12"/>
      <c r="F951" s="12"/>
      <c r="G951" s="12"/>
      <c r="H951" s="12"/>
      <c r="I951" s="12"/>
      <c r="J951" s="12"/>
      <c r="K951" s="12"/>
      <c r="L951" s="12"/>
      <c r="M951" s="12"/>
      <c r="N951" s="12"/>
      <c r="O951" s="12"/>
      <c r="P951" s="55">
        <f t="shared" si="51"/>
        <v>0</v>
      </c>
    </row>
    <row r="952" spans="1:16" ht="15" customHeight="1" x14ac:dyDescent="0.25">
      <c r="A952" s="551">
        <v>333</v>
      </c>
      <c r="B952" s="558" t="s">
        <v>144</v>
      </c>
      <c r="C952" s="110">
        <v>11</v>
      </c>
      <c r="D952" s="12"/>
      <c r="E952" s="12"/>
      <c r="F952" s="12"/>
      <c r="G952" s="12"/>
      <c r="H952" s="12"/>
      <c r="I952" s="12"/>
      <c r="J952" s="12"/>
      <c r="K952" s="12"/>
      <c r="L952" s="12"/>
      <c r="M952" s="12"/>
      <c r="N952" s="12"/>
      <c r="O952" s="12"/>
      <c r="P952" s="55">
        <f t="shared" si="51"/>
        <v>0</v>
      </c>
    </row>
    <row r="953" spans="1:16" ht="15" customHeight="1" x14ac:dyDescent="0.25">
      <c r="A953" s="552"/>
      <c r="B953" s="559"/>
      <c r="C953" s="110">
        <v>12</v>
      </c>
      <c r="D953" s="12"/>
      <c r="E953" s="12"/>
      <c r="F953" s="12"/>
      <c r="G953" s="12"/>
      <c r="H953" s="12"/>
      <c r="I953" s="12"/>
      <c r="J953" s="12"/>
      <c r="K953" s="12"/>
      <c r="L953" s="12"/>
      <c r="M953" s="12"/>
      <c r="N953" s="12"/>
      <c r="O953" s="12"/>
      <c r="P953" s="55">
        <f t="shared" si="51"/>
        <v>0</v>
      </c>
    </row>
    <row r="954" spans="1:16" ht="15" customHeight="1" x14ac:dyDescent="0.25">
      <c r="A954" s="552"/>
      <c r="B954" s="559"/>
      <c r="C954" s="110">
        <v>13</v>
      </c>
      <c r="D954" s="12"/>
      <c r="E954" s="12"/>
      <c r="F954" s="12"/>
      <c r="G954" s="12"/>
      <c r="H954" s="12"/>
      <c r="I954" s="12"/>
      <c r="J954" s="12"/>
      <c r="K954" s="12"/>
      <c r="L954" s="12"/>
      <c r="M954" s="12"/>
      <c r="N954" s="12"/>
      <c r="O954" s="12"/>
      <c r="P954" s="55">
        <f t="shared" si="51"/>
        <v>0</v>
      </c>
    </row>
    <row r="955" spans="1:16" ht="15" customHeight="1" x14ac:dyDescent="0.25">
      <c r="A955" s="552"/>
      <c r="B955" s="559"/>
      <c r="C955" s="110">
        <v>14</v>
      </c>
      <c r="D955" s="12"/>
      <c r="E955" s="12"/>
      <c r="F955" s="12"/>
      <c r="G955" s="12"/>
      <c r="H955" s="12"/>
      <c r="I955" s="12"/>
      <c r="J955" s="12"/>
      <c r="K955" s="12"/>
      <c r="L955" s="12"/>
      <c r="M955" s="12"/>
      <c r="N955" s="12"/>
      <c r="O955" s="12"/>
      <c r="P955" s="55">
        <f t="shared" si="51"/>
        <v>0</v>
      </c>
    </row>
    <row r="956" spans="1:16" ht="15" customHeight="1" x14ac:dyDescent="0.25">
      <c r="A956" s="552"/>
      <c r="B956" s="559"/>
      <c r="C956" s="110">
        <v>15</v>
      </c>
      <c r="D956" s="12"/>
      <c r="E956" s="12"/>
      <c r="F956" s="12"/>
      <c r="G956" s="12"/>
      <c r="H956" s="12"/>
      <c r="I956" s="12"/>
      <c r="J956" s="12"/>
      <c r="K956" s="12"/>
      <c r="L956" s="12"/>
      <c r="M956" s="12"/>
      <c r="N956" s="12"/>
      <c r="O956" s="12"/>
      <c r="P956" s="55">
        <f t="shared" si="51"/>
        <v>0</v>
      </c>
    </row>
    <row r="957" spans="1:16" ht="15" customHeight="1" x14ac:dyDescent="0.25">
      <c r="A957" s="552"/>
      <c r="B957" s="559"/>
      <c r="C957" s="110">
        <v>16</v>
      </c>
      <c r="D957" s="12"/>
      <c r="E957" s="12"/>
      <c r="F957" s="12"/>
      <c r="G957" s="12"/>
      <c r="H957" s="12"/>
      <c r="I957" s="12"/>
      <c r="J957" s="12"/>
      <c r="K957" s="12"/>
      <c r="L957" s="12"/>
      <c r="M957" s="12"/>
      <c r="N957" s="12"/>
      <c r="O957" s="12"/>
      <c r="P957" s="55">
        <f t="shared" si="51"/>
        <v>0</v>
      </c>
    </row>
    <row r="958" spans="1:16" ht="15" customHeight="1" x14ac:dyDescent="0.25">
      <c r="A958" s="552"/>
      <c r="B958" s="559"/>
      <c r="C958" s="110">
        <v>17</v>
      </c>
      <c r="D958" s="12"/>
      <c r="E958" s="12"/>
      <c r="F958" s="12"/>
      <c r="G958" s="12"/>
      <c r="H958" s="12"/>
      <c r="I958" s="12"/>
      <c r="J958" s="12"/>
      <c r="K958" s="12"/>
      <c r="L958" s="12"/>
      <c r="M958" s="12"/>
      <c r="N958" s="12"/>
      <c r="O958" s="12"/>
      <c r="P958" s="55">
        <f t="shared" si="51"/>
        <v>0</v>
      </c>
    </row>
    <row r="959" spans="1:16" ht="15" customHeight="1" x14ac:dyDescent="0.25">
      <c r="A959" s="552"/>
      <c r="B959" s="559"/>
      <c r="C959" s="110">
        <v>25</v>
      </c>
      <c r="D959" s="12"/>
      <c r="E959" s="12"/>
      <c r="F959" s="12"/>
      <c r="G959" s="12"/>
      <c r="H959" s="12"/>
      <c r="I959" s="12"/>
      <c r="J959" s="12"/>
      <c r="K959" s="12"/>
      <c r="L959" s="12"/>
      <c r="M959" s="12"/>
      <c r="N959" s="12"/>
      <c r="O959" s="12"/>
      <c r="P959" s="55">
        <f t="shared" si="51"/>
        <v>0</v>
      </c>
    </row>
    <row r="960" spans="1:16" ht="15" customHeight="1" x14ac:dyDescent="0.25">
      <c r="A960" s="552"/>
      <c r="B960" s="559"/>
      <c r="C960" s="110">
        <v>26</v>
      </c>
      <c r="D960" s="12"/>
      <c r="E960" s="12"/>
      <c r="F960" s="12"/>
      <c r="G960" s="12"/>
      <c r="H960" s="12"/>
      <c r="I960" s="12"/>
      <c r="J960" s="12"/>
      <c r="K960" s="12"/>
      <c r="L960" s="12"/>
      <c r="M960" s="12"/>
      <c r="N960" s="12"/>
      <c r="O960" s="12"/>
      <c r="P960" s="55">
        <f t="shared" si="51"/>
        <v>0</v>
      </c>
    </row>
    <row r="961" spans="1:16" ht="15" customHeight="1" x14ac:dyDescent="0.25">
      <c r="A961" s="553"/>
      <c r="B961" s="559"/>
      <c r="C961" s="110">
        <v>27</v>
      </c>
      <c r="D961" s="12"/>
      <c r="E961" s="12"/>
      <c r="F961" s="12"/>
      <c r="G961" s="12"/>
      <c r="H961" s="12"/>
      <c r="I961" s="12"/>
      <c r="J961" s="12"/>
      <c r="K961" s="12"/>
      <c r="L961" s="12"/>
      <c r="M961" s="12"/>
      <c r="N961" s="12"/>
      <c r="O961" s="12"/>
      <c r="P961" s="55">
        <f t="shared" si="51"/>
        <v>0</v>
      </c>
    </row>
    <row r="962" spans="1:16" ht="15" customHeight="1" x14ac:dyDescent="0.25">
      <c r="A962" s="551">
        <v>334</v>
      </c>
      <c r="B962" s="558" t="s">
        <v>145</v>
      </c>
      <c r="C962" s="110">
        <v>11</v>
      </c>
      <c r="D962" s="12"/>
      <c r="E962" s="12"/>
      <c r="F962" s="12"/>
      <c r="G962" s="12"/>
      <c r="H962" s="12"/>
      <c r="I962" s="12"/>
      <c r="J962" s="12"/>
      <c r="K962" s="12"/>
      <c r="L962" s="12"/>
      <c r="M962" s="12"/>
      <c r="N962" s="12"/>
      <c r="O962" s="12"/>
      <c r="P962" s="55">
        <f t="shared" si="51"/>
        <v>0</v>
      </c>
    </row>
    <row r="963" spans="1:16" ht="15" customHeight="1" x14ac:dyDescent="0.25">
      <c r="A963" s="552"/>
      <c r="B963" s="559"/>
      <c r="C963" s="110">
        <v>12</v>
      </c>
      <c r="D963" s="12"/>
      <c r="E963" s="12"/>
      <c r="F963" s="12"/>
      <c r="G963" s="12"/>
      <c r="H963" s="12"/>
      <c r="I963" s="12"/>
      <c r="J963" s="12"/>
      <c r="K963" s="12"/>
      <c r="L963" s="12"/>
      <c r="M963" s="12"/>
      <c r="N963" s="12"/>
      <c r="O963" s="12"/>
      <c r="P963" s="55">
        <f t="shared" si="51"/>
        <v>0</v>
      </c>
    </row>
    <row r="964" spans="1:16" ht="15" customHeight="1" x14ac:dyDescent="0.25">
      <c r="A964" s="552"/>
      <c r="B964" s="559"/>
      <c r="C964" s="110">
        <v>13</v>
      </c>
      <c r="D964" s="12"/>
      <c r="E964" s="12"/>
      <c r="F964" s="12"/>
      <c r="G964" s="12"/>
      <c r="H964" s="12"/>
      <c r="I964" s="12"/>
      <c r="J964" s="12"/>
      <c r="K964" s="12"/>
      <c r="L964" s="12"/>
      <c r="M964" s="12"/>
      <c r="N964" s="12"/>
      <c r="O964" s="12"/>
      <c r="P964" s="55">
        <f t="shared" si="51"/>
        <v>0</v>
      </c>
    </row>
    <row r="965" spans="1:16" ht="15" customHeight="1" x14ac:dyDescent="0.25">
      <c r="A965" s="552"/>
      <c r="B965" s="559"/>
      <c r="C965" s="110">
        <v>14</v>
      </c>
      <c r="D965" s="12"/>
      <c r="E965" s="12"/>
      <c r="F965" s="12"/>
      <c r="G965" s="12"/>
      <c r="H965" s="12"/>
      <c r="I965" s="12"/>
      <c r="J965" s="12"/>
      <c r="K965" s="12"/>
      <c r="L965" s="12"/>
      <c r="M965" s="12"/>
      <c r="N965" s="12"/>
      <c r="O965" s="12"/>
      <c r="P965" s="55">
        <f t="shared" si="51"/>
        <v>0</v>
      </c>
    </row>
    <row r="966" spans="1:16" ht="15" customHeight="1" x14ac:dyDescent="0.25">
      <c r="A966" s="552"/>
      <c r="B966" s="559"/>
      <c r="C966" s="110">
        <v>15</v>
      </c>
      <c r="D966" s="12">
        <v>34800</v>
      </c>
      <c r="E966" s="12">
        <v>34800</v>
      </c>
      <c r="F966" s="12">
        <v>34800</v>
      </c>
      <c r="G966" s="12">
        <v>34800</v>
      </c>
      <c r="H966" s="12">
        <v>34800</v>
      </c>
      <c r="I966" s="12">
        <v>34800</v>
      </c>
      <c r="J966" s="12">
        <v>34800</v>
      </c>
      <c r="K966" s="12">
        <v>34800</v>
      </c>
      <c r="L966" s="12">
        <v>34800</v>
      </c>
      <c r="M966" s="12">
        <v>34800</v>
      </c>
      <c r="N966" s="12">
        <v>34800</v>
      </c>
      <c r="O966" s="12">
        <v>34800</v>
      </c>
      <c r="P966" s="55">
        <f t="shared" si="51"/>
        <v>417600</v>
      </c>
    </row>
    <row r="967" spans="1:16" ht="15" customHeight="1" x14ac:dyDescent="0.25">
      <c r="A967" s="552"/>
      <c r="B967" s="559"/>
      <c r="C967" s="110">
        <v>16</v>
      </c>
      <c r="D967" s="12"/>
      <c r="E967" s="12"/>
      <c r="F967" s="12"/>
      <c r="G967" s="12"/>
      <c r="H967" s="12"/>
      <c r="I967" s="12"/>
      <c r="J967" s="12"/>
      <c r="K967" s="12"/>
      <c r="L967" s="12"/>
      <c r="M967" s="12"/>
      <c r="N967" s="12"/>
      <c r="O967" s="12"/>
      <c r="P967" s="55">
        <f t="shared" si="51"/>
        <v>0</v>
      </c>
    </row>
    <row r="968" spans="1:16" ht="15" customHeight="1" x14ac:dyDescent="0.25">
      <c r="A968" s="552"/>
      <c r="B968" s="559"/>
      <c r="C968" s="110">
        <v>17</v>
      </c>
      <c r="D968" s="12"/>
      <c r="E968" s="12"/>
      <c r="F968" s="12"/>
      <c r="G968" s="12"/>
      <c r="H968" s="12"/>
      <c r="I968" s="12"/>
      <c r="J968" s="12"/>
      <c r="K968" s="12"/>
      <c r="L968" s="12"/>
      <c r="M968" s="12"/>
      <c r="N968" s="12"/>
      <c r="O968" s="12"/>
      <c r="P968" s="55">
        <f t="shared" si="51"/>
        <v>0</v>
      </c>
    </row>
    <row r="969" spans="1:16" ht="15" customHeight="1" x14ac:dyDescent="0.25">
      <c r="A969" s="552"/>
      <c r="B969" s="559"/>
      <c r="C969" s="110">
        <v>25</v>
      </c>
      <c r="D969" s="12"/>
      <c r="E969" s="12"/>
      <c r="F969" s="12"/>
      <c r="G969" s="12"/>
      <c r="H969" s="12"/>
      <c r="I969" s="12"/>
      <c r="J969" s="12"/>
      <c r="K969" s="12"/>
      <c r="L969" s="12"/>
      <c r="M969" s="12"/>
      <c r="N969" s="12"/>
      <c r="O969" s="12"/>
      <c r="P969" s="55">
        <f t="shared" si="51"/>
        <v>0</v>
      </c>
    </row>
    <row r="970" spans="1:16" ht="15" customHeight="1" x14ac:dyDescent="0.25">
      <c r="A970" s="552"/>
      <c r="B970" s="559"/>
      <c r="C970" s="110">
        <v>26</v>
      </c>
      <c r="D970" s="12"/>
      <c r="E970" s="12"/>
      <c r="F970" s="12"/>
      <c r="G970" s="12"/>
      <c r="H970" s="12"/>
      <c r="I970" s="12"/>
      <c r="J970" s="12"/>
      <c r="K970" s="12"/>
      <c r="L970" s="12"/>
      <c r="M970" s="12"/>
      <c r="N970" s="12"/>
      <c r="O970" s="12"/>
      <c r="P970" s="55">
        <f t="shared" si="51"/>
        <v>0</v>
      </c>
    </row>
    <row r="971" spans="1:16" ht="15" customHeight="1" x14ac:dyDescent="0.25">
      <c r="A971" s="553"/>
      <c r="B971" s="559"/>
      <c r="C971" s="110">
        <v>27</v>
      </c>
      <c r="D971" s="12"/>
      <c r="E971" s="12"/>
      <c r="F971" s="12"/>
      <c r="G971" s="12"/>
      <c r="H971" s="12"/>
      <c r="I971" s="12"/>
      <c r="J971" s="12"/>
      <c r="K971" s="12"/>
      <c r="L971" s="12"/>
      <c r="M971" s="12"/>
      <c r="N971" s="12"/>
      <c r="O971" s="12"/>
      <c r="P971" s="55">
        <f t="shared" si="51"/>
        <v>0</v>
      </c>
    </row>
    <row r="972" spans="1:16" ht="15" customHeight="1" x14ac:dyDescent="0.25">
      <c r="A972" s="551">
        <v>335</v>
      </c>
      <c r="B972" s="558" t="s">
        <v>146</v>
      </c>
      <c r="C972" s="110">
        <v>11</v>
      </c>
      <c r="D972" s="12"/>
      <c r="E972" s="12"/>
      <c r="F972" s="12"/>
      <c r="G972" s="12"/>
      <c r="H972" s="12"/>
      <c r="I972" s="12"/>
      <c r="J972" s="12"/>
      <c r="K972" s="12"/>
      <c r="L972" s="12"/>
      <c r="M972" s="12"/>
      <c r="N972" s="12"/>
      <c r="O972" s="12"/>
      <c r="P972" s="55">
        <f t="shared" si="51"/>
        <v>0</v>
      </c>
    </row>
    <row r="973" spans="1:16" ht="15" customHeight="1" x14ac:dyDescent="0.25">
      <c r="A973" s="552"/>
      <c r="B973" s="559"/>
      <c r="C973" s="110">
        <v>12</v>
      </c>
      <c r="D973" s="12"/>
      <c r="E973" s="12"/>
      <c r="F973" s="12"/>
      <c r="G973" s="12"/>
      <c r="H973" s="12"/>
      <c r="I973" s="12"/>
      <c r="J973" s="12"/>
      <c r="K973" s="12"/>
      <c r="L973" s="12"/>
      <c r="M973" s="12"/>
      <c r="N973" s="12"/>
      <c r="O973" s="12"/>
      <c r="P973" s="55">
        <f t="shared" si="51"/>
        <v>0</v>
      </c>
    </row>
    <row r="974" spans="1:16" ht="15" customHeight="1" x14ac:dyDescent="0.25">
      <c r="A974" s="552"/>
      <c r="B974" s="559"/>
      <c r="C974" s="110">
        <v>13</v>
      </c>
      <c r="D974" s="12"/>
      <c r="E974" s="12"/>
      <c r="F974" s="12"/>
      <c r="G974" s="12"/>
      <c r="H974" s="12"/>
      <c r="I974" s="12"/>
      <c r="J974" s="12"/>
      <c r="K974" s="12"/>
      <c r="L974" s="12"/>
      <c r="M974" s="12"/>
      <c r="N974" s="12"/>
      <c r="O974" s="12"/>
      <c r="P974" s="55">
        <f t="shared" si="51"/>
        <v>0</v>
      </c>
    </row>
    <row r="975" spans="1:16" ht="15" customHeight="1" x14ac:dyDescent="0.25">
      <c r="A975" s="552"/>
      <c r="B975" s="559"/>
      <c r="C975" s="110">
        <v>14</v>
      </c>
      <c r="D975" s="12"/>
      <c r="E975" s="12"/>
      <c r="F975" s="12"/>
      <c r="G975" s="12"/>
      <c r="H975" s="12"/>
      <c r="I975" s="12"/>
      <c r="J975" s="12"/>
      <c r="K975" s="12"/>
      <c r="L975" s="12"/>
      <c r="M975" s="12"/>
      <c r="N975" s="12"/>
      <c r="O975" s="12"/>
      <c r="P975" s="55">
        <f t="shared" si="51"/>
        <v>0</v>
      </c>
    </row>
    <row r="976" spans="1:16" ht="15" customHeight="1" x14ac:dyDescent="0.25">
      <c r="A976" s="552"/>
      <c r="B976" s="559"/>
      <c r="C976" s="110">
        <v>15</v>
      </c>
      <c r="D976" s="12"/>
      <c r="E976" s="12"/>
      <c r="F976" s="12"/>
      <c r="G976" s="12"/>
      <c r="H976" s="12"/>
      <c r="I976" s="12"/>
      <c r="J976" s="12"/>
      <c r="K976" s="12"/>
      <c r="L976" s="12"/>
      <c r="M976" s="12"/>
      <c r="N976" s="12"/>
      <c r="O976" s="12"/>
      <c r="P976" s="55">
        <f t="shared" si="51"/>
        <v>0</v>
      </c>
    </row>
    <row r="977" spans="1:16" ht="15" customHeight="1" x14ac:dyDescent="0.25">
      <c r="A977" s="552"/>
      <c r="B977" s="559"/>
      <c r="C977" s="110">
        <v>16</v>
      </c>
      <c r="D977" s="12"/>
      <c r="E977" s="12"/>
      <c r="F977" s="12"/>
      <c r="G977" s="12"/>
      <c r="H977" s="12"/>
      <c r="I977" s="12"/>
      <c r="J977" s="12"/>
      <c r="K977" s="12"/>
      <c r="L977" s="12"/>
      <c r="M977" s="12"/>
      <c r="N977" s="12"/>
      <c r="O977" s="12"/>
      <c r="P977" s="55">
        <f t="shared" si="51"/>
        <v>0</v>
      </c>
    </row>
    <row r="978" spans="1:16" ht="15" customHeight="1" x14ac:dyDescent="0.25">
      <c r="A978" s="552"/>
      <c r="B978" s="559"/>
      <c r="C978" s="110">
        <v>17</v>
      </c>
      <c r="D978" s="12"/>
      <c r="E978" s="12"/>
      <c r="F978" s="12"/>
      <c r="G978" s="12"/>
      <c r="H978" s="12"/>
      <c r="I978" s="12"/>
      <c r="J978" s="12"/>
      <c r="K978" s="12"/>
      <c r="L978" s="12"/>
      <c r="M978" s="12"/>
      <c r="N978" s="12"/>
      <c r="O978" s="12"/>
      <c r="P978" s="55">
        <f t="shared" si="51"/>
        <v>0</v>
      </c>
    </row>
    <row r="979" spans="1:16" ht="15" customHeight="1" x14ac:dyDescent="0.25">
      <c r="A979" s="552"/>
      <c r="B979" s="559"/>
      <c r="C979" s="110">
        <v>25</v>
      </c>
      <c r="D979" s="12"/>
      <c r="E979" s="12"/>
      <c r="F979" s="12"/>
      <c r="G979" s="12"/>
      <c r="H979" s="12"/>
      <c r="I979" s="12"/>
      <c r="J979" s="12"/>
      <c r="K979" s="12"/>
      <c r="L979" s="12"/>
      <c r="M979" s="12"/>
      <c r="N979" s="12"/>
      <c r="O979" s="12"/>
      <c r="P979" s="55">
        <f t="shared" si="51"/>
        <v>0</v>
      </c>
    </row>
    <row r="980" spans="1:16" ht="15" customHeight="1" x14ac:dyDescent="0.25">
      <c r="A980" s="552"/>
      <c r="B980" s="559"/>
      <c r="C980" s="110">
        <v>26</v>
      </c>
      <c r="D980" s="12"/>
      <c r="E980" s="12"/>
      <c r="F980" s="12"/>
      <c r="G980" s="12"/>
      <c r="H980" s="12"/>
      <c r="I980" s="12"/>
      <c r="J980" s="12"/>
      <c r="K980" s="12"/>
      <c r="L980" s="12"/>
      <c r="M980" s="12"/>
      <c r="N980" s="12"/>
      <c r="O980" s="12"/>
      <c r="P980" s="55">
        <f t="shared" si="51"/>
        <v>0</v>
      </c>
    </row>
    <row r="981" spans="1:16" ht="15" customHeight="1" x14ac:dyDescent="0.25">
      <c r="A981" s="553"/>
      <c r="B981" s="559"/>
      <c r="C981" s="110">
        <v>27</v>
      </c>
      <c r="D981" s="12"/>
      <c r="E981" s="12"/>
      <c r="F981" s="12"/>
      <c r="G981" s="12"/>
      <c r="H981" s="12"/>
      <c r="I981" s="12"/>
      <c r="J981" s="12"/>
      <c r="K981" s="12"/>
      <c r="L981" s="12"/>
      <c r="M981" s="12"/>
      <c r="N981" s="12"/>
      <c r="O981" s="12"/>
      <c r="P981" s="55">
        <f t="shared" si="51"/>
        <v>0</v>
      </c>
    </row>
    <row r="982" spans="1:16" ht="15" customHeight="1" x14ac:dyDescent="0.25">
      <c r="A982" s="551">
        <v>336</v>
      </c>
      <c r="B982" s="558" t="s">
        <v>147</v>
      </c>
      <c r="C982" s="110">
        <v>11</v>
      </c>
      <c r="D982" s="12"/>
      <c r="E982" s="12"/>
      <c r="F982" s="12"/>
      <c r="G982" s="12"/>
      <c r="H982" s="12"/>
      <c r="I982" s="12"/>
      <c r="J982" s="12"/>
      <c r="K982" s="12"/>
      <c r="L982" s="12"/>
      <c r="M982" s="12"/>
      <c r="N982" s="12"/>
      <c r="O982" s="12"/>
      <c r="P982" s="55">
        <f t="shared" si="51"/>
        <v>0</v>
      </c>
    </row>
    <row r="983" spans="1:16" ht="15" customHeight="1" x14ac:dyDescent="0.25">
      <c r="A983" s="552"/>
      <c r="B983" s="559"/>
      <c r="C983" s="110">
        <v>12</v>
      </c>
      <c r="D983" s="12"/>
      <c r="E983" s="12"/>
      <c r="F983" s="12"/>
      <c r="G983" s="12"/>
      <c r="H983" s="12"/>
      <c r="I983" s="12"/>
      <c r="J983" s="12"/>
      <c r="K983" s="12"/>
      <c r="L983" s="12"/>
      <c r="M983" s="12"/>
      <c r="N983" s="12"/>
      <c r="O983" s="12"/>
      <c r="P983" s="55">
        <f t="shared" si="51"/>
        <v>0</v>
      </c>
    </row>
    <row r="984" spans="1:16" ht="15" customHeight="1" x14ac:dyDescent="0.25">
      <c r="A984" s="552"/>
      <c r="B984" s="559"/>
      <c r="C984" s="110">
        <v>13</v>
      </c>
      <c r="D984" s="12"/>
      <c r="E984" s="12"/>
      <c r="F984" s="12"/>
      <c r="G984" s="12"/>
      <c r="H984" s="12"/>
      <c r="I984" s="12"/>
      <c r="J984" s="12"/>
      <c r="K984" s="12"/>
      <c r="L984" s="12"/>
      <c r="M984" s="12"/>
      <c r="N984" s="12"/>
      <c r="O984" s="12"/>
      <c r="P984" s="55">
        <f t="shared" si="51"/>
        <v>0</v>
      </c>
    </row>
    <row r="985" spans="1:16" ht="15" customHeight="1" x14ac:dyDescent="0.25">
      <c r="A985" s="552"/>
      <c r="B985" s="559"/>
      <c r="C985" s="110">
        <v>14</v>
      </c>
      <c r="D985" s="12"/>
      <c r="E985" s="12"/>
      <c r="F985" s="12"/>
      <c r="G985" s="12"/>
      <c r="H985" s="12"/>
      <c r="I985" s="12"/>
      <c r="J985" s="12"/>
      <c r="K985" s="12"/>
      <c r="L985" s="12"/>
      <c r="M985" s="12"/>
      <c r="N985" s="12"/>
      <c r="O985" s="12"/>
      <c r="P985" s="55">
        <f t="shared" si="51"/>
        <v>0</v>
      </c>
    </row>
    <row r="986" spans="1:16" ht="15" customHeight="1" x14ac:dyDescent="0.25">
      <c r="A986" s="552"/>
      <c r="B986" s="559"/>
      <c r="C986" s="110">
        <v>15</v>
      </c>
      <c r="D986" s="12"/>
      <c r="E986" s="12"/>
      <c r="F986" s="12"/>
      <c r="G986" s="12"/>
      <c r="H986" s="12"/>
      <c r="I986" s="12"/>
      <c r="J986" s="12"/>
      <c r="K986" s="12"/>
      <c r="L986" s="12"/>
      <c r="M986" s="12"/>
      <c r="N986" s="12"/>
      <c r="O986" s="12"/>
      <c r="P986" s="55">
        <f t="shared" si="51"/>
        <v>0</v>
      </c>
    </row>
    <row r="987" spans="1:16" ht="15" customHeight="1" x14ac:dyDescent="0.25">
      <c r="A987" s="552"/>
      <c r="B987" s="559"/>
      <c r="C987" s="110">
        <v>16</v>
      </c>
      <c r="D987" s="12"/>
      <c r="E987" s="12"/>
      <c r="F987" s="12"/>
      <c r="G987" s="12"/>
      <c r="H987" s="12"/>
      <c r="I987" s="12"/>
      <c r="J987" s="12"/>
      <c r="K987" s="12"/>
      <c r="L987" s="12"/>
      <c r="M987" s="12"/>
      <c r="N987" s="12"/>
      <c r="O987" s="12"/>
      <c r="P987" s="55">
        <f t="shared" si="51"/>
        <v>0</v>
      </c>
    </row>
    <row r="988" spans="1:16" ht="15" customHeight="1" x14ac:dyDescent="0.25">
      <c r="A988" s="552"/>
      <c r="B988" s="559"/>
      <c r="C988" s="110">
        <v>17</v>
      </c>
      <c r="D988" s="12"/>
      <c r="E988" s="12"/>
      <c r="F988" s="12"/>
      <c r="G988" s="12"/>
      <c r="H988" s="12"/>
      <c r="I988" s="12"/>
      <c r="J988" s="12"/>
      <c r="K988" s="12"/>
      <c r="L988" s="12"/>
      <c r="M988" s="12"/>
      <c r="N988" s="12"/>
      <c r="O988" s="12"/>
      <c r="P988" s="55">
        <f t="shared" si="51"/>
        <v>0</v>
      </c>
    </row>
    <row r="989" spans="1:16" ht="15" customHeight="1" x14ac:dyDescent="0.25">
      <c r="A989" s="552"/>
      <c r="B989" s="559"/>
      <c r="C989" s="110">
        <v>25</v>
      </c>
      <c r="D989" s="12"/>
      <c r="E989" s="12"/>
      <c r="F989" s="12"/>
      <c r="G989" s="12"/>
      <c r="H989" s="12"/>
      <c r="I989" s="12"/>
      <c r="J989" s="12"/>
      <c r="K989" s="12"/>
      <c r="L989" s="12"/>
      <c r="M989" s="12"/>
      <c r="N989" s="12"/>
      <c r="O989" s="12"/>
      <c r="P989" s="55">
        <f t="shared" si="51"/>
        <v>0</v>
      </c>
    </row>
    <row r="990" spans="1:16" ht="15" customHeight="1" x14ac:dyDescent="0.25">
      <c r="A990" s="552"/>
      <c r="B990" s="559"/>
      <c r="C990" s="110">
        <v>26</v>
      </c>
      <c r="D990" s="12"/>
      <c r="E990" s="12"/>
      <c r="F990" s="12"/>
      <c r="G990" s="12"/>
      <c r="H990" s="12"/>
      <c r="I990" s="12"/>
      <c r="J990" s="12"/>
      <c r="K990" s="12"/>
      <c r="L990" s="12"/>
      <c r="M990" s="12"/>
      <c r="N990" s="12"/>
      <c r="O990" s="12"/>
      <c r="P990" s="55">
        <f t="shared" si="51"/>
        <v>0</v>
      </c>
    </row>
    <row r="991" spans="1:16" ht="15" customHeight="1" x14ac:dyDescent="0.25">
      <c r="A991" s="553"/>
      <c r="B991" s="559"/>
      <c r="C991" s="110">
        <v>27</v>
      </c>
      <c r="D991" s="12"/>
      <c r="E991" s="12"/>
      <c r="F991" s="12"/>
      <c r="G991" s="12"/>
      <c r="H991" s="12"/>
      <c r="I991" s="12"/>
      <c r="J991" s="12"/>
      <c r="K991" s="12"/>
      <c r="L991" s="12"/>
      <c r="M991" s="12"/>
      <c r="N991" s="12"/>
      <c r="O991" s="12"/>
      <c r="P991" s="55">
        <f t="shared" si="51"/>
        <v>0</v>
      </c>
    </row>
    <row r="992" spans="1:16" ht="15" customHeight="1" x14ac:dyDescent="0.25">
      <c r="A992" s="551">
        <v>337</v>
      </c>
      <c r="B992" s="558" t="s">
        <v>148</v>
      </c>
      <c r="C992" s="110">
        <v>11</v>
      </c>
      <c r="D992" s="12"/>
      <c r="E992" s="12"/>
      <c r="F992" s="12"/>
      <c r="G992" s="12"/>
      <c r="H992" s="12"/>
      <c r="I992" s="12"/>
      <c r="J992" s="12"/>
      <c r="K992" s="12"/>
      <c r="L992" s="12"/>
      <c r="M992" s="12"/>
      <c r="N992" s="12"/>
      <c r="O992" s="12"/>
      <c r="P992" s="55">
        <f t="shared" si="51"/>
        <v>0</v>
      </c>
    </row>
    <row r="993" spans="1:16" ht="15" customHeight="1" x14ac:dyDescent="0.25">
      <c r="A993" s="552"/>
      <c r="B993" s="559"/>
      <c r="C993" s="110">
        <v>12</v>
      </c>
      <c r="D993" s="12"/>
      <c r="E993" s="12"/>
      <c r="F993" s="12"/>
      <c r="G993" s="12"/>
      <c r="H993" s="12"/>
      <c r="I993" s="12"/>
      <c r="J993" s="12"/>
      <c r="K993" s="12"/>
      <c r="L993" s="12"/>
      <c r="M993" s="12"/>
      <c r="N993" s="12"/>
      <c r="O993" s="12"/>
      <c r="P993" s="55">
        <f t="shared" si="51"/>
        <v>0</v>
      </c>
    </row>
    <row r="994" spans="1:16" ht="15" customHeight="1" x14ac:dyDescent="0.25">
      <c r="A994" s="552"/>
      <c r="B994" s="559"/>
      <c r="C994" s="110">
        <v>13</v>
      </c>
      <c r="D994" s="12"/>
      <c r="E994" s="12"/>
      <c r="F994" s="12"/>
      <c r="G994" s="12"/>
      <c r="H994" s="12"/>
      <c r="I994" s="12"/>
      <c r="J994" s="12"/>
      <c r="K994" s="12"/>
      <c r="L994" s="12"/>
      <c r="M994" s="12"/>
      <c r="N994" s="12"/>
      <c r="O994" s="12"/>
      <c r="P994" s="55">
        <f t="shared" si="51"/>
        <v>0</v>
      </c>
    </row>
    <row r="995" spans="1:16" ht="15" customHeight="1" x14ac:dyDescent="0.25">
      <c r="A995" s="552"/>
      <c r="B995" s="559"/>
      <c r="C995" s="110">
        <v>14</v>
      </c>
      <c r="D995" s="12"/>
      <c r="E995" s="12"/>
      <c r="F995" s="12"/>
      <c r="G995" s="12"/>
      <c r="H995" s="12"/>
      <c r="I995" s="12"/>
      <c r="J995" s="12"/>
      <c r="K995" s="12"/>
      <c r="L995" s="12"/>
      <c r="M995" s="12"/>
      <c r="N995" s="12"/>
      <c r="O995" s="12"/>
      <c r="P995" s="55">
        <f t="shared" si="51"/>
        <v>0</v>
      </c>
    </row>
    <row r="996" spans="1:16" ht="15" customHeight="1" x14ac:dyDescent="0.25">
      <c r="A996" s="552"/>
      <c r="B996" s="559"/>
      <c r="C996" s="110">
        <v>15</v>
      </c>
      <c r="D996" s="12"/>
      <c r="E996" s="12"/>
      <c r="F996" s="12"/>
      <c r="G996" s="12"/>
      <c r="H996" s="12"/>
      <c r="I996" s="12"/>
      <c r="J996" s="12"/>
      <c r="K996" s="12"/>
      <c r="L996" s="12"/>
      <c r="M996" s="12"/>
      <c r="N996" s="12"/>
      <c r="O996" s="12"/>
      <c r="P996" s="55">
        <f t="shared" si="51"/>
        <v>0</v>
      </c>
    </row>
    <row r="997" spans="1:16" ht="15" customHeight="1" x14ac:dyDescent="0.25">
      <c r="A997" s="552"/>
      <c r="B997" s="559"/>
      <c r="C997" s="110">
        <v>16</v>
      </c>
      <c r="D997" s="12"/>
      <c r="E997" s="12"/>
      <c r="F997" s="12"/>
      <c r="G997" s="12"/>
      <c r="H997" s="12"/>
      <c r="I997" s="12"/>
      <c r="J997" s="12"/>
      <c r="K997" s="12"/>
      <c r="L997" s="12"/>
      <c r="M997" s="12"/>
      <c r="N997" s="12"/>
      <c r="O997" s="12"/>
      <c r="P997" s="55">
        <f t="shared" si="51"/>
        <v>0</v>
      </c>
    </row>
    <row r="998" spans="1:16" ht="15" customHeight="1" x14ac:dyDescent="0.25">
      <c r="A998" s="552"/>
      <c r="B998" s="559"/>
      <c r="C998" s="110">
        <v>17</v>
      </c>
      <c r="D998" s="12"/>
      <c r="E998" s="12"/>
      <c r="F998" s="12"/>
      <c r="G998" s="12"/>
      <c r="H998" s="12"/>
      <c r="I998" s="12"/>
      <c r="J998" s="12"/>
      <c r="K998" s="12"/>
      <c r="L998" s="12"/>
      <c r="M998" s="12"/>
      <c r="N998" s="12"/>
      <c r="O998" s="12"/>
      <c r="P998" s="55">
        <f t="shared" si="51"/>
        <v>0</v>
      </c>
    </row>
    <row r="999" spans="1:16" ht="15" customHeight="1" x14ac:dyDescent="0.25">
      <c r="A999" s="552"/>
      <c r="B999" s="559"/>
      <c r="C999" s="110">
        <v>25</v>
      </c>
      <c r="D999" s="12"/>
      <c r="E999" s="12"/>
      <c r="F999" s="12"/>
      <c r="G999" s="12"/>
      <c r="H999" s="12"/>
      <c r="I999" s="12"/>
      <c r="J999" s="12"/>
      <c r="K999" s="12"/>
      <c r="L999" s="12"/>
      <c r="M999" s="12"/>
      <c r="N999" s="12"/>
      <c r="O999" s="12"/>
      <c r="P999" s="55">
        <f t="shared" si="51"/>
        <v>0</v>
      </c>
    </row>
    <row r="1000" spans="1:16" ht="15" customHeight="1" x14ac:dyDescent="0.25">
      <c r="A1000" s="552"/>
      <c r="B1000" s="559"/>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3"/>
      <c r="B1001" s="559"/>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1">
        <v>338</v>
      </c>
      <c r="B1002" s="558"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2"/>
      <c r="B1003" s="559"/>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2"/>
      <c r="B1004" s="559"/>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2"/>
      <c r="B1005" s="559"/>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2"/>
      <c r="B1006" s="559"/>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2"/>
      <c r="B1007" s="559"/>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2"/>
      <c r="B1008" s="559"/>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2"/>
      <c r="B1009" s="559"/>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2"/>
      <c r="B1010" s="559"/>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3"/>
      <c r="B1011" s="559"/>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1">
        <v>339</v>
      </c>
      <c r="B1012" s="558"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2"/>
      <c r="B1013" s="559"/>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2"/>
      <c r="B1014" s="559"/>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2"/>
      <c r="B1015" s="559"/>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2"/>
      <c r="B1016" s="559"/>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2"/>
      <c r="B1017" s="559"/>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2"/>
      <c r="B1018" s="559"/>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2"/>
      <c r="B1019" s="559"/>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2"/>
      <c r="B1020" s="559"/>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3"/>
      <c r="B1021" s="559"/>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18413</v>
      </c>
      <c r="E1022" s="72">
        <f t="shared" ref="E1022:O1022" si="53">SUM(E1023:E1112)</f>
        <v>22163</v>
      </c>
      <c r="F1022" s="72">
        <f t="shared" si="53"/>
        <v>33570</v>
      </c>
      <c r="G1022" s="72">
        <f t="shared" si="53"/>
        <v>169749</v>
      </c>
      <c r="H1022" s="72">
        <f t="shared" si="53"/>
        <v>6030</v>
      </c>
      <c r="I1022" s="72">
        <f t="shared" si="53"/>
        <v>5888</v>
      </c>
      <c r="J1022" s="72">
        <f t="shared" si="53"/>
        <v>21715</v>
      </c>
      <c r="K1022" s="72">
        <f t="shared" si="53"/>
        <v>6060</v>
      </c>
      <c r="L1022" s="72">
        <f t="shared" si="53"/>
        <v>145752</v>
      </c>
      <c r="M1022" s="72">
        <f t="shared" si="53"/>
        <v>70636</v>
      </c>
      <c r="N1022" s="72">
        <f t="shared" si="53"/>
        <v>5958</v>
      </c>
      <c r="O1022" s="72">
        <f t="shared" si="53"/>
        <v>6007</v>
      </c>
      <c r="P1022" s="72">
        <f>SUM(P1023:P1112)</f>
        <v>511941</v>
      </c>
    </row>
    <row r="1023" spans="1:16" ht="15" customHeight="1" x14ac:dyDescent="0.25">
      <c r="A1023" s="551">
        <v>341</v>
      </c>
      <c r="B1023" s="558" t="s">
        <v>152</v>
      </c>
      <c r="C1023" s="110">
        <v>11</v>
      </c>
      <c r="D1023" s="12"/>
      <c r="E1023" s="12">
        <v>52</v>
      </c>
      <c r="F1023" s="12"/>
      <c r="G1023" s="12">
        <v>18</v>
      </c>
      <c r="H1023" s="12">
        <v>156</v>
      </c>
      <c r="I1023" s="12">
        <v>28</v>
      </c>
      <c r="J1023" s="12"/>
      <c r="K1023" s="12">
        <v>156</v>
      </c>
      <c r="L1023" s="12"/>
      <c r="M1023" s="12">
        <v>42</v>
      </c>
      <c r="N1023" s="12"/>
      <c r="O1023" s="12">
        <v>25</v>
      </c>
      <c r="P1023" s="55">
        <f t="shared" ref="P1023:P1110" si="54">SUM(D1023:O1023)</f>
        <v>477</v>
      </c>
    </row>
    <row r="1024" spans="1:16" ht="15" customHeight="1" x14ac:dyDescent="0.25">
      <c r="A1024" s="552"/>
      <c r="B1024" s="559"/>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2"/>
      <c r="B1025" s="559"/>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2"/>
      <c r="B1026" s="559"/>
      <c r="C1026" s="110">
        <v>14</v>
      </c>
      <c r="D1026" s="12"/>
      <c r="E1026" s="12"/>
      <c r="F1026" s="12"/>
      <c r="G1026" s="12"/>
      <c r="H1026" s="12"/>
      <c r="I1026" s="12"/>
      <c r="J1026" s="12"/>
      <c r="K1026" s="12"/>
      <c r="L1026" s="12"/>
      <c r="M1026" s="12"/>
      <c r="N1026" s="12"/>
      <c r="O1026" s="12"/>
      <c r="P1026" s="55">
        <f t="shared" si="54"/>
        <v>0</v>
      </c>
    </row>
    <row r="1027" spans="1:16" ht="15" customHeight="1" x14ac:dyDescent="0.25">
      <c r="A1027" s="552"/>
      <c r="B1027" s="559"/>
      <c r="C1027" s="110">
        <v>15</v>
      </c>
      <c r="D1027" s="12">
        <v>5823</v>
      </c>
      <c r="E1027" s="12">
        <v>5829</v>
      </c>
      <c r="F1027" s="12">
        <v>5914</v>
      </c>
      <c r="G1027" s="12">
        <v>5832</v>
      </c>
      <c r="H1027" s="12">
        <v>5846</v>
      </c>
      <c r="I1027" s="12">
        <v>5841</v>
      </c>
      <c r="J1027" s="12">
        <v>5829</v>
      </c>
      <c r="K1027" s="12">
        <v>5849</v>
      </c>
      <c r="L1027" s="12">
        <v>5879</v>
      </c>
      <c r="M1027" s="12">
        <v>5892</v>
      </c>
      <c r="N1027" s="12">
        <v>5879</v>
      </c>
      <c r="O1027" s="12">
        <v>5896</v>
      </c>
      <c r="P1027" s="55">
        <f t="shared" si="54"/>
        <v>70309</v>
      </c>
    </row>
    <row r="1028" spans="1:16" ht="15" customHeight="1" x14ac:dyDescent="0.25">
      <c r="A1028" s="552"/>
      <c r="B1028" s="559"/>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2"/>
      <c r="B1029" s="559"/>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2"/>
      <c r="B1030" s="559"/>
      <c r="C1030" s="110">
        <v>25</v>
      </c>
      <c r="D1030" s="12"/>
      <c r="E1030" s="12">
        <v>77</v>
      </c>
      <c r="F1030" s="12">
        <v>156</v>
      </c>
      <c r="G1030" s="12">
        <v>26</v>
      </c>
      <c r="H1030" s="12">
        <v>28</v>
      </c>
      <c r="I1030" s="12">
        <v>19</v>
      </c>
      <c r="J1030" s="12">
        <v>26</v>
      </c>
      <c r="K1030" s="12">
        <v>55</v>
      </c>
      <c r="L1030" s="12">
        <v>66</v>
      </c>
      <c r="M1030" s="12">
        <v>62</v>
      </c>
      <c r="N1030" s="12">
        <v>79</v>
      </c>
      <c r="O1030" s="12">
        <v>86</v>
      </c>
      <c r="P1030" s="55">
        <f t="shared" si="54"/>
        <v>680</v>
      </c>
    </row>
    <row r="1031" spans="1:16" ht="15" customHeight="1" x14ac:dyDescent="0.25">
      <c r="A1031" s="552"/>
      <c r="B1031" s="559"/>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3"/>
      <c r="B1032" s="559"/>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1">
        <v>342</v>
      </c>
      <c r="B1033" s="558"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2"/>
      <c r="B1034" s="559"/>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2"/>
      <c r="B1035" s="559"/>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2"/>
      <c r="B1036" s="559"/>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2"/>
      <c r="B1037" s="559"/>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2"/>
      <c r="B1038" s="559"/>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2"/>
      <c r="B1039" s="559"/>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2"/>
      <c r="B1040" s="559"/>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2"/>
      <c r="B1041" s="559"/>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3"/>
      <c r="B1042" s="559"/>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1">
        <v>343</v>
      </c>
      <c r="B1043" s="558"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2"/>
      <c r="B1044" s="559"/>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2"/>
      <c r="B1045" s="559"/>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2"/>
      <c r="B1046" s="559"/>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2"/>
      <c r="B1047" s="559"/>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2"/>
      <c r="B1048" s="559"/>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2"/>
      <c r="B1049" s="559"/>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2"/>
      <c r="B1050" s="559"/>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2"/>
      <c r="B1051" s="559"/>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3"/>
      <c r="B1052" s="559"/>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1">
        <v>344</v>
      </c>
      <c r="B1053" s="558" t="s">
        <v>155</v>
      </c>
      <c r="C1053" s="110">
        <v>11</v>
      </c>
      <c r="D1053" s="12"/>
      <c r="E1053" s="12"/>
      <c r="F1053" s="12"/>
      <c r="G1053" s="12"/>
      <c r="H1053" s="12"/>
      <c r="I1053" s="12"/>
      <c r="J1053" s="12"/>
      <c r="K1053" s="12"/>
      <c r="L1053" s="12"/>
      <c r="M1053" s="12"/>
      <c r="N1053" s="12"/>
      <c r="O1053" s="12"/>
      <c r="P1053" s="55">
        <f t="shared" si="54"/>
        <v>0</v>
      </c>
    </row>
    <row r="1054" spans="1:16" ht="15" customHeight="1" x14ac:dyDescent="0.25">
      <c r="A1054" s="552"/>
      <c r="B1054" s="559"/>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2"/>
      <c r="B1055" s="559"/>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2"/>
      <c r="B1056" s="559"/>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2"/>
      <c r="B1057" s="559"/>
      <c r="C1057" s="110">
        <v>15</v>
      </c>
      <c r="D1057" s="12"/>
      <c r="E1057" s="12"/>
      <c r="F1057" s="12">
        <v>27500</v>
      </c>
      <c r="G1057" s="12"/>
      <c r="H1057" s="12"/>
      <c r="I1057" s="12"/>
      <c r="J1057" s="12"/>
      <c r="K1057" s="12"/>
      <c r="L1057" s="12"/>
      <c r="M1057" s="12"/>
      <c r="N1057" s="12"/>
      <c r="O1057" s="12"/>
      <c r="P1057" s="55">
        <f t="shared" si="54"/>
        <v>27500</v>
      </c>
    </row>
    <row r="1058" spans="1:16" ht="15" customHeight="1" x14ac:dyDescent="0.25">
      <c r="A1058" s="552"/>
      <c r="B1058" s="559"/>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2"/>
      <c r="B1059" s="559"/>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2"/>
      <c r="B1060" s="559"/>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2"/>
      <c r="B1061" s="559"/>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3"/>
      <c r="B1062" s="559"/>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1">
        <v>345</v>
      </c>
      <c r="B1063" s="558" t="s">
        <v>156</v>
      </c>
      <c r="C1063" s="110">
        <v>11</v>
      </c>
      <c r="D1063" s="12"/>
      <c r="E1063" s="12"/>
      <c r="F1063" s="12"/>
      <c r="G1063" s="12"/>
      <c r="H1063" s="12"/>
      <c r="I1063" s="12"/>
      <c r="J1063" s="12"/>
      <c r="K1063" s="12"/>
      <c r="L1063" s="12"/>
      <c r="M1063" s="12"/>
      <c r="N1063" s="12"/>
      <c r="O1063" s="12"/>
      <c r="P1063" s="55">
        <f t="shared" si="54"/>
        <v>0</v>
      </c>
    </row>
    <row r="1064" spans="1:16" ht="15" customHeight="1" x14ac:dyDescent="0.25">
      <c r="A1064" s="552"/>
      <c r="B1064" s="559"/>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2"/>
      <c r="B1065" s="559"/>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2"/>
      <c r="B1066" s="559"/>
      <c r="C1066" s="110">
        <v>14</v>
      </c>
      <c r="D1066" s="12"/>
      <c r="E1066" s="12"/>
      <c r="F1066" s="12"/>
      <c r="G1066" s="12"/>
      <c r="H1066" s="12"/>
      <c r="I1066" s="12"/>
      <c r="J1066" s="12"/>
      <c r="K1066" s="12"/>
      <c r="L1066" s="12"/>
      <c r="M1066" s="12"/>
      <c r="N1066" s="12"/>
      <c r="O1066" s="12"/>
      <c r="P1066" s="55">
        <f t="shared" si="54"/>
        <v>0</v>
      </c>
    </row>
    <row r="1067" spans="1:16" ht="15" customHeight="1" x14ac:dyDescent="0.25">
      <c r="A1067" s="552"/>
      <c r="B1067" s="559"/>
      <c r="C1067" s="110">
        <v>15</v>
      </c>
      <c r="D1067" s="12"/>
      <c r="E1067" s="12"/>
      <c r="F1067" s="12"/>
      <c r="G1067" s="12">
        <v>148144</v>
      </c>
      <c r="H1067" s="12"/>
      <c r="I1067" s="12"/>
      <c r="J1067" s="12"/>
      <c r="K1067" s="12"/>
      <c r="L1067" s="12">
        <v>139807</v>
      </c>
      <c r="M1067" s="12">
        <v>46750</v>
      </c>
      <c r="N1067" s="12"/>
      <c r="O1067" s="12"/>
      <c r="P1067" s="55">
        <f t="shared" si="54"/>
        <v>334701</v>
      </c>
    </row>
    <row r="1068" spans="1:16" ht="15" customHeight="1" x14ac:dyDescent="0.25">
      <c r="A1068" s="552"/>
      <c r="B1068" s="559"/>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2"/>
      <c r="B1069" s="559"/>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2"/>
      <c r="B1070" s="559"/>
      <c r="C1070" s="110">
        <v>25</v>
      </c>
      <c r="D1070" s="12"/>
      <c r="E1070" s="12"/>
      <c r="F1070" s="12"/>
      <c r="G1070" s="12"/>
      <c r="H1070" s="12"/>
      <c r="I1070" s="12"/>
      <c r="J1070" s="12"/>
      <c r="K1070" s="12"/>
      <c r="L1070" s="12"/>
      <c r="M1070" s="12"/>
      <c r="N1070" s="12"/>
      <c r="O1070" s="12"/>
      <c r="P1070" s="55">
        <f t="shared" si="54"/>
        <v>0</v>
      </c>
    </row>
    <row r="1071" spans="1:16" ht="15" customHeight="1" x14ac:dyDescent="0.25">
      <c r="A1071" s="552"/>
      <c r="B1071" s="559"/>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3"/>
      <c r="B1072" s="559"/>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1">
        <v>346</v>
      </c>
      <c r="B1073" s="558"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2"/>
      <c r="B1074" s="559"/>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2"/>
      <c r="B1075" s="559"/>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2"/>
      <c r="B1076" s="559"/>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2"/>
      <c r="B1077" s="559"/>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2"/>
      <c r="B1078" s="559"/>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2"/>
      <c r="B1079" s="559"/>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2"/>
      <c r="B1080" s="559"/>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2"/>
      <c r="B1081" s="559"/>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3"/>
      <c r="B1082" s="559"/>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1">
        <v>347</v>
      </c>
      <c r="B1083" s="558" t="s">
        <v>158</v>
      </c>
      <c r="C1083" s="110">
        <v>11</v>
      </c>
      <c r="D1083" s="12"/>
      <c r="E1083" s="12">
        <v>16205</v>
      </c>
      <c r="F1083" s="12"/>
      <c r="G1083" s="12"/>
      <c r="H1083" s="12"/>
      <c r="I1083" s="12"/>
      <c r="J1083" s="12"/>
      <c r="K1083" s="12"/>
      <c r="L1083" s="12"/>
      <c r="M1083" s="12"/>
      <c r="N1083" s="12"/>
      <c r="O1083" s="12"/>
      <c r="P1083" s="55">
        <f t="shared" si="54"/>
        <v>16205</v>
      </c>
    </row>
    <row r="1084" spans="1:16" ht="15" customHeight="1" x14ac:dyDescent="0.25">
      <c r="A1084" s="552"/>
      <c r="B1084" s="559"/>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2"/>
      <c r="B1085" s="559"/>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2"/>
      <c r="B1086" s="559"/>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2"/>
      <c r="B1087" s="559"/>
      <c r="C1087" s="110">
        <v>15</v>
      </c>
      <c r="D1087" s="12">
        <v>12590</v>
      </c>
      <c r="E1087" s="12"/>
      <c r="F1087" s="12"/>
      <c r="G1087" s="12">
        <v>15729</v>
      </c>
      <c r="H1087" s="12"/>
      <c r="I1087" s="12"/>
      <c r="J1087" s="12">
        <v>15860</v>
      </c>
      <c r="K1087" s="12"/>
      <c r="L1087" s="12"/>
      <c r="M1087" s="12">
        <v>17890</v>
      </c>
      <c r="N1087" s="12"/>
      <c r="O1087" s="12"/>
      <c r="P1087" s="55">
        <f t="shared" si="54"/>
        <v>62069</v>
      </c>
    </row>
    <row r="1088" spans="1:16" ht="15" customHeight="1" x14ac:dyDescent="0.25">
      <c r="A1088" s="552"/>
      <c r="B1088" s="559"/>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2"/>
      <c r="B1089" s="559"/>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2"/>
      <c r="B1090" s="559"/>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52"/>
      <c r="B1091" s="559"/>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3"/>
      <c r="B1092" s="559"/>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1">
        <v>348</v>
      </c>
      <c r="B1093" s="558"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2"/>
      <c r="B1094" s="559"/>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2"/>
      <c r="B1095" s="559"/>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2"/>
      <c r="B1096" s="559"/>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2"/>
      <c r="B1097" s="559"/>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2"/>
      <c r="B1098" s="559"/>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2"/>
      <c r="B1099" s="559"/>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2"/>
      <c r="B1100" s="559"/>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2"/>
      <c r="B1101" s="559"/>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3"/>
      <c r="B1102" s="559"/>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1">
        <v>349</v>
      </c>
      <c r="B1103" s="558"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2"/>
      <c r="B1104" s="559"/>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2"/>
      <c r="B1105" s="559"/>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2"/>
      <c r="B1106" s="559"/>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2"/>
      <c r="B1107" s="559"/>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2"/>
      <c r="B1108" s="559"/>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2"/>
      <c r="B1109" s="559"/>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2"/>
      <c r="B1110" s="559"/>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2"/>
      <c r="B1111" s="559"/>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3"/>
      <c r="B1112" s="559"/>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2297</v>
      </c>
      <c r="C1113" s="306"/>
      <c r="D1113" s="72">
        <f>SUM(D1114:D1203)</f>
        <v>109120</v>
      </c>
      <c r="E1113" s="72">
        <f t="shared" ref="E1113:O1113" si="56">SUM(E1114:E1203)</f>
        <v>247309</v>
      </c>
      <c r="F1113" s="72">
        <f t="shared" si="56"/>
        <v>183791</v>
      </c>
      <c r="G1113" s="72">
        <f t="shared" si="56"/>
        <v>301975</v>
      </c>
      <c r="H1113" s="72">
        <f t="shared" si="56"/>
        <v>224277</v>
      </c>
      <c r="I1113" s="72">
        <f t="shared" si="56"/>
        <v>200547</v>
      </c>
      <c r="J1113" s="72">
        <f t="shared" si="56"/>
        <v>239078</v>
      </c>
      <c r="K1113" s="72">
        <f t="shared" si="56"/>
        <v>181198</v>
      </c>
      <c r="L1113" s="72">
        <f t="shared" si="56"/>
        <v>192344</v>
      </c>
      <c r="M1113" s="72">
        <f t="shared" si="56"/>
        <v>285079</v>
      </c>
      <c r="N1113" s="72">
        <f t="shared" si="56"/>
        <v>183431</v>
      </c>
      <c r="O1113" s="72">
        <f t="shared" si="56"/>
        <v>151928</v>
      </c>
      <c r="P1113" s="72">
        <f>SUM(P1114:P1203)</f>
        <v>2500077</v>
      </c>
    </row>
    <row r="1114" spans="1:16" ht="15" customHeight="1" x14ac:dyDescent="0.25">
      <c r="A1114" s="551">
        <v>351</v>
      </c>
      <c r="B1114" s="558" t="s">
        <v>162</v>
      </c>
      <c r="C1114" s="110">
        <v>11</v>
      </c>
      <c r="D1114" s="12"/>
      <c r="E1114" s="12"/>
      <c r="F1114" s="12"/>
      <c r="G1114" s="12"/>
      <c r="H1114" s="12"/>
      <c r="I1114" s="12"/>
      <c r="J1114" s="12"/>
      <c r="K1114" s="12"/>
      <c r="L1114" s="12"/>
      <c r="M1114" s="12"/>
      <c r="N1114" s="12"/>
      <c r="O1114" s="12"/>
      <c r="P1114" s="55">
        <f t="shared" ref="P1114:P1201" si="57">SUM(D1114:O1114)</f>
        <v>0</v>
      </c>
    </row>
    <row r="1115" spans="1:16" ht="15" customHeight="1" x14ac:dyDescent="0.25">
      <c r="A1115" s="552"/>
      <c r="B1115" s="559"/>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2"/>
      <c r="B1116" s="559"/>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2"/>
      <c r="B1117" s="559"/>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2"/>
      <c r="B1118" s="559"/>
      <c r="C1118" s="110">
        <v>15</v>
      </c>
      <c r="D1118" s="12"/>
      <c r="E1118" s="12"/>
      <c r="F1118" s="12"/>
      <c r="G1118" s="12">
        <v>128562</v>
      </c>
      <c r="H1118" s="12"/>
      <c r="I1118" s="12"/>
      <c r="J1118" s="12">
        <v>85459</v>
      </c>
      <c r="K1118" s="12"/>
      <c r="L1118" s="12"/>
      <c r="M1118" s="12">
        <v>65450</v>
      </c>
      <c r="N1118" s="12"/>
      <c r="O1118" s="12"/>
      <c r="P1118" s="55">
        <f t="shared" si="57"/>
        <v>279471</v>
      </c>
    </row>
    <row r="1119" spans="1:16" ht="15" customHeight="1" x14ac:dyDescent="0.25">
      <c r="A1119" s="552"/>
      <c r="B1119" s="559"/>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2"/>
      <c r="B1120" s="559"/>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2"/>
      <c r="B1121" s="559"/>
      <c r="C1121" s="110">
        <v>25</v>
      </c>
      <c r="D1121" s="12"/>
      <c r="E1121" s="12"/>
      <c r="F1121" s="12"/>
      <c r="G1121" s="12"/>
      <c r="H1121" s="12"/>
      <c r="I1121" s="12"/>
      <c r="J1121" s="12"/>
      <c r="K1121" s="12"/>
      <c r="L1121" s="12"/>
      <c r="M1121" s="12"/>
      <c r="N1121" s="12"/>
      <c r="O1121" s="12"/>
      <c r="P1121" s="55">
        <f t="shared" si="57"/>
        <v>0</v>
      </c>
    </row>
    <row r="1122" spans="1:16" ht="15" customHeight="1" x14ac:dyDescent="0.25">
      <c r="A1122" s="552"/>
      <c r="B1122" s="559"/>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3"/>
      <c r="B1123" s="559"/>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1">
        <v>352</v>
      </c>
      <c r="B1124" s="558"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52"/>
      <c r="B1125" s="559"/>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2"/>
      <c r="B1126" s="559"/>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2"/>
      <c r="B1127" s="559"/>
      <c r="C1127" s="110">
        <v>14</v>
      </c>
      <c r="D1127" s="12"/>
      <c r="E1127" s="12"/>
      <c r="F1127" s="12"/>
      <c r="G1127" s="12"/>
      <c r="H1127" s="12"/>
      <c r="I1127" s="12"/>
      <c r="J1127" s="12"/>
      <c r="K1127" s="12"/>
      <c r="L1127" s="12"/>
      <c r="M1127" s="12"/>
      <c r="N1127" s="12"/>
      <c r="O1127" s="12"/>
      <c r="P1127" s="55">
        <f t="shared" si="57"/>
        <v>0</v>
      </c>
    </row>
    <row r="1128" spans="1:16" ht="15" customHeight="1" x14ac:dyDescent="0.25">
      <c r="A1128" s="552"/>
      <c r="B1128" s="559"/>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2"/>
      <c r="B1129" s="559"/>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2"/>
      <c r="B1130" s="559"/>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2"/>
      <c r="B1131" s="559"/>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2"/>
      <c r="B1132" s="559"/>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3"/>
      <c r="B1133" s="559"/>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1">
        <v>353</v>
      </c>
      <c r="B1134" s="558" t="s">
        <v>164</v>
      </c>
      <c r="C1134" s="110">
        <v>11</v>
      </c>
      <c r="D1134" s="12">
        <v>13298</v>
      </c>
      <c r="E1134" s="12"/>
      <c r="F1134" s="12"/>
      <c r="G1134" s="12"/>
      <c r="H1134" s="12"/>
      <c r="I1134" s="12"/>
      <c r="J1134" s="12"/>
      <c r="K1134" s="12"/>
      <c r="L1134" s="12"/>
      <c r="M1134" s="12"/>
      <c r="N1134" s="12"/>
      <c r="O1134" s="12"/>
      <c r="P1134" s="55">
        <f t="shared" si="57"/>
        <v>13298</v>
      </c>
    </row>
    <row r="1135" spans="1:16" ht="15" customHeight="1" x14ac:dyDescent="0.25">
      <c r="A1135" s="552"/>
      <c r="B1135" s="559"/>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2"/>
      <c r="B1136" s="559"/>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2"/>
      <c r="B1137" s="559"/>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2"/>
      <c r="B1138" s="559"/>
      <c r="C1138" s="110">
        <v>15</v>
      </c>
      <c r="D1138" s="12"/>
      <c r="E1138" s="12">
        <v>26595</v>
      </c>
      <c r="F1138" s="12">
        <v>13850</v>
      </c>
      <c r="G1138" s="12">
        <v>16310</v>
      </c>
      <c r="H1138" s="12">
        <v>20595</v>
      </c>
      <c r="I1138" s="12">
        <v>13850</v>
      </c>
      <c r="J1138" s="12">
        <v>14598</v>
      </c>
      <c r="K1138" s="12">
        <v>14596</v>
      </c>
      <c r="L1138" s="12">
        <v>14578</v>
      </c>
      <c r="M1138" s="12">
        <v>21850</v>
      </c>
      <c r="N1138" s="12">
        <v>13896</v>
      </c>
      <c r="O1138" s="12">
        <v>16852</v>
      </c>
      <c r="P1138" s="55">
        <f t="shared" si="57"/>
        <v>187570</v>
      </c>
    </row>
    <row r="1139" spans="1:16" ht="15" customHeight="1" x14ac:dyDescent="0.25">
      <c r="A1139" s="552"/>
      <c r="B1139" s="559"/>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2"/>
      <c r="B1140" s="559"/>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2"/>
      <c r="B1141" s="559"/>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52"/>
      <c r="B1142" s="559"/>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3"/>
      <c r="B1143" s="559"/>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1">
        <v>354</v>
      </c>
      <c r="B1144" s="558"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52"/>
      <c r="B1145" s="559"/>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2"/>
      <c r="B1146" s="559"/>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2"/>
      <c r="B1147" s="559"/>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2"/>
      <c r="B1148" s="559"/>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2"/>
      <c r="B1149" s="559"/>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2"/>
      <c r="B1150" s="559"/>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2"/>
      <c r="B1151" s="559"/>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2"/>
      <c r="B1152" s="559"/>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3"/>
      <c r="B1153" s="559"/>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1">
        <v>355</v>
      </c>
      <c r="B1154" s="558" t="s">
        <v>166</v>
      </c>
      <c r="C1154" s="110">
        <v>11</v>
      </c>
      <c r="D1154" s="12">
        <v>19995</v>
      </c>
      <c r="E1154" s="12">
        <v>12365</v>
      </c>
      <c r="F1154" s="12"/>
      <c r="G1154" s="12"/>
      <c r="H1154" s="12">
        <v>7895</v>
      </c>
      <c r="I1154" s="12"/>
      <c r="J1154" s="12">
        <v>16140</v>
      </c>
      <c r="K1154" s="12"/>
      <c r="L1154" s="12"/>
      <c r="M1154" s="12">
        <v>13648</v>
      </c>
      <c r="N1154" s="12"/>
      <c r="O1154" s="12"/>
      <c r="P1154" s="55">
        <f t="shared" si="57"/>
        <v>70043</v>
      </c>
    </row>
    <row r="1155" spans="1:16" ht="15" customHeight="1" x14ac:dyDescent="0.25">
      <c r="A1155" s="552"/>
      <c r="B1155" s="559"/>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2"/>
      <c r="B1156" s="559"/>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2"/>
      <c r="B1157" s="559"/>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2"/>
      <c r="B1158" s="559"/>
      <c r="C1158" s="110">
        <v>15</v>
      </c>
      <c r="D1158" s="12">
        <v>20000</v>
      </c>
      <c r="E1158" s="12">
        <v>67099</v>
      </c>
      <c r="F1158" s="12">
        <v>60380</v>
      </c>
      <c r="G1158" s="12">
        <v>64555</v>
      </c>
      <c r="H1158" s="12">
        <v>50548</v>
      </c>
      <c r="I1158" s="12">
        <v>64661</v>
      </c>
      <c r="J1158" s="12">
        <v>55986</v>
      </c>
      <c r="K1158" s="12">
        <v>60789</v>
      </c>
      <c r="L1158" s="12">
        <v>71825</v>
      </c>
      <c r="M1158" s="12">
        <v>64776</v>
      </c>
      <c r="N1158" s="12">
        <v>79450</v>
      </c>
      <c r="O1158" s="12">
        <v>58591</v>
      </c>
      <c r="P1158" s="55">
        <f t="shared" si="57"/>
        <v>718660</v>
      </c>
    </row>
    <row r="1159" spans="1:16" ht="15" customHeight="1" x14ac:dyDescent="0.25">
      <c r="A1159" s="552"/>
      <c r="B1159" s="559"/>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2"/>
      <c r="B1160" s="559"/>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2"/>
      <c r="B1161" s="559"/>
      <c r="C1161" s="110">
        <v>25</v>
      </c>
      <c r="D1161" s="12"/>
      <c r="E1161" s="12">
        <v>28743</v>
      </c>
      <c r="F1161" s="12">
        <v>51823</v>
      </c>
      <c r="G1161" s="12">
        <v>50246</v>
      </c>
      <c r="H1161" s="12">
        <v>35690</v>
      </c>
      <c r="I1161" s="12">
        <v>44051</v>
      </c>
      <c r="J1161" s="12"/>
      <c r="K1161" s="12">
        <v>37059</v>
      </c>
      <c r="L1161" s="12"/>
      <c r="M1161" s="12">
        <v>25870</v>
      </c>
      <c r="N1161" s="12">
        <v>31590</v>
      </c>
      <c r="O1161" s="12"/>
      <c r="P1161" s="55">
        <f t="shared" si="57"/>
        <v>305072</v>
      </c>
    </row>
    <row r="1162" spans="1:16" ht="15" customHeight="1" x14ac:dyDescent="0.25">
      <c r="A1162" s="552"/>
      <c r="B1162" s="559"/>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3"/>
      <c r="B1163" s="559"/>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1">
        <v>356</v>
      </c>
      <c r="B1164" s="558"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2"/>
      <c r="B1165" s="559"/>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2"/>
      <c r="B1166" s="559"/>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2"/>
      <c r="B1167" s="559"/>
      <c r="C1167" s="110">
        <v>14</v>
      </c>
      <c r="D1167" s="12"/>
      <c r="E1167" s="12"/>
      <c r="F1167" s="12"/>
      <c r="G1167" s="12"/>
      <c r="H1167" s="12"/>
      <c r="I1167" s="12"/>
      <c r="J1167" s="12"/>
      <c r="K1167" s="12"/>
      <c r="L1167" s="12"/>
      <c r="M1167" s="12"/>
      <c r="N1167" s="12"/>
      <c r="O1167" s="12"/>
      <c r="P1167" s="55">
        <f t="shared" si="57"/>
        <v>0</v>
      </c>
    </row>
    <row r="1168" spans="1:16" ht="15" customHeight="1" x14ac:dyDescent="0.25">
      <c r="A1168" s="552"/>
      <c r="B1168" s="559"/>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2"/>
      <c r="B1169" s="559"/>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2"/>
      <c r="B1170" s="559"/>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2"/>
      <c r="B1171" s="559"/>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52"/>
      <c r="B1172" s="559"/>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3"/>
      <c r="B1173" s="559"/>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1">
        <v>357</v>
      </c>
      <c r="B1174" s="558" t="s">
        <v>168</v>
      </c>
      <c r="C1174" s="110">
        <v>11</v>
      </c>
      <c r="D1174" s="12">
        <v>16895</v>
      </c>
      <c r="E1174" s="12">
        <v>79516</v>
      </c>
      <c r="F1174" s="12"/>
      <c r="G1174" s="12"/>
      <c r="H1174" s="12">
        <v>42598</v>
      </c>
      <c r="I1174" s="12"/>
      <c r="J1174" s="12"/>
      <c r="K1174" s="12"/>
      <c r="L1174" s="12">
        <v>29456</v>
      </c>
      <c r="M1174" s="12"/>
      <c r="N1174" s="12"/>
      <c r="O1174" s="12"/>
      <c r="P1174" s="55">
        <f t="shared" si="57"/>
        <v>168465</v>
      </c>
    </row>
    <row r="1175" spans="1:16" ht="15" customHeight="1" x14ac:dyDescent="0.25">
      <c r="A1175" s="552"/>
      <c r="B1175" s="559"/>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2"/>
      <c r="B1176" s="559"/>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2"/>
      <c r="B1177" s="559"/>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2"/>
      <c r="B1178" s="559"/>
      <c r="C1178" s="110">
        <v>15</v>
      </c>
      <c r="D1178" s="12">
        <v>38932</v>
      </c>
      <c r="E1178" s="12">
        <v>32991</v>
      </c>
      <c r="F1178" s="12">
        <v>57738</v>
      </c>
      <c r="G1178" s="12">
        <v>42302</v>
      </c>
      <c r="H1178" s="12">
        <v>66951</v>
      </c>
      <c r="I1178" s="12">
        <v>77985</v>
      </c>
      <c r="J1178" s="12">
        <v>66895</v>
      </c>
      <c r="K1178" s="12">
        <v>68754</v>
      </c>
      <c r="L1178" s="12">
        <v>76485</v>
      </c>
      <c r="M1178" s="12">
        <v>93485</v>
      </c>
      <c r="N1178" s="12">
        <v>58495</v>
      </c>
      <c r="O1178" s="12">
        <v>76485</v>
      </c>
      <c r="P1178" s="55">
        <f t="shared" si="57"/>
        <v>757498</v>
      </c>
    </row>
    <row r="1179" spans="1:16" ht="15" customHeight="1" x14ac:dyDescent="0.25">
      <c r="A1179" s="552"/>
      <c r="B1179" s="559"/>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2"/>
      <c r="B1180" s="559"/>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2"/>
      <c r="B1181" s="559"/>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52"/>
      <c r="B1182" s="559"/>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3"/>
      <c r="B1183" s="559"/>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1">
        <v>358</v>
      </c>
      <c r="B1184" s="558"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52"/>
      <c r="B1185" s="559"/>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2"/>
      <c r="B1186" s="559"/>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2"/>
      <c r="B1187" s="559"/>
      <c r="C1187" s="110">
        <v>14</v>
      </c>
      <c r="D1187" s="12"/>
      <c r="E1187" s="12"/>
      <c r="F1187" s="12"/>
      <c r="G1187" s="12"/>
      <c r="H1187" s="12"/>
      <c r="I1187" s="12"/>
      <c r="J1187" s="12"/>
      <c r="K1187" s="12"/>
      <c r="L1187" s="12"/>
      <c r="M1187" s="12"/>
      <c r="N1187" s="12"/>
      <c r="O1187" s="12"/>
      <c r="P1187" s="55">
        <f t="shared" si="57"/>
        <v>0</v>
      </c>
    </row>
    <row r="1188" spans="1:16" ht="15" customHeight="1" x14ac:dyDescent="0.25">
      <c r="A1188" s="552"/>
      <c r="B1188" s="559"/>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52"/>
      <c r="B1189" s="559"/>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52"/>
      <c r="B1190" s="559"/>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2"/>
      <c r="B1191" s="559"/>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2"/>
      <c r="B1192" s="559"/>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3"/>
      <c r="B1193" s="559"/>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1">
        <v>359</v>
      </c>
      <c r="B1194" s="558" t="s">
        <v>170</v>
      </c>
      <c r="C1194" s="110">
        <v>11</v>
      </c>
      <c r="D1194" s="12"/>
      <c r="E1194" s="12"/>
      <c r="F1194" s="12"/>
      <c r="G1194" s="12"/>
      <c r="H1194" s="12"/>
      <c r="I1194" s="12"/>
      <c r="J1194" s="12"/>
      <c r="K1194" s="12"/>
      <c r="L1194" s="12"/>
      <c r="M1194" s="12"/>
      <c r="N1194" s="12"/>
      <c r="O1194" s="12"/>
      <c r="P1194" s="55">
        <f t="shared" si="57"/>
        <v>0</v>
      </c>
    </row>
    <row r="1195" spans="1:16" ht="15" customHeight="1" x14ac:dyDescent="0.25">
      <c r="A1195" s="552"/>
      <c r="B1195" s="559"/>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2"/>
      <c r="B1196" s="559"/>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2"/>
      <c r="B1197" s="559"/>
      <c r="C1197" s="110">
        <v>14</v>
      </c>
      <c r="D1197" s="12"/>
      <c r="E1197" s="12"/>
      <c r="F1197" s="12"/>
      <c r="G1197" s="12"/>
      <c r="H1197" s="12"/>
      <c r="I1197" s="12"/>
      <c r="J1197" s="12"/>
      <c r="K1197" s="12"/>
      <c r="L1197" s="12"/>
      <c r="M1197" s="12"/>
      <c r="N1197" s="12"/>
      <c r="O1197" s="12"/>
      <c r="P1197" s="55">
        <f t="shared" si="57"/>
        <v>0</v>
      </c>
    </row>
    <row r="1198" spans="1:16" ht="15" customHeight="1" x14ac:dyDescent="0.25">
      <c r="A1198" s="552"/>
      <c r="B1198" s="559"/>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2"/>
      <c r="B1199" s="559"/>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2"/>
      <c r="B1200" s="559"/>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2"/>
      <c r="B1201" s="559"/>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2"/>
      <c r="B1202" s="559"/>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3"/>
      <c r="B1203" s="559"/>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2298</v>
      </c>
      <c r="C1204" s="306"/>
      <c r="D1204" s="72">
        <f>SUM(D1205:D1274)</f>
        <v>7900</v>
      </c>
      <c r="E1204" s="72">
        <f t="shared" ref="E1204:O1204" si="59">SUM(E1205:E1274)</f>
        <v>0</v>
      </c>
      <c r="F1204" s="72">
        <f t="shared" si="59"/>
        <v>0</v>
      </c>
      <c r="G1204" s="72">
        <f t="shared" si="59"/>
        <v>0</v>
      </c>
      <c r="H1204" s="72">
        <f t="shared" si="59"/>
        <v>7200</v>
      </c>
      <c r="I1204" s="72">
        <f t="shared" si="59"/>
        <v>0</v>
      </c>
      <c r="J1204" s="72">
        <f t="shared" si="59"/>
        <v>0</v>
      </c>
      <c r="K1204" s="72">
        <f t="shared" si="59"/>
        <v>0</v>
      </c>
      <c r="L1204" s="72">
        <f t="shared" si="59"/>
        <v>5400</v>
      </c>
      <c r="M1204" s="72">
        <f t="shared" si="59"/>
        <v>0</v>
      </c>
      <c r="N1204" s="72">
        <f t="shared" si="59"/>
        <v>4800</v>
      </c>
      <c r="O1204" s="72">
        <f t="shared" si="59"/>
        <v>0</v>
      </c>
      <c r="P1204" s="72">
        <f>SUM(P1205:P1274)</f>
        <v>25300</v>
      </c>
    </row>
    <row r="1205" spans="1:16" ht="15" customHeight="1" x14ac:dyDescent="0.25">
      <c r="A1205" s="551">
        <v>361</v>
      </c>
      <c r="B1205" s="558" t="s">
        <v>172</v>
      </c>
      <c r="C1205" s="110">
        <v>11</v>
      </c>
      <c r="D1205" s="12">
        <v>7900</v>
      </c>
      <c r="E1205" s="12"/>
      <c r="F1205" s="12"/>
      <c r="G1205" s="12"/>
      <c r="H1205" s="12"/>
      <c r="I1205" s="12"/>
      <c r="J1205" s="12"/>
      <c r="K1205" s="12"/>
      <c r="L1205" s="12"/>
      <c r="M1205" s="12"/>
      <c r="N1205" s="12"/>
      <c r="O1205" s="12"/>
      <c r="P1205" s="55">
        <f t="shared" ref="P1205:P1272" si="60">SUM(D1205:O1205)</f>
        <v>7900</v>
      </c>
    </row>
    <row r="1206" spans="1:16" ht="15" customHeight="1" x14ac:dyDescent="0.25">
      <c r="A1206" s="552"/>
      <c r="B1206" s="559"/>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2"/>
      <c r="B1207" s="559"/>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2"/>
      <c r="B1208" s="559"/>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2"/>
      <c r="B1209" s="559"/>
      <c r="C1209" s="110">
        <v>15</v>
      </c>
      <c r="D1209" s="12"/>
      <c r="E1209" s="12"/>
      <c r="F1209" s="12"/>
      <c r="G1209" s="12"/>
      <c r="H1209" s="12">
        <v>7200</v>
      </c>
      <c r="I1209" s="12"/>
      <c r="J1209" s="12"/>
      <c r="K1209" s="12"/>
      <c r="L1209" s="12">
        <v>5400</v>
      </c>
      <c r="M1209" s="12"/>
      <c r="N1209" s="12">
        <v>4800</v>
      </c>
      <c r="O1209" s="12"/>
      <c r="P1209" s="55">
        <f t="shared" si="60"/>
        <v>17400</v>
      </c>
    </row>
    <row r="1210" spans="1:16" ht="15" customHeight="1" x14ac:dyDescent="0.25">
      <c r="A1210" s="552"/>
      <c r="B1210" s="559"/>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2"/>
      <c r="B1211" s="559"/>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2"/>
      <c r="B1212" s="559"/>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52"/>
      <c r="B1213" s="559"/>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3"/>
      <c r="B1214" s="559"/>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1">
        <v>362</v>
      </c>
      <c r="B1215" s="558"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2"/>
      <c r="B1216" s="559"/>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2"/>
      <c r="B1217" s="559"/>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2"/>
      <c r="B1218" s="559"/>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2"/>
      <c r="B1219" s="559"/>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2"/>
      <c r="B1220" s="559"/>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2"/>
      <c r="B1221" s="559"/>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2"/>
      <c r="B1222" s="559"/>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2"/>
      <c r="B1223" s="559"/>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3"/>
      <c r="B1224" s="559"/>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1">
        <v>363</v>
      </c>
      <c r="B1225" s="558"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2"/>
      <c r="B1226" s="559"/>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2"/>
      <c r="B1227" s="559"/>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2"/>
      <c r="B1228" s="559"/>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2"/>
      <c r="B1229" s="559"/>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2"/>
      <c r="B1230" s="559"/>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2"/>
      <c r="B1231" s="559"/>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2"/>
      <c r="B1232" s="559"/>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2"/>
      <c r="B1233" s="559"/>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3"/>
      <c r="B1234" s="559"/>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1">
        <v>364</v>
      </c>
      <c r="B1235" s="558"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2"/>
      <c r="B1236" s="559"/>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2"/>
      <c r="B1237" s="559"/>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2"/>
      <c r="B1238" s="559"/>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2"/>
      <c r="B1239" s="559"/>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2"/>
      <c r="B1240" s="559"/>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2"/>
      <c r="B1241" s="559"/>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2"/>
      <c r="B1242" s="559"/>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2"/>
      <c r="B1243" s="559"/>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3"/>
      <c r="B1244" s="559"/>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1">
        <v>365</v>
      </c>
      <c r="B1245" s="558"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2"/>
      <c r="B1246" s="559"/>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2"/>
      <c r="B1247" s="559"/>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2"/>
      <c r="B1248" s="559"/>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2"/>
      <c r="B1249" s="559"/>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2"/>
      <c r="B1250" s="559"/>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2"/>
      <c r="B1251" s="559"/>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2"/>
      <c r="B1252" s="559"/>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2"/>
      <c r="B1253" s="559"/>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3"/>
      <c r="B1254" s="559"/>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1">
        <v>366</v>
      </c>
      <c r="B1255" s="558"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2"/>
      <c r="B1256" s="559"/>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2"/>
      <c r="B1257" s="559"/>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2"/>
      <c r="B1258" s="559"/>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2"/>
      <c r="B1259" s="559"/>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2"/>
      <c r="B1260" s="559"/>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2"/>
      <c r="B1261" s="559"/>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2"/>
      <c r="B1262" s="559"/>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2"/>
      <c r="B1263" s="559"/>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3"/>
      <c r="B1264" s="559"/>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1">
        <v>369</v>
      </c>
      <c r="B1265" s="558"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2"/>
      <c r="B1266" s="559"/>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2"/>
      <c r="B1267" s="559"/>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2"/>
      <c r="B1268" s="559"/>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2"/>
      <c r="B1269" s="559"/>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2"/>
      <c r="B1270" s="559"/>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2"/>
      <c r="B1271" s="559"/>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2"/>
      <c r="B1272" s="559"/>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2"/>
      <c r="B1273" s="559"/>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3"/>
      <c r="B1274" s="559"/>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2299</v>
      </c>
      <c r="C1275" s="306"/>
      <c r="D1275" s="72">
        <f>SUM(D1276:D1365)</f>
        <v>3591</v>
      </c>
      <c r="E1275" s="72">
        <f t="shared" ref="E1275:O1275" si="62">SUM(E1276:E1365)</f>
        <v>1635</v>
      </c>
      <c r="F1275" s="72">
        <f t="shared" si="62"/>
        <v>6710</v>
      </c>
      <c r="G1275" s="72">
        <f t="shared" si="62"/>
        <v>5905</v>
      </c>
      <c r="H1275" s="72">
        <f t="shared" si="62"/>
        <v>26196</v>
      </c>
      <c r="I1275" s="72">
        <f t="shared" si="62"/>
        <v>5705</v>
      </c>
      <c r="J1275" s="72">
        <f t="shared" si="62"/>
        <v>6139</v>
      </c>
      <c r="K1275" s="72">
        <f t="shared" si="62"/>
        <v>6126</v>
      </c>
      <c r="L1275" s="72">
        <f t="shared" si="62"/>
        <v>6386</v>
      </c>
      <c r="M1275" s="72">
        <f t="shared" si="62"/>
        <v>4970</v>
      </c>
      <c r="N1275" s="72">
        <f t="shared" si="62"/>
        <v>6338</v>
      </c>
      <c r="O1275" s="72">
        <f t="shared" si="62"/>
        <v>6035</v>
      </c>
      <c r="P1275" s="72">
        <f>SUM(P1276:P1365)</f>
        <v>85736</v>
      </c>
    </row>
    <row r="1276" spans="1:16" ht="15" customHeight="1" x14ac:dyDescent="0.25">
      <c r="A1276" s="551">
        <v>371</v>
      </c>
      <c r="B1276" s="558" t="s">
        <v>179</v>
      </c>
      <c r="C1276" s="110">
        <v>11</v>
      </c>
      <c r="D1276" s="12"/>
      <c r="E1276" s="12"/>
      <c r="F1276" s="12"/>
      <c r="G1276" s="12"/>
      <c r="H1276" s="12">
        <v>22150</v>
      </c>
      <c r="I1276" s="12"/>
      <c r="J1276" s="12"/>
      <c r="K1276" s="12"/>
      <c r="L1276" s="12"/>
      <c r="M1276" s="12"/>
      <c r="N1276" s="12"/>
      <c r="O1276" s="12"/>
      <c r="P1276" s="55">
        <f t="shared" ref="P1276:P1363" si="63">SUM(D1276:O1276)</f>
        <v>22150</v>
      </c>
    </row>
    <row r="1277" spans="1:16" ht="15" customHeight="1" x14ac:dyDescent="0.25">
      <c r="A1277" s="552"/>
      <c r="B1277" s="559"/>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2"/>
      <c r="B1278" s="559"/>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2"/>
      <c r="B1279" s="559"/>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2"/>
      <c r="B1280" s="559"/>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2"/>
      <c r="B1281" s="559"/>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2"/>
      <c r="B1282" s="559"/>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2"/>
      <c r="B1283" s="559"/>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2"/>
      <c r="B1284" s="559"/>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3"/>
      <c r="B1285" s="559"/>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1">
        <v>372</v>
      </c>
      <c r="B1286" s="558"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2"/>
      <c r="B1287" s="559"/>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2"/>
      <c r="B1288" s="559"/>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2"/>
      <c r="B1289" s="559"/>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2"/>
      <c r="B1290" s="559"/>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2"/>
      <c r="B1291" s="559"/>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2"/>
      <c r="B1292" s="559"/>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2"/>
      <c r="B1293" s="559"/>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2"/>
      <c r="B1294" s="559"/>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3"/>
      <c r="B1295" s="559"/>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1">
        <v>373</v>
      </c>
      <c r="B1296" s="558"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2"/>
      <c r="B1297" s="559"/>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2"/>
      <c r="B1298" s="559"/>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2"/>
      <c r="B1299" s="559"/>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2"/>
      <c r="B1300" s="559"/>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2"/>
      <c r="B1301" s="559"/>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2"/>
      <c r="B1302" s="559"/>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2"/>
      <c r="B1303" s="559"/>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2"/>
      <c r="B1304" s="559"/>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3"/>
      <c r="B1305" s="559"/>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1">
        <v>374</v>
      </c>
      <c r="B1306" s="558"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2"/>
      <c r="B1307" s="559"/>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2"/>
      <c r="B1308" s="559"/>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2"/>
      <c r="B1309" s="559"/>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2"/>
      <c r="B1310" s="559"/>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2"/>
      <c r="B1311" s="559"/>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2"/>
      <c r="B1312" s="559"/>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2"/>
      <c r="B1313" s="559"/>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2"/>
      <c r="B1314" s="559"/>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3"/>
      <c r="B1315" s="559"/>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1">
        <v>375</v>
      </c>
      <c r="B1316" s="558" t="s">
        <v>183</v>
      </c>
      <c r="C1316" s="110">
        <v>11</v>
      </c>
      <c r="D1316" s="12"/>
      <c r="E1316" s="12"/>
      <c r="F1316" s="12"/>
      <c r="G1316" s="12">
        <v>3690</v>
      </c>
      <c r="H1316" s="12"/>
      <c r="I1316" s="12"/>
      <c r="J1316" s="12"/>
      <c r="K1316" s="12"/>
      <c r="L1316" s="12"/>
      <c r="M1316" s="12"/>
      <c r="N1316" s="12"/>
      <c r="O1316" s="12"/>
      <c r="P1316" s="55">
        <f t="shared" si="63"/>
        <v>3690</v>
      </c>
    </row>
    <row r="1317" spans="1:16" ht="15" customHeight="1" x14ac:dyDescent="0.25">
      <c r="A1317" s="552"/>
      <c r="B1317" s="559"/>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2"/>
      <c r="B1318" s="559"/>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2"/>
      <c r="B1319" s="559"/>
      <c r="C1319" s="110">
        <v>14</v>
      </c>
      <c r="D1319" s="12"/>
      <c r="E1319" s="12"/>
      <c r="F1319" s="12"/>
      <c r="G1319" s="12"/>
      <c r="H1319" s="12"/>
      <c r="I1319" s="12"/>
      <c r="J1319" s="12"/>
      <c r="K1319" s="12"/>
      <c r="L1319" s="12"/>
      <c r="M1319" s="12"/>
      <c r="N1319" s="12"/>
      <c r="O1319" s="12"/>
      <c r="P1319" s="55">
        <f t="shared" si="63"/>
        <v>0</v>
      </c>
    </row>
    <row r="1320" spans="1:16" ht="15" customHeight="1" x14ac:dyDescent="0.25">
      <c r="A1320" s="552"/>
      <c r="B1320" s="559"/>
      <c r="C1320" s="110">
        <v>15</v>
      </c>
      <c r="D1320" s="12">
        <v>3591</v>
      </c>
      <c r="E1320" s="12">
        <v>1635</v>
      </c>
      <c r="F1320" s="12">
        <v>6710</v>
      </c>
      <c r="G1320" s="12">
        <v>2215</v>
      </c>
      <c r="H1320" s="12">
        <v>4046</v>
      </c>
      <c r="I1320" s="12">
        <v>5705</v>
      </c>
      <c r="J1320" s="12">
        <v>6139</v>
      </c>
      <c r="K1320" s="12">
        <v>6126</v>
      </c>
      <c r="L1320" s="12">
        <v>6386</v>
      </c>
      <c r="M1320" s="12">
        <v>4970</v>
      </c>
      <c r="N1320" s="12">
        <v>6338</v>
      </c>
      <c r="O1320" s="12">
        <v>6035</v>
      </c>
      <c r="P1320" s="55">
        <f t="shared" si="63"/>
        <v>59896</v>
      </c>
    </row>
    <row r="1321" spans="1:16" ht="15" customHeight="1" x14ac:dyDescent="0.25">
      <c r="A1321" s="552"/>
      <c r="B1321" s="559"/>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2"/>
      <c r="B1322" s="559"/>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2"/>
      <c r="B1323" s="559"/>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52"/>
      <c r="B1324" s="559"/>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3"/>
      <c r="B1325" s="559"/>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1">
        <v>376</v>
      </c>
      <c r="B1326" s="558" t="s">
        <v>2300</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2"/>
      <c r="B1327" s="559"/>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2"/>
      <c r="B1328" s="559"/>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2"/>
      <c r="B1329" s="559"/>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2"/>
      <c r="B1330" s="559"/>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2"/>
      <c r="B1331" s="559"/>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2"/>
      <c r="B1332" s="559"/>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2"/>
      <c r="B1333" s="559"/>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2"/>
      <c r="B1334" s="559"/>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3"/>
      <c r="B1335" s="559"/>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1">
        <v>377</v>
      </c>
      <c r="B1336" s="558"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2"/>
      <c r="B1337" s="559"/>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2"/>
      <c r="B1338" s="559"/>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2"/>
      <c r="B1339" s="559"/>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2"/>
      <c r="B1340" s="559"/>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2"/>
      <c r="B1341" s="559"/>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2"/>
      <c r="B1342" s="559"/>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2"/>
      <c r="B1343" s="559"/>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2"/>
      <c r="B1344" s="559"/>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3"/>
      <c r="B1345" s="559"/>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1">
        <v>378</v>
      </c>
      <c r="B1346" s="558"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2"/>
      <c r="B1347" s="559"/>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2"/>
      <c r="B1348" s="559"/>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2"/>
      <c r="B1349" s="559"/>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2"/>
      <c r="B1350" s="559"/>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2"/>
      <c r="B1351" s="559"/>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2"/>
      <c r="B1352" s="559"/>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2"/>
      <c r="B1353" s="559"/>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2"/>
      <c r="B1354" s="559"/>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3"/>
      <c r="B1355" s="559"/>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1">
        <v>379</v>
      </c>
      <c r="B1356" s="558"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25">
      <c r="A1357" s="552"/>
      <c r="B1357" s="559"/>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2"/>
      <c r="B1358" s="559"/>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2"/>
      <c r="B1359" s="559"/>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2"/>
      <c r="B1360" s="559"/>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2"/>
      <c r="B1361" s="559"/>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2"/>
      <c r="B1362" s="559"/>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2"/>
      <c r="B1363" s="559"/>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2"/>
      <c r="B1364" s="559"/>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3"/>
      <c r="B1365" s="559"/>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2301</v>
      </c>
      <c r="C1366" s="306"/>
      <c r="D1366" s="72">
        <f>SUM(D1367:D1416)</f>
        <v>476901</v>
      </c>
      <c r="E1366" s="72">
        <f t="shared" ref="E1366:O1366" si="65">SUM(E1367:E1416)</f>
        <v>76495</v>
      </c>
      <c r="F1366" s="72">
        <f t="shared" si="65"/>
        <v>92310</v>
      </c>
      <c r="G1366" s="72">
        <f t="shared" si="65"/>
        <v>208790</v>
      </c>
      <c r="H1366" s="72">
        <f t="shared" si="65"/>
        <v>725633</v>
      </c>
      <c r="I1366" s="72">
        <f t="shared" si="65"/>
        <v>73118</v>
      </c>
      <c r="J1366" s="72">
        <f t="shared" si="65"/>
        <v>35397</v>
      </c>
      <c r="K1366" s="72">
        <f t="shared" si="65"/>
        <v>0</v>
      </c>
      <c r="L1366" s="72">
        <f t="shared" si="65"/>
        <v>289007</v>
      </c>
      <c r="M1366" s="72">
        <f t="shared" si="65"/>
        <v>0</v>
      </c>
      <c r="N1366" s="72">
        <f t="shared" si="65"/>
        <v>129807</v>
      </c>
      <c r="O1366" s="72">
        <f t="shared" si="65"/>
        <v>484120</v>
      </c>
      <c r="P1366" s="72">
        <f>SUM(P1367:P1416)</f>
        <v>2591578</v>
      </c>
    </row>
    <row r="1367" spans="1:16" ht="15" customHeight="1" x14ac:dyDescent="0.25">
      <c r="A1367" s="551">
        <v>381</v>
      </c>
      <c r="B1367" s="558"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2"/>
      <c r="B1368" s="559"/>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2"/>
      <c r="B1369" s="559"/>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2"/>
      <c r="B1370" s="559"/>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2"/>
      <c r="B1371" s="559"/>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2"/>
      <c r="B1372" s="559"/>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2"/>
      <c r="B1373" s="559"/>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2"/>
      <c r="B1374" s="559"/>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2"/>
      <c r="B1375" s="559"/>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3"/>
      <c r="B1376" s="559"/>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1">
        <v>382</v>
      </c>
      <c r="B1377" s="558" t="s">
        <v>190</v>
      </c>
      <c r="C1377" s="110">
        <v>11</v>
      </c>
      <c r="D1377" s="12">
        <v>378379</v>
      </c>
      <c r="E1377" s="12">
        <v>45685</v>
      </c>
      <c r="F1377" s="12"/>
      <c r="G1377" s="12"/>
      <c r="H1377" s="12">
        <v>63220</v>
      </c>
      <c r="I1377" s="12"/>
      <c r="J1377" s="12"/>
      <c r="K1377" s="12"/>
      <c r="L1377" s="12">
        <v>20188</v>
      </c>
      <c r="M1377" s="12"/>
      <c r="N1377" s="12"/>
      <c r="O1377" s="12"/>
      <c r="P1377" s="55">
        <f t="shared" si="66"/>
        <v>507472</v>
      </c>
    </row>
    <row r="1378" spans="1:16" ht="15" customHeight="1" x14ac:dyDescent="0.25">
      <c r="A1378" s="552"/>
      <c r="B1378" s="559"/>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2"/>
      <c r="B1379" s="559"/>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2"/>
      <c r="B1380" s="559"/>
      <c r="C1380" s="110">
        <v>14</v>
      </c>
      <c r="D1380" s="12"/>
      <c r="E1380" s="12"/>
      <c r="F1380" s="12"/>
      <c r="G1380" s="12"/>
      <c r="H1380" s="12"/>
      <c r="I1380" s="12"/>
      <c r="J1380" s="12"/>
      <c r="K1380" s="12"/>
      <c r="L1380" s="12"/>
      <c r="M1380" s="12"/>
      <c r="N1380" s="12"/>
      <c r="O1380" s="12"/>
      <c r="P1380" s="55">
        <f t="shared" si="66"/>
        <v>0</v>
      </c>
    </row>
    <row r="1381" spans="1:16" ht="15" customHeight="1" x14ac:dyDescent="0.25">
      <c r="A1381" s="552"/>
      <c r="B1381" s="559"/>
      <c r="C1381" s="110">
        <v>15</v>
      </c>
      <c r="D1381" s="12">
        <v>98522</v>
      </c>
      <c r="E1381" s="12">
        <v>30810</v>
      </c>
      <c r="F1381" s="12">
        <v>92310</v>
      </c>
      <c r="G1381" s="12">
        <v>208790</v>
      </c>
      <c r="H1381" s="12">
        <v>662413</v>
      </c>
      <c r="I1381" s="12">
        <v>73118</v>
      </c>
      <c r="J1381" s="12">
        <v>35397</v>
      </c>
      <c r="K1381" s="12"/>
      <c r="L1381" s="12">
        <v>268819</v>
      </c>
      <c r="M1381" s="12"/>
      <c r="N1381" s="12">
        <v>129807</v>
      </c>
      <c r="O1381" s="12">
        <v>484120</v>
      </c>
      <c r="P1381" s="55">
        <f t="shared" si="66"/>
        <v>2084106</v>
      </c>
    </row>
    <row r="1382" spans="1:16" ht="15" customHeight="1" x14ac:dyDescent="0.25">
      <c r="A1382" s="552"/>
      <c r="B1382" s="559"/>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2"/>
      <c r="B1383" s="559"/>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2"/>
      <c r="B1384" s="559"/>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2"/>
      <c r="B1385" s="559"/>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3"/>
      <c r="B1386" s="559"/>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1">
        <v>383</v>
      </c>
      <c r="B1387" s="558"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2"/>
      <c r="B1388" s="559"/>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2"/>
      <c r="B1389" s="559"/>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2"/>
      <c r="B1390" s="559"/>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2"/>
      <c r="B1391" s="559"/>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2"/>
      <c r="B1392" s="559"/>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2"/>
      <c r="B1393" s="559"/>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2"/>
      <c r="B1394" s="559"/>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2"/>
      <c r="B1395" s="559"/>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3"/>
      <c r="B1396" s="559"/>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1">
        <v>384</v>
      </c>
      <c r="B1397" s="558"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2"/>
      <c r="B1398" s="559"/>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2"/>
      <c r="B1399" s="559"/>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2"/>
      <c r="B1400" s="559"/>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2"/>
      <c r="B1401" s="559"/>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2"/>
      <c r="B1402" s="559"/>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2"/>
      <c r="B1403" s="559"/>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2"/>
      <c r="B1404" s="559"/>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2"/>
      <c r="B1405" s="559"/>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3"/>
      <c r="B1406" s="559"/>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1">
        <v>385</v>
      </c>
      <c r="B1407" s="558"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2"/>
      <c r="B1408" s="559"/>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2"/>
      <c r="B1409" s="559"/>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2"/>
      <c r="B1410" s="559"/>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2"/>
      <c r="B1411" s="559"/>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2"/>
      <c r="B1412" s="559"/>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2"/>
      <c r="B1413" s="559"/>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2"/>
      <c r="B1414" s="559"/>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2"/>
      <c r="B1415" s="559"/>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3"/>
      <c r="B1416" s="559"/>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0</v>
      </c>
      <c r="E1417" s="72">
        <f t="shared" ref="E1417:O1417" si="67">SUM(E1418:E1498)</f>
        <v>0</v>
      </c>
      <c r="F1417" s="72">
        <f t="shared" si="67"/>
        <v>3249</v>
      </c>
      <c r="G1417" s="72">
        <f t="shared" si="67"/>
        <v>145800</v>
      </c>
      <c r="H1417" s="72">
        <f t="shared" si="67"/>
        <v>0</v>
      </c>
      <c r="I1417" s="72">
        <f t="shared" si="67"/>
        <v>495437</v>
      </c>
      <c r="J1417" s="72">
        <f t="shared" si="67"/>
        <v>0</v>
      </c>
      <c r="K1417" s="72">
        <f t="shared" si="67"/>
        <v>0</v>
      </c>
      <c r="L1417" s="72">
        <f t="shared" si="67"/>
        <v>1960</v>
      </c>
      <c r="M1417" s="72">
        <f t="shared" si="67"/>
        <v>0</v>
      </c>
      <c r="N1417" s="72">
        <f t="shared" si="67"/>
        <v>0</v>
      </c>
      <c r="O1417" s="72">
        <f t="shared" si="67"/>
        <v>0</v>
      </c>
      <c r="P1417" s="72">
        <f>SUM(P1418:P1498)</f>
        <v>646446</v>
      </c>
    </row>
    <row r="1418" spans="1:16" ht="15" customHeight="1" x14ac:dyDescent="0.25">
      <c r="A1418" s="551">
        <v>391</v>
      </c>
      <c r="B1418" s="558"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25">
      <c r="A1419" s="552"/>
      <c r="B1419" s="559"/>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2"/>
      <c r="B1420" s="559"/>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2"/>
      <c r="B1421" s="559"/>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2"/>
      <c r="B1422" s="559"/>
      <c r="C1422" s="110">
        <v>15</v>
      </c>
      <c r="D1422" s="12"/>
      <c r="E1422" s="12"/>
      <c r="F1422" s="12"/>
      <c r="G1422" s="12">
        <v>45800</v>
      </c>
      <c r="H1422" s="12"/>
      <c r="I1422" s="12"/>
      <c r="J1422" s="12"/>
      <c r="K1422" s="12"/>
      <c r="L1422" s="12"/>
      <c r="M1422" s="12"/>
      <c r="N1422" s="12"/>
      <c r="O1422" s="12"/>
      <c r="P1422" s="55">
        <f t="shared" si="68"/>
        <v>45800</v>
      </c>
    </row>
    <row r="1423" spans="1:16" ht="15" customHeight="1" x14ac:dyDescent="0.25">
      <c r="A1423" s="552"/>
      <c r="B1423" s="559"/>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2"/>
      <c r="B1424" s="559"/>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2"/>
      <c r="B1425" s="559"/>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2"/>
      <c r="B1426" s="559"/>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3"/>
      <c r="B1427" s="559"/>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1">
        <v>392</v>
      </c>
      <c r="B1428" s="558" t="s">
        <v>196</v>
      </c>
      <c r="C1428" s="110">
        <v>11</v>
      </c>
      <c r="D1428" s="12"/>
      <c r="E1428" s="12"/>
      <c r="F1428" s="12"/>
      <c r="G1428" s="12"/>
      <c r="H1428" s="12"/>
      <c r="I1428" s="12"/>
      <c r="J1428" s="12"/>
      <c r="K1428" s="12"/>
      <c r="L1428" s="12"/>
      <c r="M1428" s="12"/>
      <c r="N1428" s="12"/>
      <c r="O1428" s="12"/>
      <c r="P1428" s="55">
        <f t="shared" si="68"/>
        <v>0</v>
      </c>
    </row>
    <row r="1429" spans="1:16" ht="15" customHeight="1" x14ac:dyDescent="0.25">
      <c r="A1429" s="552"/>
      <c r="B1429" s="559"/>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2"/>
      <c r="B1430" s="559"/>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2"/>
      <c r="B1431" s="559"/>
      <c r="C1431" s="110">
        <v>14</v>
      </c>
      <c r="D1431" s="12"/>
      <c r="E1431" s="12"/>
      <c r="F1431" s="12"/>
      <c r="G1431" s="12"/>
      <c r="H1431" s="12"/>
      <c r="I1431" s="12"/>
      <c r="J1431" s="12"/>
      <c r="K1431" s="12"/>
      <c r="L1431" s="12"/>
      <c r="M1431" s="12"/>
      <c r="N1431" s="12"/>
      <c r="O1431" s="12"/>
      <c r="P1431" s="55">
        <f t="shared" si="68"/>
        <v>0</v>
      </c>
    </row>
    <row r="1432" spans="1:16" ht="15" customHeight="1" x14ac:dyDescent="0.25">
      <c r="A1432" s="552"/>
      <c r="B1432" s="559"/>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2"/>
      <c r="B1433" s="559"/>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2"/>
      <c r="B1434" s="559"/>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2"/>
      <c r="B1435" s="559"/>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52"/>
      <c r="B1436" s="559"/>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3"/>
      <c r="B1437" s="559"/>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1">
        <v>393</v>
      </c>
      <c r="B1438" s="558"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2"/>
      <c r="B1439" s="559"/>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2"/>
      <c r="B1440" s="559"/>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2"/>
      <c r="B1441" s="559"/>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2"/>
      <c r="B1442" s="559"/>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2"/>
      <c r="B1443" s="559"/>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2"/>
      <c r="B1444" s="559"/>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2"/>
      <c r="B1445" s="559"/>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2"/>
      <c r="B1446" s="559"/>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3"/>
      <c r="B1447" s="559"/>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1">
        <v>394</v>
      </c>
      <c r="B1448" s="558"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25">
      <c r="A1449" s="552"/>
      <c r="B1449" s="559"/>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2"/>
      <c r="B1450" s="559"/>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2"/>
      <c r="B1451" s="559"/>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2"/>
      <c r="B1452" s="559"/>
      <c r="C1452" s="110">
        <v>15</v>
      </c>
      <c r="D1452" s="12"/>
      <c r="E1452" s="12"/>
      <c r="F1452" s="12"/>
      <c r="G1452" s="12">
        <v>100000</v>
      </c>
      <c r="H1452" s="12"/>
      <c r="I1452" s="12">
        <v>495437</v>
      </c>
      <c r="J1452" s="12"/>
      <c r="K1452" s="12"/>
      <c r="L1452" s="12"/>
      <c r="M1452" s="12"/>
      <c r="N1452" s="12"/>
      <c r="O1452" s="12"/>
      <c r="P1452" s="55">
        <f t="shared" si="68"/>
        <v>595437</v>
      </c>
    </row>
    <row r="1453" spans="1:16" ht="15" customHeight="1" x14ac:dyDescent="0.25">
      <c r="A1453" s="552"/>
      <c r="B1453" s="559"/>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2"/>
      <c r="B1454" s="559"/>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2"/>
      <c r="B1455" s="559"/>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2"/>
      <c r="B1456" s="559"/>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3"/>
      <c r="B1457" s="559"/>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1">
        <v>395</v>
      </c>
      <c r="B1458" s="558"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2"/>
      <c r="B1459" s="559"/>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2"/>
      <c r="B1460" s="559"/>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2"/>
      <c r="B1461" s="559"/>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2"/>
      <c r="B1462" s="559"/>
      <c r="C1462" s="110">
        <v>15</v>
      </c>
      <c r="D1462" s="12"/>
      <c r="E1462" s="12"/>
      <c r="F1462" s="12">
        <v>3249</v>
      </c>
      <c r="G1462" s="12"/>
      <c r="H1462" s="12"/>
      <c r="I1462" s="12"/>
      <c r="J1462" s="12"/>
      <c r="K1462" s="12"/>
      <c r="L1462" s="12">
        <v>1960</v>
      </c>
      <c r="M1462" s="12"/>
      <c r="N1462" s="12"/>
      <c r="O1462" s="12"/>
      <c r="P1462" s="55">
        <f t="shared" si="68"/>
        <v>5209</v>
      </c>
    </row>
    <row r="1463" spans="1:16" ht="15" customHeight="1" x14ac:dyDescent="0.25">
      <c r="A1463" s="552"/>
      <c r="B1463" s="559"/>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2"/>
      <c r="B1464" s="559"/>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2"/>
      <c r="B1465" s="559"/>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2"/>
      <c r="B1466" s="559"/>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3"/>
      <c r="B1467" s="559"/>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1">
        <v>396</v>
      </c>
      <c r="B1468" s="558"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25">
      <c r="A1469" s="552"/>
      <c r="B1469" s="559"/>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2"/>
      <c r="B1470" s="559"/>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2"/>
      <c r="B1471" s="559"/>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2"/>
      <c r="B1472" s="559"/>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2"/>
      <c r="B1473" s="559"/>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2"/>
      <c r="B1474" s="559"/>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2"/>
      <c r="B1475" s="559"/>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2"/>
      <c r="B1476" s="559"/>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3"/>
      <c r="B1477" s="559"/>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1">
        <v>398</v>
      </c>
      <c r="B1479" s="558"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2"/>
      <c r="B1480" s="559"/>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2"/>
      <c r="B1481" s="559"/>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2"/>
      <c r="B1482" s="559"/>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2"/>
      <c r="B1483" s="559"/>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2"/>
      <c r="B1484" s="559"/>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2"/>
      <c r="B1485" s="559"/>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2"/>
      <c r="B1486" s="559"/>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2"/>
      <c r="B1487" s="559"/>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3"/>
      <c r="B1488" s="559"/>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1">
        <v>399</v>
      </c>
      <c r="B1489" s="558"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2"/>
      <c r="B1490" s="559"/>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2"/>
      <c r="B1491" s="559"/>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2"/>
      <c r="B1492" s="559"/>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2"/>
      <c r="B1493" s="559"/>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2"/>
      <c r="B1494" s="559"/>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2"/>
      <c r="B1495" s="559"/>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2"/>
      <c r="B1496" s="559"/>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2"/>
      <c r="B1497" s="559"/>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3"/>
      <c r="B1498" s="559"/>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2302</v>
      </c>
      <c r="C1499" s="310"/>
      <c r="D1499" s="76">
        <f t="shared" ref="D1499:P1499" si="70">D1500+D1528+D1543+D1625+D1706+D1737+D1772+D1783+D1834</f>
        <v>375198</v>
      </c>
      <c r="E1499" s="77">
        <f t="shared" si="70"/>
        <v>360322</v>
      </c>
      <c r="F1499" s="77">
        <f t="shared" si="70"/>
        <v>370052</v>
      </c>
      <c r="G1499" s="77">
        <f t="shared" si="70"/>
        <v>387670</v>
      </c>
      <c r="H1499" s="77">
        <f t="shared" si="70"/>
        <v>377375</v>
      </c>
      <c r="I1499" s="77">
        <f t="shared" si="70"/>
        <v>401367</v>
      </c>
      <c r="J1499" s="77">
        <f t="shared" si="70"/>
        <v>517521</v>
      </c>
      <c r="K1499" s="77">
        <f t="shared" si="70"/>
        <v>471591</v>
      </c>
      <c r="L1499" s="77">
        <f t="shared" si="70"/>
        <v>428257</v>
      </c>
      <c r="M1499" s="77">
        <f t="shared" si="70"/>
        <v>356635</v>
      </c>
      <c r="N1499" s="77">
        <f t="shared" si="70"/>
        <v>379018</v>
      </c>
      <c r="O1499" s="77">
        <f t="shared" si="70"/>
        <v>371827</v>
      </c>
      <c r="P1499" s="77">
        <f t="shared" si="70"/>
        <v>4796833</v>
      </c>
    </row>
    <row r="1500" spans="1:16" x14ac:dyDescent="0.25">
      <c r="A1500" s="74">
        <v>4100</v>
      </c>
      <c r="B1500" s="305" t="s">
        <v>2303</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1">
        <v>415</v>
      </c>
      <c r="B1505" s="558"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2"/>
      <c r="B1506" s="559"/>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2"/>
      <c r="B1507" s="559"/>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2"/>
      <c r="B1508" s="559"/>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2"/>
      <c r="B1509" s="559"/>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2"/>
      <c r="B1510" s="559"/>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2"/>
      <c r="B1511" s="559"/>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2"/>
      <c r="B1512" s="559"/>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2"/>
      <c r="B1513" s="559"/>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3"/>
      <c r="B1514" s="559"/>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1">
        <v>417</v>
      </c>
      <c r="B1516" s="558"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2"/>
      <c r="B1517" s="559"/>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2"/>
      <c r="B1518" s="559"/>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2"/>
      <c r="B1519" s="559"/>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2"/>
      <c r="B1520" s="559"/>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2"/>
      <c r="B1521" s="559"/>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2"/>
      <c r="B1522" s="559"/>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2"/>
      <c r="B1523" s="559"/>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2"/>
      <c r="B1524" s="559"/>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3"/>
      <c r="B1525" s="559"/>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2304</v>
      </c>
      <c r="C1528" s="306"/>
      <c r="D1528" s="72">
        <f>SUM(D1529:D1542)</f>
        <v>217603</v>
      </c>
      <c r="E1528" s="72">
        <f t="shared" ref="E1528:O1528" si="73">SUM(E1529:E1542)</f>
        <v>217603</v>
      </c>
      <c r="F1528" s="72">
        <f t="shared" si="73"/>
        <v>217603</v>
      </c>
      <c r="G1528" s="72">
        <f t="shared" si="73"/>
        <v>217603</v>
      </c>
      <c r="H1528" s="72">
        <f t="shared" si="73"/>
        <v>217603</v>
      </c>
      <c r="I1528" s="72">
        <f t="shared" si="73"/>
        <v>217603</v>
      </c>
      <c r="J1528" s="72">
        <f t="shared" si="73"/>
        <v>217603</v>
      </c>
      <c r="K1528" s="72">
        <f t="shared" si="73"/>
        <v>217603</v>
      </c>
      <c r="L1528" s="72">
        <f t="shared" si="73"/>
        <v>217603</v>
      </c>
      <c r="M1528" s="72">
        <f t="shared" si="73"/>
        <v>217603</v>
      </c>
      <c r="N1528" s="72">
        <f t="shared" si="73"/>
        <v>217603</v>
      </c>
      <c r="O1528" s="72">
        <f t="shared" si="73"/>
        <v>217603</v>
      </c>
      <c r="P1528" s="72">
        <f>SUM(P1529:P1542)</f>
        <v>2611236</v>
      </c>
    </row>
    <row r="1529" spans="1:16" ht="15" customHeight="1" x14ac:dyDescent="0.25">
      <c r="A1529" s="551">
        <v>421</v>
      </c>
      <c r="B1529" s="558"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2"/>
      <c r="B1530" s="559"/>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2"/>
      <c r="B1531" s="559"/>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2"/>
      <c r="B1532" s="559"/>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2"/>
      <c r="B1533" s="559"/>
      <c r="C1533" s="110">
        <v>15</v>
      </c>
      <c r="D1533" s="12">
        <v>217603</v>
      </c>
      <c r="E1533" s="12">
        <v>217603</v>
      </c>
      <c r="F1533" s="12">
        <v>217603</v>
      </c>
      <c r="G1533" s="12">
        <v>217603</v>
      </c>
      <c r="H1533" s="12">
        <v>217603</v>
      </c>
      <c r="I1533" s="12">
        <v>217603</v>
      </c>
      <c r="J1533" s="12">
        <v>217603</v>
      </c>
      <c r="K1533" s="12">
        <v>217603</v>
      </c>
      <c r="L1533" s="12">
        <v>217603</v>
      </c>
      <c r="M1533" s="12">
        <v>217603</v>
      </c>
      <c r="N1533" s="12">
        <v>217603</v>
      </c>
      <c r="O1533" s="12">
        <v>217603</v>
      </c>
      <c r="P1533" s="55">
        <f t="shared" si="74"/>
        <v>2611236</v>
      </c>
    </row>
    <row r="1534" spans="1:16" ht="15" customHeight="1" x14ac:dyDescent="0.25">
      <c r="A1534" s="552"/>
      <c r="B1534" s="559"/>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2"/>
      <c r="B1535" s="559"/>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2"/>
      <c r="B1536" s="559"/>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2"/>
      <c r="B1537" s="559"/>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3"/>
      <c r="B1538" s="559"/>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1">
        <v>431</v>
      </c>
      <c r="B1544" s="558"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2"/>
      <c r="B1545" s="559"/>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2"/>
      <c r="B1546" s="559"/>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2"/>
      <c r="B1547" s="559"/>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2"/>
      <c r="B1548" s="559"/>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2"/>
      <c r="B1549" s="559"/>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2"/>
      <c r="B1550" s="559"/>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2"/>
      <c r="B1551" s="559"/>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2"/>
      <c r="B1552" s="559"/>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3"/>
      <c r="B1553" s="559"/>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1">
        <v>432</v>
      </c>
      <c r="B1554" s="558"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2"/>
      <c r="B1555" s="559"/>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2"/>
      <c r="B1556" s="559"/>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2"/>
      <c r="B1557" s="559"/>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2"/>
      <c r="B1558" s="559"/>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2"/>
      <c r="B1559" s="559"/>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2"/>
      <c r="B1560" s="559"/>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2"/>
      <c r="B1561" s="559"/>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2"/>
      <c r="B1562" s="559"/>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3"/>
      <c r="B1563" s="559"/>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1">
        <v>433</v>
      </c>
      <c r="B1564" s="558"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2"/>
      <c r="B1565" s="559"/>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2"/>
      <c r="B1566" s="559"/>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2"/>
      <c r="B1567" s="559"/>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2"/>
      <c r="B1568" s="559"/>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2"/>
      <c r="B1569" s="559"/>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2"/>
      <c r="B1570" s="559"/>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2"/>
      <c r="B1571" s="559"/>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2"/>
      <c r="B1572" s="559"/>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3"/>
      <c r="B1573" s="559"/>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1">
        <v>434</v>
      </c>
      <c r="B1574" s="558"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2"/>
      <c r="B1575" s="559"/>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2"/>
      <c r="B1576" s="559"/>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2"/>
      <c r="B1577" s="559"/>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2"/>
      <c r="B1578" s="559"/>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2"/>
      <c r="B1579" s="559"/>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2"/>
      <c r="B1580" s="559"/>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2"/>
      <c r="B1581" s="559"/>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2"/>
      <c r="B1582" s="559"/>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3"/>
      <c r="B1583" s="559"/>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1">
        <v>435</v>
      </c>
      <c r="B1584" s="558"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2"/>
      <c r="B1585" s="559"/>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2"/>
      <c r="B1586" s="559"/>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2"/>
      <c r="B1587" s="559"/>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2"/>
      <c r="B1588" s="559"/>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2"/>
      <c r="B1589" s="559"/>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2"/>
      <c r="B1590" s="559"/>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2"/>
      <c r="B1591" s="559"/>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2"/>
      <c r="B1592" s="559"/>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3"/>
      <c r="B1593" s="559"/>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1">
        <v>436</v>
      </c>
      <c r="B1594" s="558" t="s">
        <v>2306</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2"/>
      <c r="B1595" s="559"/>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2"/>
      <c r="B1596" s="559"/>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2"/>
      <c r="B1597" s="559"/>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2"/>
      <c r="B1598" s="559"/>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2"/>
      <c r="B1599" s="559"/>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2"/>
      <c r="B1600" s="559"/>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2"/>
      <c r="B1601" s="559"/>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2"/>
      <c r="B1602" s="559"/>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3"/>
      <c r="B1603" s="559"/>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1">
        <v>437</v>
      </c>
      <c r="B1604" s="558"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2"/>
      <c r="B1605" s="559"/>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2"/>
      <c r="B1606" s="559"/>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2"/>
      <c r="B1607" s="559"/>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2"/>
      <c r="B1608" s="559"/>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2"/>
      <c r="B1609" s="559"/>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2"/>
      <c r="B1610" s="559"/>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2"/>
      <c r="B1611" s="559"/>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2"/>
      <c r="B1612" s="559"/>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3"/>
      <c r="B1613" s="559"/>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1">
        <v>439</v>
      </c>
      <c r="B1615" s="558"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2"/>
      <c r="B1616" s="559"/>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2"/>
      <c r="B1617" s="559"/>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2"/>
      <c r="B1618" s="559"/>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2"/>
      <c r="B1619" s="559"/>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2"/>
      <c r="B1620" s="559"/>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2"/>
      <c r="B1621" s="559"/>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2"/>
      <c r="B1622" s="559"/>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2"/>
      <c r="B1623" s="559"/>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3"/>
      <c r="B1624" s="559"/>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2307</v>
      </c>
      <c r="C1625" s="306"/>
      <c r="D1625" s="72">
        <f>SUM(D1626:D1705)</f>
        <v>147307</v>
      </c>
      <c r="E1625" s="72">
        <f t="shared" ref="E1625:O1625" si="78">SUM(E1626:E1705)</f>
        <v>132431</v>
      </c>
      <c r="F1625" s="72">
        <f t="shared" si="78"/>
        <v>142161</v>
      </c>
      <c r="G1625" s="72">
        <f t="shared" si="78"/>
        <v>159779</v>
      </c>
      <c r="H1625" s="72">
        <f t="shared" si="78"/>
        <v>149484</v>
      </c>
      <c r="I1625" s="72">
        <f t="shared" si="78"/>
        <v>173476</v>
      </c>
      <c r="J1625" s="72">
        <f t="shared" si="78"/>
        <v>289630</v>
      </c>
      <c r="K1625" s="72">
        <f t="shared" si="78"/>
        <v>243700</v>
      </c>
      <c r="L1625" s="72">
        <f t="shared" si="78"/>
        <v>200366</v>
      </c>
      <c r="M1625" s="72">
        <f t="shared" si="78"/>
        <v>128744</v>
      </c>
      <c r="N1625" s="72">
        <f t="shared" si="78"/>
        <v>151127</v>
      </c>
      <c r="O1625" s="72">
        <f t="shared" si="78"/>
        <v>143936</v>
      </c>
      <c r="P1625" s="72">
        <f>SUM(P1626:P1705)</f>
        <v>2062141</v>
      </c>
    </row>
    <row r="1626" spans="1:16" ht="15" customHeight="1" x14ac:dyDescent="0.25">
      <c r="A1626" s="551">
        <v>441</v>
      </c>
      <c r="B1626" s="558" t="s">
        <v>2308</v>
      </c>
      <c r="C1626" s="110">
        <v>11</v>
      </c>
      <c r="D1626" s="66"/>
      <c r="E1626" s="12"/>
      <c r="F1626" s="12"/>
      <c r="G1626" s="12"/>
      <c r="H1626" s="12"/>
      <c r="I1626" s="12"/>
      <c r="J1626" s="12"/>
      <c r="K1626" s="12"/>
      <c r="L1626" s="12"/>
      <c r="M1626" s="12"/>
      <c r="N1626" s="12"/>
      <c r="O1626" s="12"/>
      <c r="P1626" s="55">
        <f t="shared" ref="P1626:P1705" si="79">SUM(D1626:O1626)</f>
        <v>0</v>
      </c>
    </row>
    <row r="1627" spans="1:16" ht="15" customHeight="1" x14ac:dyDescent="0.25">
      <c r="A1627" s="552"/>
      <c r="B1627" s="559"/>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2"/>
      <c r="B1628" s="559"/>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2"/>
      <c r="B1629" s="559"/>
      <c r="C1629" s="110">
        <v>14</v>
      </c>
      <c r="D1629" s="66"/>
      <c r="E1629" s="12"/>
      <c r="F1629" s="12"/>
      <c r="G1629" s="12"/>
      <c r="H1629" s="12"/>
      <c r="I1629" s="12"/>
      <c r="J1629" s="12"/>
      <c r="K1629" s="12"/>
      <c r="L1629" s="12"/>
      <c r="M1629" s="12"/>
      <c r="N1629" s="12"/>
      <c r="O1629" s="12"/>
      <c r="P1629" s="55">
        <f t="shared" si="79"/>
        <v>0</v>
      </c>
    </row>
    <row r="1630" spans="1:16" ht="15" customHeight="1" x14ac:dyDescent="0.25">
      <c r="A1630" s="552"/>
      <c r="B1630" s="559"/>
      <c r="C1630" s="110">
        <v>15</v>
      </c>
      <c r="D1630" s="66">
        <v>98707</v>
      </c>
      <c r="E1630" s="12">
        <v>83831</v>
      </c>
      <c r="F1630" s="12">
        <v>93561</v>
      </c>
      <c r="G1630" s="12">
        <v>91179</v>
      </c>
      <c r="H1630" s="12">
        <v>80884</v>
      </c>
      <c r="I1630" s="12">
        <v>124876</v>
      </c>
      <c r="J1630" s="12">
        <v>116230</v>
      </c>
      <c r="K1630" s="12">
        <v>175100</v>
      </c>
      <c r="L1630" s="12">
        <v>131766</v>
      </c>
      <c r="M1630" s="12">
        <v>80144</v>
      </c>
      <c r="N1630" s="12">
        <v>102527</v>
      </c>
      <c r="O1630" s="12">
        <v>95336</v>
      </c>
      <c r="P1630" s="55">
        <f t="shared" si="79"/>
        <v>1274141</v>
      </c>
    </row>
    <row r="1631" spans="1:16" ht="15" customHeight="1" x14ac:dyDescent="0.25">
      <c r="A1631" s="552"/>
      <c r="B1631" s="559"/>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2"/>
      <c r="B1632" s="559"/>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2"/>
      <c r="B1633" s="559"/>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52"/>
      <c r="B1634" s="559"/>
      <c r="C1634" s="110">
        <v>26</v>
      </c>
      <c r="D1634" s="66"/>
      <c r="E1634" s="12"/>
      <c r="F1634" s="12"/>
      <c r="G1634" s="12"/>
      <c r="H1634" s="12"/>
      <c r="I1634" s="12"/>
      <c r="J1634" s="12"/>
      <c r="K1634" s="12"/>
      <c r="L1634" s="12"/>
      <c r="M1634" s="12"/>
      <c r="N1634" s="12"/>
      <c r="O1634" s="12"/>
      <c r="P1634" s="55">
        <f t="shared" si="79"/>
        <v>0</v>
      </c>
    </row>
    <row r="1635" spans="1:16" ht="15" customHeight="1" x14ac:dyDescent="0.25">
      <c r="A1635" s="553"/>
      <c r="B1635" s="559"/>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1">
        <v>442</v>
      </c>
      <c r="B1636" s="558"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25">
      <c r="A1637" s="552"/>
      <c r="B1637" s="559"/>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2"/>
      <c r="B1638" s="559"/>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2"/>
      <c r="B1639" s="559"/>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2"/>
      <c r="B1640" s="559"/>
      <c r="C1640" s="110">
        <v>15</v>
      </c>
      <c r="D1640" s="66"/>
      <c r="E1640" s="12"/>
      <c r="F1640" s="12"/>
      <c r="G1640" s="12"/>
      <c r="H1640" s="12"/>
      <c r="I1640" s="12"/>
      <c r="J1640" s="12">
        <v>104800</v>
      </c>
      <c r="K1640" s="12"/>
      <c r="L1640" s="12"/>
      <c r="M1640" s="12"/>
      <c r="N1640" s="12"/>
      <c r="O1640" s="12"/>
      <c r="P1640" s="55">
        <f t="shared" si="79"/>
        <v>104800</v>
      </c>
    </row>
    <row r="1641" spans="1:16" ht="15" customHeight="1" x14ac:dyDescent="0.25">
      <c r="A1641" s="552"/>
      <c r="B1641" s="559"/>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2"/>
      <c r="B1642" s="559"/>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2"/>
      <c r="B1643" s="559"/>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2"/>
      <c r="B1644" s="559"/>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3"/>
      <c r="B1645" s="559"/>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1">
        <v>443</v>
      </c>
      <c r="B1646" s="558" t="s">
        <v>233</v>
      </c>
      <c r="C1646" s="110">
        <v>11</v>
      </c>
      <c r="D1646" s="66"/>
      <c r="E1646" s="12"/>
      <c r="F1646" s="12"/>
      <c r="G1646" s="12"/>
      <c r="H1646" s="12"/>
      <c r="I1646" s="12"/>
      <c r="J1646" s="12"/>
      <c r="K1646" s="12"/>
      <c r="L1646" s="12"/>
      <c r="M1646" s="12"/>
      <c r="N1646" s="12"/>
      <c r="O1646" s="12"/>
      <c r="P1646" s="55">
        <f t="shared" si="79"/>
        <v>0</v>
      </c>
    </row>
    <row r="1647" spans="1:16" ht="15" customHeight="1" x14ac:dyDescent="0.25">
      <c r="A1647" s="552"/>
      <c r="B1647" s="559"/>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2"/>
      <c r="B1648" s="559"/>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2"/>
      <c r="B1649" s="559"/>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2"/>
      <c r="B1650" s="559"/>
      <c r="C1650" s="110">
        <v>15</v>
      </c>
      <c r="D1650" s="66">
        <v>15600</v>
      </c>
      <c r="E1650" s="12">
        <v>15600</v>
      </c>
      <c r="F1650" s="12">
        <v>15600</v>
      </c>
      <c r="G1650" s="12">
        <v>35600</v>
      </c>
      <c r="H1650" s="12">
        <v>35600</v>
      </c>
      <c r="I1650" s="12">
        <v>15600</v>
      </c>
      <c r="J1650" s="12">
        <v>35600</v>
      </c>
      <c r="K1650" s="12">
        <v>35600</v>
      </c>
      <c r="L1650" s="12">
        <v>35600</v>
      </c>
      <c r="M1650" s="12">
        <v>15600</v>
      </c>
      <c r="N1650" s="12">
        <v>15600</v>
      </c>
      <c r="O1650" s="12">
        <v>15600</v>
      </c>
      <c r="P1650" s="55">
        <f t="shared" si="79"/>
        <v>287200</v>
      </c>
    </row>
    <row r="1651" spans="1:16" ht="15" customHeight="1" x14ac:dyDescent="0.25">
      <c r="A1651" s="552"/>
      <c r="B1651" s="559"/>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2"/>
      <c r="B1652" s="559"/>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2"/>
      <c r="B1653" s="559"/>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2"/>
      <c r="B1654" s="559"/>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3"/>
      <c r="B1655" s="559"/>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1">
        <v>444</v>
      </c>
      <c r="B1656" s="558"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2"/>
      <c r="B1657" s="559"/>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2"/>
      <c r="B1658" s="559"/>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2"/>
      <c r="B1659" s="559"/>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2"/>
      <c r="B1660" s="559"/>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2"/>
      <c r="B1661" s="559"/>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2"/>
      <c r="B1662" s="559"/>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2"/>
      <c r="B1663" s="559"/>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2"/>
      <c r="B1664" s="559"/>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3"/>
      <c r="B1665" s="559"/>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1">
        <v>445</v>
      </c>
      <c r="B1666" s="558"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52"/>
      <c r="B1667" s="559"/>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2"/>
      <c r="B1668" s="559"/>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2"/>
      <c r="B1669" s="559"/>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2"/>
      <c r="B1670" s="559"/>
      <c r="C1670" s="110">
        <v>15</v>
      </c>
      <c r="D1670" s="66">
        <v>33000</v>
      </c>
      <c r="E1670" s="12">
        <v>33000</v>
      </c>
      <c r="F1670" s="12">
        <v>33000</v>
      </c>
      <c r="G1670" s="12">
        <v>33000</v>
      </c>
      <c r="H1670" s="12">
        <v>33000</v>
      </c>
      <c r="I1670" s="12">
        <v>33000</v>
      </c>
      <c r="J1670" s="12">
        <v>33000</v>
      </c>
      <c r="K1670" s="12">
        <v>33000</v>
      </c>
      <c r="L1670" s="12">
        <v>33000</v>
      </c>
      <c r="M1670" s="12">
        <v>33000</v>
      </c>
      <c r="N1670" s="12">
        <v>33000</v>
      </c>
      <c r="O1670" s="12">
        <v>33000</v>
      </c>
      <c r="P1670" s="55">
        <f t="shared" si="79"/>
        <v>396000</v>
      </c>
    </row>
    <row r="1671" spans="1:16" ht="15" customHeight="1" x14ac:dyDescent="0.25">
      <c r="A1671" s="552"/>
      <c r="B1671" s="559"/>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2"/>
      <c r="B1672" s="559"/>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2"/>
      <c r="B1673" s="559"/>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2"/>
      <c r="B1674" s="559"/>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3"/>
      <c r="B1675" s="559"/>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1">
        <v>446</v>
      </c>
      <c r="B1676" s="558"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2"/>
      <c r="B1677" s="559"/>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2"/>
      <c r="B1678" s="559"/>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2"/>
      <c r="B1679" s="559"/>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2"/>
      <c r="B1680" s="559"/>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2"/>
      <c r="B1681" s="559"/>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2"/>
      <c r="B1682" s="559"/>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2"/>
      <c r="B1683" s="559"/>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2"/>
      <c r="B1684" s="559"/>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3"/>
      <c r="B1685" s="559"/>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1">
        <v>447</v>
      </c>
      <c r="B1686" s="558"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2"/>
      <c r="B1687" s="559"/>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2"/>
      <c r="B1688" s="559"/>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2"/>
      <c r="B1689" s="559"/>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2"/>
      <c r="B1690" s="559"/>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2"/>
      <c r="B1691" s="559"/>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2"/>
      <c r="B1692" s="559"/>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2"/>
      <c r="B1693" s="559"/>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2"/>
      <c r="B1694" s="559"/>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3"/>
      <c r="B1695" s="559"/>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1">
        <v>448</v>
      </c>
      <c r="B1696" s="558"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2"/>
      <c r="B1697" s="559"/>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2"/>
      <c r="B1698" s="559"/>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2"/>
      <c r="B1699" s="559"/>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2"/>
      <c r="B1700" s="559"/>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2"/>
      <c r="B1701" s="559"/>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2"/>
      <c r="B1702" s="559"/>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2"/>
      <c r="B1703" s="559"/>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2"/>
      <c r="B1704" s="559"/>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3"/>
      <c r="B1705" s="559"/>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10288</v>
      </c>
      <c r="E1706" s="72">
        <f t="shared" ref="E1706:O1706" si="80">SUM(E1707:E1736)</f>
        <v>10288</v>
      </c>
      <c r="F1706" s="72">
        <f t="shared" si="80"/>
        <v>10288</v>
      </c>
      <c r="G1706" s="72">
        <f t="shared" si="80"/>
        <v>10288</v>
      </c>
      <c r="H1706" s="72">
        <f t="shared" si="80"/>
        <v>10288</v>
      </c>
      <c r="I1706" s="72">
        <f t="shared" si="80"/>
        <v>10288</v>
      </c>
      <c r="J1706" s="72">
        <f t="shared" si="80"/>
        <v>10288</v>
      </c>
      <c r="K1706" s="72">
        <f t="shared" si="80"/>
        <v>10288</v>
      </c>
      <c r="L1706" s="72">
        <f t="shared" si="80"/>
        <v>10288</v>
      </c>
      <c r="M1706" s="72">
        <f t="shared" si="80"/>
        <v>10288</v>
      </c>
      <c r="N1706" s="72">
        <f t="shared" si="80"/>
        <v>10288</v>
      </c>
      <c r="O1706" s="72">
        <f t="shared" si="80"/>
        <v>10288</v>
      </c>
      <c r="P1706" s="72">
        <f>SUM(P1707:P1736)</f>
        <v>123456</v>
      </c>
    </row>
    <row r="1707" spans="1:16" ht="15" customHeight="1" x14ac:dyDescent="0.25">
      <c r="A1707" s="551">
        <v>451</v>
      </c>
      <c r="B1707" s="558"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2"/>
      <c r="B1708" s="559"/>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2"/>
      <c r="B1709" s="559"/>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2"/>
      <c r="B1710" s="559"/>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2"/>
      <c r="B1711" s="559"/>
      <c r="C1711" s="110">
        <v>15</v>
      </c>
      <c r="D1711" s="66"/>
      <c r="E1711" s="12"/>
      <c r="F1711" s="12"/>
      <c r="G1711" s="12"/>
      <c r="H1711" s="12"/>
      <c r="I1711" s="12"/>
      <c r="J1711" s="12"/>
      <c r="K1711" s="12"/>
      <c r="L1711" s="12"/>
      <c r="M1711" s="12"/>
      <c r="N1711" s="12"/>
      <c r="O1711" s="12"/>
      <c r="P1711" s="55">
        <f t="shared" si="81"/>
        <v>0</v>
      </c>
    </row>
    <row r="1712" spans="1:16" ht="15" customHeight="1" x14ac:dyDescent="0.25">
      <c r="A1712" s="552"/>
      <c r="B1712" s="559"/>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2"/>
      <c r="B1713" s="559"/>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2"/>
      <c r="B1714" s="559"/>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2"/>
      <c r="B1715" s="559"/>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3"/>
      <c r="B1716" s="559"/>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1">
        <v>452</v>
      </c>
      <c r="B1717" s="558"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2"/>
      <c r="B1718" s="559"/>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2"/>
      <c r="B1719" s="559"/>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2"/>
      <c r="B1720" s="559"/>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2"/>
      <c r="B1721" s="559"/>
      <c r="C1721" s="110">
        <v>15</v>
      </c>
      <c r="D1721" s="66">
        <v>10288</v>
      </c>
      <c r="E1721" s="12">
        <v>10288</v>
      </c>
      <c r="F1721" s="12">
        <v>10288</v>
      </c>
      <c r="G1721" s="12">
        <v>10288</v>
      </c>
      <c r="H1721" s="12">
        <v>10288</v>
      </c>
      <c r="I1721" s="12">
        <v>10288</v>
      </c>
      <c r="J1721" s="12">
        <v>10288</v>
      </c>
      <c r="K1721" s="12">
        <v>10288</v>
      </c>
      <c r="L1721" s="12">
        <v>10288</v>
      </c>
      <c r="M1721" s="12">
        <v>10288</v>
      </c>
      <c r="N1721" s="12">
        <v>10288</v>
      </c>
      <c r="O1721" s="12">
        <v>10288</v>
      </c>
      <c r="P1721" s="55">
        <f t="shared" si="81"/>
        <v>123456</v>
      </c>
    </row>
    <row r="1722" spans="1:16" ht="15" customHeight="1" x14ac:dyDescent="0.25">
      <c r="A1722" s="552"/>
      <c r="B1722" s="559"/>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2"/>
      <c r="B1723" s="559"/>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2"/>
      <c r="B1724" s="559"/>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2"/>
      <c r="B1725" s="559"/>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3"/>
      <c r="B1726" s="559"/>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1">
        <v>459</v>
      </c>
      <c r="B1727" s="558"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2"/>
      <c r="B1728" s="559"/>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2"/>
      <c r="B1729" s="559"/>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2"/>
      <c r="B1730" s="559"/>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2"/>
      <c r="B1731" s="559"/>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2"/>
      <c r="B1732" s="559"/>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2"/>
      <c r="B1733" s="559"/>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2"/>
      <c r="B1734" s="559"/>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2"/>
      <c r="B1735" s="559"/>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3"/>
      <c r="B1736" s="559"/>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2309</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51">
        <v>461</v>
      </c>
      <c r="B1738" s="558"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2"/>
      <c r="B1739" s="559"/>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2"/>
      <c r="B1740" s="559"/>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2"/>
      <c r="B1741" s="559"/>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2"/>
      <c r="B1742" s="559"/>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2"/>
      <c r="B1743" s="559"/>
      <c r="C1743" s="110">
        <v>16</v>
      </c>
      <c r="D1743" s="66"/>
      <c r="E1743" s="12"/>
      <c r="F1743" s="12"/>
      <c r="G1743" s="12"/>
      <c r="H1743" s="12"/>
      <c r="I1743" s="12"/>
      <c r="J1743" s="12"/>
      <c r="K1743" s="12"/>
      <c r="L1743" s="12"/>
      <c r="M1743" s="12"/>
      <c r="N1743" s="12"/>
      <c r="O1743" s="12"/>
      <c r="P1743" s="55">
        <f t="shared" si="83"/>
        <v>0</v>
      </c>
    </row>
    <row r="1744" spans="1:16" ht="15" customHeight="1" x14ac:dyDescent="0.25">
      <c r="A1744" s="552"/>
      <c r="B1744" s="559"/>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2"/>
      <c r="B1745" s="559"/>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2"/>
      <c r="B1746" s="559"/>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3"/>
      <c r="B1747" s="559"/>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1">
        <v>464</v>
      </c>
      <c r="B1750" s="558"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2"/>
      <c r="B1751" s="559"/>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2"/>
      <c r="B1752" s="559"/>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2"/>
      <c r="B1753" s="559"/>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2"/>
      <c r="B1754" s="559"/>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2"/>
      <c r="B1755" s="559"/>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2"/>
      <c r="B1756" s="559"/>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2"/>
      <c r="B1757" s="559"/>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2"/>
      <c r="B1758" s="559"/>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3"/>
      <c r="B1759" s="559"/>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1">
        <v>469</v>
      </c>
      <c r="B1762" s="558" t="s">
        <v>2310</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2"/>
      <c r="B1763" s="559"/>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2"/>
      <c r="B1764" s="559"/>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2"/>
      <c r="B1765" s="559"/>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2"/>
      <c r="B1766" s="559"/>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2"/>
      <c r="B1767" s="559"/>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2"/>
      <c r="B1768" s="559"/>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2"/>
      <c r="B1769" s="559"/>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2"/>
      <c r="B1770" s="559"/>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3"/>
      <c r="B1771" s="559"/>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2311</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1">
        <v>471</v>
      </c>
      <c r="B1773" s="558"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2"/>
      <c r="B1774" s="559"/>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2"/>
      <c r="B1775" s="559"/>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2"/>
      <c r="B1776" s="559"/>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2"/>
      <c r="B1777" s="559"/>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2"/>
      <c r="B1778" s="559"/>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2"/>
      <c r="B1779" s="559"/>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2"/>
      <c r="B1780" s="559"/>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2"/>
      <c r="B1781" s="559"/>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3"/>
      <c r="B1782" s="559"/>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2312</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1">
        <v>481</v>
      </c>
      <c r="B1784" s="558"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2"/>
      <c r="B1785" s="559"/>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2"/>
      <c r="B1786" s="559"/>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2"/>
      <c r="B1787" s="559"/>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2"/>
      <c r="B1788" s="559"/>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2"/>
      <c r="B1789" s="559"/>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2"/>
      <c r="B1790" s="559"/>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2"/>
      <c r="B1791" s="559"/>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2"/>
      <c r="B1792" s="559"/>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3"/>
      <c r="B1793" s="559"/>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1">
        <v>482</v>
      </c>
      <c r="B1794" s="558" t="s">
        <v>2313</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2"/>
      <c r="B1795" s="559"/>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2"/>
      <c r="B1796" s="559"/>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2"/>
      <c r="B1797" s="559"/>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2"/>
      <c r="B1798" s="559"/>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2"/>
      <c r="B1799" s="559"/>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2"/>
      <c r="B1800" s="559"/>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2"/>
      <c r="B1801" s="559"/>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2"/>
      <c r="B1802" s="559"/>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3"/>
      <c r="B1803" s="559"/>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1">
        <v>483</v>
      </c>
      <c r="B1804" s="558"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2"/>
      <c r="B1805" s="559"/>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2"/>
      <c r="B1806" s="559"/>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2"/>
      <c r="B1807" s="559"/>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2"/>
      <c r="B1808" s="559"/>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2"/>
      <c r="B1809" s="559"/>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2"/>
      <c r="B1810" s="559"/>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2"/>
      <c r="B1811" s="559"/>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2"/>
      <c r="B1812" s="559"/>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3"/>
      <c r="B1813" s="559"/>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1">
        <v>484</v>
      </c>
      <c r="B1814" s="558"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2"/>
      <c r="B1815" s="559"/>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2"/>
      <c r="B1816" s="559"/>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2"/>
      <c r="B1817" s="559"/>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2"/>
      <c r="B1818" s="559"/>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2"/>
      <c r="B1819" s="559"/>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2"/>
      <c r="B1820" s="559"/>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2"/>
      <c r="B1821" s="559"/>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2"/>
      <c r="B1822" s="559"/>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3"/>
      <c r="B1823" s="559"/>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1">
        <v>485</v>
      </c>
      <c r="B1824" s="558"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2"/>
      <c r="B1825" s="559"/>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2"/>
      <c r="B1826" s="559"/>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2"/>
      <c r="B1827" s="559"/>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2"/>
      <c r="B1828" s="559"/>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2"/>
      <c r="B1829" s="559"/>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2"/>
      <c r="B1830" s="559"/>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2"/>
      <c r="B1831" s="559"/>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2"/>
      <c r="B1832" s="559"/>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3"/>
      <c r="B1833" s="559"/>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2314</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1">
        <v>491</v>
      </c>
      <c r="B1835" s="558"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2"/>
      <c r="B1836" s="559"/>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2"/>
      <c r="B1837" s="559"/>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2"/>
      <c r="B1838" s="559"/>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2"/>
      <c r="B1839" s="559"/>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2"/>
      <c r="B1840" s="559"/>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2"/>
      <c r="B1841" s="559"/>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2"/>
      <c r="B1842" s="559"/>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2"/>
      <c r="B1843" s="559"/>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3"/>
      <c r="B1844" s="559"/>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1">
        <v>492</v>
      </c>
      <c r="B1845" s="558"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2"/>
      <c r="B1846" s="559"/>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2"/>
      <c r="B1847" s="559"/>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2"/>
      <c r="B1848" s="559"/>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2"/>
      <c r="B1849" s="559"/>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2"/>
      <c r="B1850" s="559"/>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2"/>
      <c r="B1851" s="559"/>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2"/>
      <c r="B1852" s="559"/>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2"/>
      <c r="B1853" s="559"/>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3"/>
      <c r="B1854" s="559"/>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1">
        <v>493</v>
      </c>
      <c r="B1855" s="558"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2"/>
      <c r="B1856" s="559"/>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2"/>
      <c r="B1857" s="559"/>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2"/>
      <c r="B1858" s="559"/>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2"/>
      <c r="B1859" s="559"/>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2"/>
      <c r="B1860" s="559"/>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2"/>
      <c r="B1861" s="559"/>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2"/>
      <c r="B1862" s="559"/>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2"/>
      <c r="B1863" s="559"/>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3"/>
      <c r="B1864" s="559"/>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2315</v>
      </c>
      <c r="C1865" s="310"/>
      <c r="D1865" s="76">
        <f>D1866+D1927+D1968+D1989+D2050+D2061+D2142+D2233+D2274</f>
        <v>16895</v>
      </c>
      <c r="E1865" s="77">
        <f t="shared" ref="E1865:P1865" si="90">E1866+E1927+E1968+E1989+E2050+E2061+E2142+E2233+E2274</f>
        <v>0</v>
      </c>
      <c r="F1865" s="77">
        <f t="shared" si="90"/>
        <v>46595</v>
      </c>
      <c r="G1865" s="77">
        <f t="shared" si="90"/>
        <v>676600</v>
      </c>
      <c r="H1865" s="77">
        <f t="shared" si="90"/>
        <v>62738</v>
      </c>
      <c r="I1865" s="77">
        <f t="shared" si="90"/>
        <v>734248</v>
      </c>
      <c r="J1865" s="77">
        <f t="shared" si="90"/>
        <v>12980</v>
      </c>
      <c r="K1865" s="77">
        <f t="shared" si="90"/>
        <v>53142</v>
      </c>
      <c r="L1865" s="77">
        <f t="shared" si="90"/>
        <v>0</v>
      </c>
      <c r="M1865" s="77">
        <f t="shared" si="90"/>
        <v>31065</v>
      </c>
      <c r="N1865" s="77">
        <f t="shared" si="90"/>
        <v>0</v>
      </c>
      <c r="O1865" s="77">
        <f t="shared" si="90"/>
        <v>0</v>
      </c>
      <c r="P1865" s="77">
        <f t="shared" si="90"/>
        <v>1634263</v>
      </c>
    </row>
    <row r="1866" spans="1:16" x14ac:dyDescent="0.25">
      <c r="A1866" s="74">
        <v>5100</v>
      </c>
      <c r="B1866" s="305" t="s">
        <v>2316</v>
      </c>
      <c r="C1866" s="306"/>
      <c r="D1866" s="72">
        <f>SUM(D1867:D1926)</f>
        <v>16895</v>
      </c>
      <c r="E1866" s="72">
        <f t="shared" ref="E1866:O1866" si="91">SUM(E1867:E1926)</f>
        <v>0</v>
      </c>
      <c r="F1866" s="72">
        <f t="shared" si="91"/>
        <v>46595</v>
      </c>
      <c r="G1866" s="72">
        <f t="shared" si="91"/>
        <v>0</v>
      </c>
      <c r="H1866" s="72">
        <f t="shared" si="91"/>
        <v>39740</v>
      </c>
      <c r="I1866" s="72">
        <f t="shared" si="91"/>
        <v>0</v>
      </c>
      <c r="J1866" s="72">
        <f t="shared" si="91"/>
        <v>12980</v>
      </c>
      <c r="K1866" s="72">
        <f t="shared" si="91"/>
        <v>53142</v>
      </c>
      <c r="L1866" s="72">
        <f t="shared" si="91"/>
        <v>0</v>
      </c>
      <c r="M1866" s="72">
        <f t="shared" si="91"/>
        <v>31065</v>
      </c>
      <c r="N1866" s="72">
        <f t="shared" si="91"/>
        <v>0</v>
      </c>
      <c r="O1866" s="72">
        <f t="shared" si="91"/>
        <v>0</v>
      </c>
      <c r="P1866" s="72">
        <f>SUM(P1867:P1926)</f>
        <v>200417</v>
      </c>
    </row>
    <row r="1867" spans="1:16" ht="15" customHeight="1" x14ac:dyDescent="0.25">
      <c r="A1867" s="551">
        <v>511</v>
      </c>
      <c r="B1867" s="558" t="s">
        <v>2317</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25">
      <c r="A1868" s="552"/>
      <c r="B1868" s="559"/>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2"/>
      <c r="B1869" s="559"/>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2"/>
      <c r="B1870" s="559"/>
      <c r="C1870" s="110">
        <v>14</v>
      </c>
      <c r="D1870" s="66"/>
      <c r="E1870" s="12"/>
      <c r="F1870" s="12"/>
      <c r="G1870" s="12"/>
      <c r="H1870" s="12"/>
      <c r="I1870" s="12"/>
      <c r="J1870" s="12"/>
      <c r="K1870" s="12"/>
      <c r="L1870" s="12"/>
      <c r="M1870" s="12"/>
      <c r="N1870" s="12"/>
      <c r="O1870" s="12"/>
      <c r="P1870" s="55">
        <f t="shared" si="92"/>
        <v>0</v>
      </c>
    </row>
    <row r="1871" spans="1:16" ht="15" customHeight="1" x14ac:dyDescent="0.25">
      <c r="A1871" s="552"/>
      <c r="B1871" s="559"/>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2"/>
      <c r="B1872" s="559"/>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2"/>
      <c r="B1873" s="559"/>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2"/>
      <c r="B1874" s="559"/>
      <c r="C1874" s="110">
        <v>25</v>
      </c>
      <c r="D1874" s="66"/>
      <c r="E1874" s="12"/>
      <c r="F1874" s="12"/>
      <c r="G1874" s="12"/>
      <c r="H1874" s="12"/>
      <c r="I1874" s="12"/>
      <c r="J1874" s="12"/>
      <c r="K1874" s="12"/>
      <c r="L1874" s="12"/>
      <c r="M1874" s="12"/>
      <c r="N1874" s="12"/>
      <c r="O1874" s="12"/>
      <c r="P1874" s="55">
        <f t="shared" si="92"/>
        <v>0</v>
      </c>
    </row>
    <row r="1875" spans="1:16" ht="15" customHeight="1" x14ac:dyDescent="0.25">
      <c r="A1875" s="552"/>
      <c r="B1875" s="559"/>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3"/>
      <c r="B1876" s="559"/>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1">
        <v>512</v>
      </c>
      <c r="B1877" s="558"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52"/>
      <c r="B1878" s="559"/>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2"/>
      <c r="B1879" s="559"/>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2"/>
      <c r="B1880" s="559"/>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2"/>
      <c r="B1881" s="559"/>
      <c r="C1881" s="110">
        <v>15</v>
      </c>
      <c r="D1881" s="66"/>
      <c r="E1881" s="12"/>
      <c r="F1881" s="12">
        <v>10815</v>
      </c>
      <c r="G1881" s="12"/>
      <c r="H1881" s="12"/>
      <c r="I1881" s="12"/>
      <c r="J1881" s="12">
        <v>12980</v>
      </c>
      <c r="K1881" s="12"/>
      <c r="L1881" s="12"/>
      <c r="M1881" s="12"/>
      <c r="N1881" s="12"/>
      <c r="O1881" s="12"/>
      <c r="P1881" s="55">
        <f t="shared" si="92"/>
        <v>23795</v>
      </c>
    </row>
    <row r="1882" spans="1:16" ht="15" customHeight="1" x14ac:dyDescent="0.25">
      <c r="A1882" s="552"/>
      <c r="B1882" s="559"/>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2"/>
      <c r="B1883" s="559"/>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2"/>
      <c r="B1884" s="559"/>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2"/>
      <c r="B1885" s="559"/>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3"/>
      <c r="B1886" s="559"/>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1">
        <v>513</v>
      </c>
      <c r="B1887" s="558"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2"/>
      <c r="B1888" s="559"/>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2"/>
      <c r="B1889" s="559"/>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2"/>
      <c r="B1890" s="559"/>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2"/>
      <c r="B1891" s="559"/>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2"/>
      <c r="B1892" s="559"/>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2"/>
      <c r="B1893" s="559"/>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2"/>
      <c r="B1894" s="559"/>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2"/>
      <c r="B1895" s="559"/>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3"/>
      <c r="B1896" s="559"/>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1">
        <v>514</v>
      </c>
      <c r="B1897" s="558"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2"/>
      <c r="B1898" s="559"/>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2"/>
      <c r="B1899" s="559"/>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2"/>
      <c r="B1900" s="559"/>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2"/>
      <c r="B1901" s="559"/>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2"/>
      <c r="B1902" s="559"/>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2"/>
      <c r="B1903" s="559"/>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2"/>
      <c r="B1904" s="559"/>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2"/>
      <c r="B1905" s="559"/>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3"/>
      <c r="B1906" s="559"/>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1">
        <v>515</v>
      </c>
      <c r="B1907" s="558" t="s">
        <v>267</v>
      </c>
      <c r="C1907" s="110">
        <v>11</v>
      </c>
      <c r="D1907" s="66">
        <v>16895</v>
      </c>
      <c r="E1907" s="12"/>
      <c r="F1907" s="12"/>
      <c r="G1907" s="12"/>
      <c r="H1907" s="12"/>
      <c r="I1907" s="12"/>
      <c r="J1907" s="12"/>
      <c r="K1907" s="12"/>
      <c r="L1907" s="12"/>
      <c r="M1907" s="12"/>
      <c r="N1907" s="12"/>
      <c r="O1907" s="12"/>
      <c r="P1907" s="55">
        <f t="shared" si="92"/>
        <v>16895</v>
      </c>
    </row>
    <row r="1908" spans="1:16" ht="15" customHeight="1" x14ac:dyDescent="0.25">
      <c r="A1908" s="552"/>
      <c r="B1908" s="559"/>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2"/>
      <c r="B1909" s="559"/>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2"/>
      <c r="B1910" s="559"/>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2"/>
      <c r="B1911" s="559"/>
      <c r="C1911" s="110">
        <v>15</v>
      </c>
      <c r="D1911" s="66"/>
      <c r="E1911" s="12"/>
      <c r="F1911" s="12">
        <v>35780</v>
      </c>
      <c r="G1911" s="12"/>
      <c r="H1911" s="12">
        <v>39740</v>
      </c>
      <c r="I1911" s="12"/>
      <c r="J1911" s="12"/>
      <c r="K1911" s="12">
        <v>53142</v>
      </c>
      <c r="L1911" s="12"/>
      <c r="M1911" s="12">
        <v>31065</v>
      </c>
      <c r="N1911" s="12"/>
      <c r="O1911" s="12"/>
      <c r="P1911" s="55">
        <f t="shared" si="92"/>
        <v>159727</v>
      </c>
    </row>
    <row r="1912" spans="1:16" ht="15" customHeight="1" x14ac:dyDescent="0.25">
      <c r="A1912" s="552"/>
      <c r="B1912" s="559"/>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2"/>
      <c r="B1913" s="559"/>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2"/>
      <c r="B1914" s="559"/>
      <c r="C1914" s="110">
        <v>25</v>
      </c>
      <c r="D1914" s="66"/>
      <c r="E1914" s="12"/>
      <c r="F1914" s="12"/>
      <c r="G1914" s="12"/>
      <c r="H1914" s="12"/>
      <c r="I1914" s="12"/>
      <c r="J1914" s="12"/>
      <c r="K1914" s="12"/>
      <c r="L1914" s="12"/>
      <c r="M1914" s="12"/>
      <c r="N1914" s="12"/>
      <c r="O1914" s="12"/>
      <c r="P1914" s="55">
        <f t="shared" si="92"/>
        <v>0</v>
      </c>
    </row>
    <row r="1915" spans="1:16" ht="15" customHeight="1" x14ac:dyDescent="0.25">
      <c r="A1915" s="552"/>
      <c r="B1915" s="559"/>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3"/>
      <c r="B1916" s="559"/>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1">
        <v>519</v>
      </c>
      <c r="B1917" s="558"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25">
      <c r="A1918" s="552"/>
      <c r="B1918" s="559"/>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2"/>
      <c r="B1919" s="559"/>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2"/>
      <c r="B1920" s="559"/>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2"/>
      <c r="B1921" s="559"/>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2"/>
      <c r="B1922" s="559"/>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2"/>
      <c r="B1923" s="559"/>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2"/>
      <c r="B1924" s="559"/>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52"/>
      <c r="B1925" s="559"/>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3"/>
      <c r="B1926" s="559"/>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2318</v>
      </c>
      <c r="C1927" s="306"/>
      <c r="D1927" s="72">
        <f>SUM(D1928:D1967)</f>
        <v>0</v>
      </c>
      <c r="E1927" s="72">
        <f t="shared" ref="E1927:O1927" si="93">SUM(E1928:E1967)</f>
        <v>0</v>
      </c>
      <c r="F1927" s="72">
        <f t="shared" si="93"/>
        <v>0</v>
      </c>
      <c r="G1927" s="72">
        <f t="shared" si="93"/>
        <v>0</v>
      </c>
      <c r="H1927" s="72">
        <f t="shared" si="93"/>
        <v>22998</v>
      </c>
      <c r="I1927" s="72">
        <f t="shared" si="93"/>
        <v>0</v>
      </c>
      <c r="J1927" s="72">
        <f t="shared" si="93"/>
        <v>0</v>
      </c>
      <c r="K1927" s="72">
        <f t="shared" si="93"/>
        <v>0</v>
      </c>
      <c r="L1927" s="72">
        <f t="shared" si="93"/>
        <v>0</v>
      </c>
      <c r="M1927" s="72">
        <f t="shared" si="93"/>
        <v>0</v>
      </c>
      <c r="N1927" s="72">
        <f t="shared" si="93"/>
        <v>0</v>
      </c>
      <c r="O1927" s="72">
        <f t="shared" si="93"/>
        <v>0</v>
      </c>
      <c r="P1927" s="72">
        <f>SUM(P1928:P1967)</f>
        <v>22998</v>
      </c>
    </row>
    <row r="1928" spans="1:16" ht="15" customHeight="1" x14ac:dyDescent="0.25">
      <c r="A1928" s="551">
        <v>521</v>
      </c>
      <c r="B1928" s="558"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2"/>
      <c r="B1929" s="559"/>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2"/>
      <c r="B1930" s="559"/>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2"/>
      <c r="B1931" s="559"/>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2"/>
      <c r="B1932" s="559"/>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2"/>
      <c r="B1933" s="559"/>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2"/>
      <c r="B1934" s="559"/>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2"/>
      <c r="B1935" s="559"/>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2"/>
      <c r="B1936" s="559"/>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3"/>
      <c r="B1937" s="559"/>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1">
        <v>522</v>
      </c>
      <c r="B1938" s="558"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2"/>
      <c r="B1939" s="559"/>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2"/>
      <c r="B1940" s="559"/>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2"/>
      <c r="B1941" s="559"/>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2"/>
      <c r="B1942" s="559"/>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2"/>
      <c r="B1943" s="559"/>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2"/>
      <c r="B1944" s="559"/>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2"/>
      <c r="B1945" s="559"/>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2"/>
      <c r="B1946" s="559"/>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3"/>
      <c r="B1947" s="559"/>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1">
        <v>523</v>
      </c>
      <c r="B1948" s="558"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52"/>
      <c r="B1949" s="559"/>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2"/>
      <c r="B1950" s="559"/>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2"/>
      <c r="B1951" s="559"/>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2"/>
      <c r="B1952" s="559"/>
      <c r="C1952" s="110">
        <v>15</v>
      </c>
      <c r="D1952" s="66"/>
      <c r="E1952" s="12"/>
      <c r="F1952" s="12"/>
      <c r="G1952" s="12"/>
      <c r="H1952" s="12">
        <v>22998</v>
      </c>
      <c r="I1952" s="12"/>
      <c r="J1952" s="12"/>
      <c r="K1952" s="12"/>
      <c r="L1952" s="12"/>
      <c r="M1952" s="12"/>
      <c r="N1952" s="12"/>
      <c r="O1952" s="12"/>
      <c r="P1952" s="55">
        <f t="shared" si="94"/>
        <v>22998</v>
      </c>
    </row>
    <row r="1953" spans="1:16" ht="15" customHeight="1" x14ac:dyDescent="0.25">
      <c r="A1953" s="552"/>
      <c r="B1953" s="559"/>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2"/>
      <c r="B1954" s="559"/>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2"/>
      <c r="B1955" s="559"/>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2"/>
      <c r="B1956" s="559"/>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3"/>
      <c r="B1957" s="559"/>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1">
        <v>529</v>
      </c>
      <c r="B1958" s="558" t="s">
        <v>2319</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2"/>
      <c r="B1959" s="559"/>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2"/>
      <c r="B1960" s="559"/>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2"/>
      <c r="B1961" s="559"/>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2"/>
      <c r="B1962" s="559"/>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2"/>
      <c r="B1963" s="559"/>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2"/>
      <c r="B1964" s="559"/>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2"/>
      <c r="B1965" s="559"/>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2"/>
      <c r="B1966" s="559"/>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3"/>
      <c r="B1967" s="559"/>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2320</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1">
        <v>531</v>
      </c>
      <c r="B1969" s="558"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2"/>
      <c r="B1970" s="559"/>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2"/>
      <c r="B1971" s="559"/>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2"/>
      <c r="B1972" s="559"/>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2"/>
      <c r="B1973" s="559"/>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2"/>
      <c r="B1974" s="559"/>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2"/>
      <c r="B1975" s="559"/>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2"/>
      <c r="B1976" s="559"/>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2"/>
      <c r="B1977" s="559"/>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3"/>
      <c r="B1978" s="559"/>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1">
        <v>532</v>
      </c>
      <c r="B1979" s="558"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2"/>
      <c r="B1980" s="559"/>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2"/>
      <c r="B1981" s="559"/>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2"/>
      <c r="B1982" s="559"/>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2"/>
      <c r="B1983" s="559"/>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2"/>
      <c r="B1984" s="559"/>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2"/>
      <c r="B1985" s="559"/>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2"/>
      <c r="B1986" s="559"/>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2"/>
      <c r="B1987" s="559"/>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3"/>
      <c r="B1988" s="559"/>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2321</v>
      </c>
      <c r="C1989" s="306"/>
      <c r="D1989" s="72">
        <f>SUM(D1990:D2049)</f>
        <v>0</v>
      </c>
      <c r="E1989" s="72">
        <f t="shared" ref="E1989:O1989" si="97">SUM(E1990:E2049)</f>
        <v>0</v>
      </c>
      <c r="F1989" s="72">
        <f t="shared" si="97"/>
        <v>0</v>
      </c>
      <c r="G1989" s="72">
        <f t="shared" si="97"/>
        <v>650000</v>
      </c>
      <c r="H1989" s="72">
        <f t="shared" si="97"/>
        <v>0</v>
      </c>
      <c r="I1989" s="72">
        <f t="shared" si="97"/>
        <v>588120</v>
      </c>
      <c r="J1989" s="72">
        <f t="shared" si="97"/>
        <v>0</v>
      </c>
      <c r="K1989" s="72">
        <f t="shared" si="97"/>
        <v>0</v>
      </c>
      <c r="L1989" s="72">
        <f t="shared" si="97"/>
        <v>0</v>
      </c>
      <c r="M1989" s="72">
        <f t="shared" si="97"/>
        <v>0</v>
      </c>
      <c r="N1989" s="72">
        <f t="shared" si="97"/>
        <v>0</v>
      </c>
      <c r="O1989" s="72">
        <f t="shared" si="97"/>
        <v>0</v>
      </c>
      <c r="P1989" s="72">
        <f>SUM(P1990:P2049)</f>
        <v>1238120</v>
      </c>
    </row>
    <row r="1990" spans="1:16" ht="15" customHeight="1" x14ac:dyDescent="0.25">
      <c r="A1990" s="551">
        <v>541</v>
      </c>
      <c r="B1990" s="558"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52"/>
      <c r="B1991" s="559"/>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2"/>
      <c r="B1992" s="559"/>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2"/>
      <c r="B1993" s="559"/>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2"/>
      <c r="B1994" s="559"/>
      <c r="C1994" s="110">
        <v>15</v>
      </c>
      <c r="D1994" s="66"/>
      <c r="E1994" s="12"/>
      <c r="F1994" s="12"/>
      <c r="G1994" s="12">
        <v>650000</v>
      </c>
      <c r="H1994" s="12"/>
      <c r="I1994" s="12">
        <v>588120</v>
      </c>
      <c r="J1994" s="12"/>
      <c r="K1994" s="12"/>
      <c r="L1994" s="12"/>
      <c r="M1994" s="12"/>
      <c r="N1994" s="12"/>
      <c r="O1994" s="12"/>
      <c r="P1994" s="55">
        <f t="shared" si="98"/>
        <v>1238120</v>
      </c>
    </row>
    <row r="1995" spans="1:16" ht="15" customHeight="1" x14ac:dyDescent="0.25">
      <c r="A1995" s="552"/>
      <c r="B1995" s="559"/>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2"/>
      <c r="B1996" s="559"/>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2"/>
      <c r="B1997" s="559"/>
      <c r="C1997" s="110">
        <v>25</v>
      </c>
      <c r="D1997" s="66"/>
      <c r="E1997" s="12"/>
      <c r="F1997" s="12"/>
      <c r="G1997" s="12"/>
      <c r="H1997" s="12"/>
      <c r="I1997" s="12"/>
      <c r="J1997" s="12"/>
      <c r="K1997" s="12"/>
      <c r="L1997" s="12"/>
      <c r="M1997" s="12"/>
      <c r="N1997" s="12"/>
      <c r="O1997" s="12"/>
      <c r="P1997" s="55">
        <f t="shared" si="98"/>
        <v>0</v>
      </c>
    </row>
    <row r="1998" spans="1:16" ht="15" customHeight="1" x14ac:dyDescent="0.25">
      <c r="A1998" s="552"/>
      <c r="B1998" s="559"/>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3"/>
      <c r="B1999" s="559"/>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1">
        <v>542</v>
      </c>
      <c r="B2000" s="558"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2"/>
      <c r="B2001" s="559"/>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2"/>
      <c r="B2002" s="559"/>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2"/>
      <c r="B2003" s="559"/>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2"/>
      <c r="B2004" s="559"/>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2"/>
      <c r="B2005" s="559"/>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2"/>
      <c r="B2006" s="559"/>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2"/>
      <c r="B2007" s="559"/>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2"/>
      <c r="B2008" s="559"/>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3"/>
      <c r="B2009" s="559"/>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1">
        <v>543</v>
      </c>
      <c r="B2010" s="558"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2"/>
      <c r="B2011" s="559"/>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2"/>
      <c r="B2012" s="559"/>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2"/>
      <c r="B2013" s="559"/>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2"/>
      <c r="B2014" s="559"/>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2"/>
      <c r="B2015" s="559"/>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2"/>
      <c r="B2016" s="559"/>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2"/>
      <c r="B2017" s="559"/>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2"/>
      <c r="B2018" s="559"/>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3"/>
      <c r="B2019" s="559"/>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1">
        <v>544</v>
      </c>
      <c r="B2020" s="558"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2"/>
      <c r="B2021" s="559"/>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2"/>
      <c r="B2022" s="559"/>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2"/>
      <c r="B2023" s="559"/>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2"/>
      <c r="B2024" s="559"/>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2"/>
      <c r="B2025" s="559"/>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2"/>
      <c r="B2026" s="559"/>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2"/>
      <c r="B2027" s="559"/>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2"/>
      <c r="B2028" s="559"/>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3"/>
      <c r="B2029" s="559"/>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1">
        <v>545</v>
      </c>
      <c r="B2030" s="558"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2"/>
      <c r="B2031" s="559"/>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2"/>
      <c r="B2032" s="559"/>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2"/>
      <c r="B2033" s="559"/>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2"/>
      <c r="B2034" s="559"/>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2"/>
      <c r="B2035" s="559"/>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2"/>
      <c r="B2036" s="559"/>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2"/>
      <c r="B2037" s="559"/>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2"/>
      <c r="B2038" s="559"/>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3"/>
      <c r="B2039" s="559"/>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1">
        <v>549</v>
      </c>
      <c r="B2040" s="558"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25">
      <c r="A2041" s="552"/>
      <c r="B2041" s="559"/>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2"/>
      <c r="B2042" s="559"/>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2"/>
      <c r="B2043" s="559"/>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2"/>
      <c r="B2044" s="559"/>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2"/>
      <c r="B2045" s="559"/>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2"/>
      <c r="B2046" s="559"/>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2"/>
      <c r="B2047" s="559"/>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52"/>
      <c r="B2048" s="559"/>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3"/>
      <c r="B2049" s="559"/>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1">
        <v>551</v>
      </c>
      <c r="B2051" s="558"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2"/>
      <c r="B2052" s="559"/>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2"/>
      <c r="B2053" s="559"/>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2"/>
      <c r="B2054" s="559"/>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2"/>
      <c r="B2055" s="559"/>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2"/>
      <c r="B2056" s="559"/>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2"/>
      <c r="B2057" s="559"/>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2"/>
      <c r="B2058" s="559"/>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2"/>
      <c r="B2059" s="559"/>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3"/>
      <c r="B2060" s="559"/>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2322</v>
      </c>
      <c r="C2061" s="306"/>
      <c r="D2061" s="72">
        <f>SUM(D2062:D2141)</f>
        <v>0</v>
      </c>
      <c r="E2061" s="72">
        <f t="shared" ref="E2061:O2061" si="101">SUM(E2062:E2141)</f>
        <v>0</v>
      </c>
      <c r="F2061" s="72">
        <f t="shared" si="101"/>
        <v>0</v>
      </c>
      <c r="G2061" s="72">
        <f t="shared" si="101"/>
        <v>26600</v>
      </c>
      <c r="H2061" s="72">
        <f t="shared" si="101"/>
        <v>0</v>
      </c>
      <c r="I2061" s="72">
        <f t="shared" si="101"/>
        <v>26600</v>
      </c>
      <c r="J2061" s="72">
        <f t="shared" si="101"/>
        <v>0</v>
      </c>
      <c r="K2061" s="72">
        <f t="shared" si="101"/>
        <v>0</v>
      </c>
      <c r="L2061" s="72">
        <f t="shared" si="101"/>
        <v>0</v>
      </c>
      <c r="M2061" s="72">
        <f t="shared" si="101"/>
        <v>0</v>
      </c>
      <c r="N2061" s="72">
        <f t="shared" si="101"/>
        <v>0</v>
      </c>
      <c r="O2061" s="72">
        <f t="shared" si="101"/>
        <v>0</v>
      </c>
      <c r="P2061" s="72">
        <f>SUM(P2062:P2141)</f>
        <v>53200</v>
      </c>
    </row>
    <row r="2062" spans="1:16" ht="15" customHeight="1" x14ac:dyDescent="0.25">
      <c r="A2062" s="551">
        <v>561</v>
      </c>
      <c r="B2062" s="558"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2"/>
      <c r="B2063" s="559"/>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2"/>
      <c r="B2064" s="559"/>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2"/>
      <c r="B2065" s="559"/>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2"/>
      <c r="B2066" s="559"/>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2"/>
      <c r="B2067" s="559"/>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2"/>
      <c r="B2068" s="559"/>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2"/>
      <c r="B2069" s="559"/>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2"/>
      <c r="B2070" s="559"/>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3"/>
      <c r="B2071" s="559"/>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1">
        <v>562</v>
      </c>
      <c r="B2072" s="558"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2"/>
      <c r="B2073" s="559"/>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2"/>
      <c r="B2074" s="559"/>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2"/>
      <c r="B2075" s="559"/>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2"/>
      <c r="B2076" s="559"/>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2"/>
      <c r="B2077" s="559"/>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2"/>
      <c r="B2078" s="559"/>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2"/>
      <c r="B2079" s="559"/>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2"/>
      <c r="B2080" s="559"/>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3"/>
      <c r="B2081" s="559"/>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1">
        <v>563</v>
      </c>
      <c r="B2082" s="558"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2"/>
      <c r="B2083" s="559"/>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2"/>
      <c r="B2084" s="559"/>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2"/>
      <c r="B2085" s="559"/>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2"/>
      <c r="B2086" s="559"/>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2"/>
      <c r="B2087" s="559"/>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2"/>
      <c r="B2088" s="559"/>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2"/>
      <c r="B2089" s="559"/>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2"/>
      <c r="B2090" s="559"/>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3"/>
      <c r="B2091" s="559"/>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1">
        <v>564</v>
      </c>
      <c r="B2092" s="558" t="s">
        <v>289</v>
      </c>
      <c r="C2092" s="110">
        <v>11</v>
      </c>
      <c r="D2092" s="66"/>
      <c r="E2092" s="12"/>
      <c r="F2092" s="12"/>
      <c r="G2092" s="12"/>
      <c r="H2092" s="12"/>
      <c r="I2092" s="12">
        <v>26600</v>
      </c>
      <c r="J2092" s="12"/>
      <c r="K2092" s="12"/>
      <c r="L2092" s="12"/>
      <c r="M2092" s="12"/>
      <c r="N2092" s="12"/>
      <c r="O2092" s="12"/>
      <c r="P2092" s="55">
        <f t="shared" si="102"/>
        <v>26600</v>
      </c>
    </row>
    <row r="2093" spans="1:16" ht="15" customHeight="1" x14ac:dyDescent="0.25">
      <c r="A2093" s="552"/>
      <c r="B2093" s="559"/>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2"/>
      <c r="B2094" s="559"/>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2"/>
      <c r="B2095" s="559"/>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2"/>
      <c r="B2096" s="559"/>
      <c r="C2096" s="110">
        <v>15</v>
      </c>
      <c r="D2096" s="66"/>
      <c r="E2096" s="12"/>
      <c r="F2096" s="12"/>
      <c r="G2096" s="12">
        <v>26600</v>
      </c>
      <c r="H2096" s="12"/>
      <c r="I2096" s="12"/>
      <c r="J2096" s="12"/>
      <c r="K2096" s="12"/>
      <c r="L2096" s="12"/>
      <c r="M2096" s="12"/>
      <c r="N2096" s="12"/>
      <c r="O2096" s="12"/>
      <c r="P2096" s="55">
        <f t="shared" si="102"/>
        <v>26600</v>
      </c>
    </row>
    <row r="2097" spans="1:16" ht="15" customHeight="1" x14ac:dyDescent="0.25">
      <c r="A2097" s="552"/>
      <c r="B2097" s="559"/>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2"/>
      <c r="B2098" s="559"/>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2"/>
      <c r="B2099" s="559"/>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2"/>
      <c r="B2100" s="559"/>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3"/>
      <c r="B2101" s="559"/>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1">
        <v>565</v>
      </c>
      <c r="B2102" s="558"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2"/>
      <c r="B2103" s="559"/>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2"/>
      <c r="B2104" s="559"/>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2"/>
      <c r="B2105" s="559"/>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2"/>
      <c r="B2106" s="559"/>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2"/>
      <c r="B2107" s="559"/>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2"/>
      <c r="B2108" s="559"/>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2"/>
      <c r="B2109" s="559"/>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52"/>
      <c r="B2110" s="559"/>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3"/>
      <c r="B2111" s="559"/>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1">
        <v>566</v>
      </c>
      <c r="B2112" s="558"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2"/>
      <c r="B2113" s="559"/>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2"/>
      <c r="B2114" s="559"/>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2"/>
      <c r="B2115" s="559"/>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2"/>
      <c r="B2116" s="559"/>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2"/>
      <c r="B2117" s="559"/>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2"/>
      <c r="B2118" s="559"/>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2"/>
      <c r="B2119" s="559"/>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2"/>
      <c r="B2120" s="559"/>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3"/>
      <c r="B2121" s="559"/>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1">
        <v>567</v>
      </c>
      <c r="B2122" s="558"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25">
      <c r="A2123" s="552"/>
      <c r="B2123" s="559"/>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2"/>
      <c r="B2124" s="559"/>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2"/>
      <c r="B2125" s="559"/>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2"/>
      <c r="B2126" s="559"/>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2"/>
      <c r="B2127" s="559"/>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2"/>
      <c r="B2128" s="559"/>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2"/>
      <c r="B2129" s="559"/>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2"/>
      <c r="B2130" s="559"/>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3"/>
      <c r="B2131" s="559"/>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1">
        <v>569</v>
      </c>
      <c r="B2132" s="558"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2"/>
      <c r="B2133" s="559"/>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2"/>
      <c r="B2134" s="559"/>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2"/>
      <c r="B2135" s="559"/>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2"/>
      <c r="B2136" s="559"/>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2"/>
      <c r="B2137" s="559"/>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2"/>
      <c r="B2138" s="559"/>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2"/>
      <c r="B2139" s="559"/>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2"/>
      <c r="B2140" s="559"/>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3"/>
      <c r="B2141" s="559"/>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2323</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1">
        <v>571</v>
      </c>
      <c r="B2143" s="558"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2"/>
      <c r="B2144" s="559"/>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2"/>
      <c r="B2145" s="559"/>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2"/>
      <c r="B2146" s="559"/>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2"/>
      <c r="B2147" s="559"/>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2"/>
      <c r="B2148" s="559"/>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2"/>
      <c r="B2149" s="559"/>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2"/>
      <c r="B2150" s="559"/>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2"/>
      <c r="B2151" s="559"/>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3"/>
      <c r="B2152" s="559"/>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1">
        <v>572</v>
      </c>
      <c r="B2153" s="558"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2"/>
      <c r="B2154" s="559"/>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2"/>
      <c r="B2155" s="559"/>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2"/>
      <c r="B2156" s="559"/>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2"/>
      <c r="B2157" s="559"/>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2"/>
      <c r="B2158" s="559"/>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2"/>
      <c r="B2159" s="559"/>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2"/>
      <c r="B2160" s="559"/>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2"/>
      <c r="B2161" s="559"/>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3"/>
      <c r="B2162" s="559"/>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1">
        <v>573</v>
      </c>
      <c r="B2163" s="558"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2"/>
      <c r="B2164" s="559"/>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2"/>
      <c r="B2165" s="559"/>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2"/>
      <c r="B2166" s="559"/>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2"/>
      <c r="B2167" s="559"/>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2"/>
      <c r="B2168" s="559"/>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2"/>
      <c r="B2169" s="559"/>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2"/>
      <c r="B2170" s="559"/>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2"/>
      <c r="B2171" s="559"/>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3"/>
      <c r="B2172" s="559"/>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1">
        <v>574</v>
      </c>
      <c r="B2173" s="558" t="s">
        <v>2324</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2"/>
      <c r="B2174" s="559"/>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2"/>
      <c r="B2175" s="559"/>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2"/>
      <c r="B2176" s="559"/>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2"/>
      <c r="B2177" s="559"/>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2"/>
      <c r="B2178" s="559"/>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2"/>
      <c r="B2179" s="559"/>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2"/>
      <c r="B2180" s="559"/>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2"/>
      <c r="B2181" s="559"/>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3"/>
      <c r="B2182" s="559"/>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1">
        <v>575</v>
      </c>
      <c r="B2183" s="558"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2"/>
      <c r="B2184" s="559"/>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2"/>
      <c r="B2185" s="559"/>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2"/>
      <c r="B2186" s="559"/>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2"/>
      <c r="B2187" s="559"/>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2"/>
      <c r="B2188" s="559"/>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2"/>
      <c r="B2189" s="559"/>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2"/>
      <c r="B2190" s="559"/>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2"/>
      <c r="B2191" s="559"/>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3"/>
      <c r="B2192" s="559"/>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1">
        <v>576</v>
      </c>
      <c r="B2193" s="558"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2"/>
      <c r="B2194" s="559"/>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2"/>
      <c r="B2195" s="559"/>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2"/>
      <c r="B2196" s="559"/>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2"/>
      <c r="B2197" s="559"/>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2"/>
      <c r="B2198" s="559"/>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2"/>
      <c r="B2199" s="559"/>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2"/>
      <c r="B2200" s="559"/>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2"/>
      <c r="B2201" s="559"/>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3"/>
      <c r="B2202" s="559"/>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1">
        <v>577</v>
      </c>
      <c r="B2203" s="558"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2"/>
      <c r="B2204" s="559"/>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2"/>
      <c r="B2205" s="559"/>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2"/>
      <c r="B2206" s="559"/>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2"/>
      <c r="B2207" s="559"/>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2"/>
      <c r="B2208" s="559"/>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2"/>
      <c r="B2209" s="559"/>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2"/>
      <c r="B2210" s="559"/>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2"/>
      <c r="B2211" s="559"/>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3"/>
      <c r="B2212" s="559"/>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1">
        <v>578</v>
      </c>
      <c r="B2213" s="558"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2"/>
      <c r="B2214" s="559"/>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2"/>
      <c r="B2215" s="559"/>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2"/>
      <c r="B2216" s="559"/>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2"/>
      <c r="B2217" s="559"/>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2"/>
      <c r="B2218" s="559"/>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2"/>
      <c r="B2219" s="559"/>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2"/>
      <c r="B2220" s="559"/>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2"/>
      <c r="B2221" s="559"/>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3"/>
      <c r="B2222" s="559"/>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1">
        <v>579</v>
      </c>
      <c r="B2223" s="558"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2"/>
      <c r="B2224" s="559"/>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2"/>
      <c r="B2225" s="559"/>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2"/>
      <c r="B2226" s="559"/>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2"/>
      <c r="B2227" s="559"/>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2"/>
      <c r="B2228" s="559"/>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2"/>
      <c r="B2229" s="559"/>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2"/>
      <c r="B2230" s="559"/>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2"/>
      <c r="B2231" s="559"/>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3"/>
      <c r="B2232" s="559"/>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2325</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1">
        <v>581</v>
      </c>
      <c r="B2234" s="558"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2"/>
      <c r="B2235" s="559"/>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2"/>
      <c r="B2236" s="559"/>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2"/>
      <c r="B2237" s="559"/>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2"/>
      <c r="B2238" s="559"/>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2"/>
      <c r="B2239" s="559"/>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2"/>
      <c r="B2240" s="559"/>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2"/>
      <c r="B2241" s="559"/>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2"/>
      <c r="B2242" s="559"/>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3"/>
      <c r="B2243" s="559"/>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1">
        <v>582</v>
      </c>
      <c r="B2244" s="558" t="s">
        <v>2326</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2"/>
      <c r="B2245" s="559"/>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2"/>
      <c r="B2246" s="559"/>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2"/>
      <c r="B2247" s="559"/>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2"/>
      <c r="B2248" s="559"/>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2"/>
      <c r="B2249" s="559"/>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2"/>
      <c r="B2250" s="559"/>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2"/>
      <c r="B2251" s="559"/>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2"/>
      <c r="B2252" s="559"/>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3"/>
      <c r="B2253" s="559"/>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1">
        <v>583</v>
      </c>
      <c r="B2254" s="558"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2"/>
      <c r="B2255" s="559"/>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2"/>
      <c r="B2256" s="559"/>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2"/>
      <c r="B2257" s="559"/>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2"/>
      <c r="B2258" s="559"/>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2"/>
      <c r="B2259" s="559"/>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2"/>
      <c r="B2260" s="559"/>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2"/>
      <c r="B2261" s="559"/>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2"/>
      <c r="B2262" s="559"/>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3"/>
      <c r="B2263" s="559"/>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1">
        <v>589</v>
      </c>
      <c r="B2264" s="558"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2"/>
      <c r="B2265" s="559"/>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2"/>
      <c r="B2266" s="559"/>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2"/>
      <c r="B2267" s="559"/>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2"/>
      <c r="B2268" s="559"/>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2"/>
      <c r="B2269" s="559"/>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2"/>
      <c r="B2270" s="559"/>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2"/>
      <c r="B2271" s="559"/>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2"/>
      <c r="B2272" s="559"/>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3"/>
      <c r="B2273" s="559"/>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2327</v>
      </c>
      <c r="C2274" s="306"/>
      <c r="D2274" s="72">
        <f>SUM(D2275:D2364)</f>
        <v>0</v>
      </c>
      <c r="E2274" s="72">
        <f t="shared" ref="E2274:O2274" si="108">SUM(E2275:E2364)</f>
        <v>0</v>
      </c>
      <c r="F2274" s="72">
        <f t="shared" si="108"/>
        <v>0</v>
      </c>
      <c r="G2274" s="72">
        <f t="shared" si="108"/>
        <v>0</v>
      </c>
      <c r="H2274" s="72">
        <f t="shared" si="108"/>
        <v>0</v>
      </c>
      <c r="I2274" s="72">
        <f t="shared" si="108"/>
        <v>119528</v>
      </c>
      <c r="J2274" s="72">
        <f t="shared" si="108"/>
        <v>0</v>
      </c>
      <c r="K2274" s="72">
        <f t="shared" si="108"/>
        <v>0</v>
      </c>
      <c r="L2274" s="72">
        <f t="shared" si="108"/>
        <v>0</v>
      </c>
      <c r="M2274" s="72">
        <f t="shared" si="108"/>
        <v>0</v>
      </c>
      <c r="N2274" s="72">
        <f t="shared" si="108"/>
        <v>0</v>
      </c>
      <c r="O2274" s="72">
        <f t="shared" si="108"/>
        <v>0</v>
      </c>
      <c r="P2274" s="72">
        <f>SUM(P2275:P2364)</f>
        <v>119528</v>
      </c>
    </row>
    <row r="2275" spans="1:16" ht="15" customHeight="1" x14ac:dyDescent="0.25">
      <c r="A2275" s="551">
        <v>591</v>
      </c>
      <c r="B2275" s="558"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2"/>
      <c r="B2276" s="559"/>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2"/>
      <c r="B2277" s="559"/>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2"/>
      <c r="B2278" s="559"/>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2"/>
      <c r="B2279" s="559"/>
      <c r="C2279" s="110">
        <v>15</v>
      </c>
      <c r="D2279" s="66"/>
      <c r="E2279" s="12"/>
      <c r="F2279" s="12"/>
      <c r="G2279" s="12"/>
      <c r="H2279" s="12"/>
      <c r="I2279" s="12">
        <v>119528</v>
      </c>
      <c r="J2279" s="12"/>
      <c r="K2279" s="12"/>
      <c r="L2279" s="12"/>
      <c r="M2279" s="12"/>
      <c r="N2279" s="12"/>
      <c r="O2279" s="12"/>
      <c r="P2279" s="55">
        <f t="shared" si="109"/>
        <v>119528</v>
      </c>
    </row>
    <row r="2280" spans="1:16" ht="15" customHeight="1" x14ac:dyDescent="0.25">
      <c r="A2280" s="552"/>
      <c r="B2280" s="559"/>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2"/>
      <c r="B2281" s="559"/>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2"/>
      <c r="B2282" s="559"/>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2"/>
      <c r="B2283" s="559"/>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3"/>
      <c r="B2284" s="559"/>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1">
        <v>592</v>
      </c>
      <c r="B2285" s="558"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2"/>
      <c r="B2286" s="559"/>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2"/>
      <c r="B2287" s="559"/>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2"/>
      <c r="B2288" s="559"/>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2"/>
      <c r="B2289" s="559"/>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2"/>
      <c r="B2290" s="559"/>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2"/>
      <c r="B2291" s="559"/>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2"/>
      <c r="B2292" s="559"/>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2"/>
      <c r="B2293" s="559"/>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3"/>
      <c r="B2294" s="559"/>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1">
        <v>593</v>
      </c>
      <c r="B2295" s="558"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2"/>
      <c r="B2296" s="559"/>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2"/>
      <c r="B2297" s="559"/>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2"/>
      <c r="B2298" s="559"/>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2"/>
      <c r="B2299" s="559"/>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2"/>
      <c r="B2300" s="559"/>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2"/>
      <c r="B2301" s="559"/>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2"/>
      <c r="B2302" s="559"/>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2"/>
      <c r="B2303" s="559"/>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3"/>
      <c r="B2304" s="559"/>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1">
        <v>594</v>
      </c>
      <c r="B2305" s="558"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2"/>
      <c r="B2306" s="559"/>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2"/>
      <c r="B2307" s="559"/>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2"/>
      <c r="B2308" s="559"/>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2"/>
      <c r="B2309" s="559"/>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2"/>
      <c r="B2310" s="559"/>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2"/>
      <c r="B2311" s="559"/>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2"/>
      <c r="B2312" s="559"/>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2"/>
      <c r="B2313" s="559"/>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3"/>
      <c r="B2314" s="559"/>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1">
        <v>595</v>
      </c>
      <c r="B2315" s="558"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2"/>
      <c r="B2316" s="559"/>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2"/>
      <c r="B2317" s="559"/>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2"/>
      <c r="B2318" s="559"/>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2"/>
      <c r="B2319" s="559"/>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2"/>
      <c r="B2320" s="559"/>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2"/>
      <c r="B2321" s="559"/>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2"/>
      <c r="B2322" s="559"/>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2"/>
      <c r="B2323" s="559"/>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3"/>
      <c r="B2324" s="559"/>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1">
        <v>596</v>
      </c>
      <c r="B2325" s="558"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2"/>
      <c r="B2326" s="559"/>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2"/>
      <c r="B2327" s="559"/>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2"/>
      <c r="B2328" s="559"/>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2"/>
      <c r="B2329" s="559"/>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2"/>
      <c r="B2330" s="559"/>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2"/>
      <c r="B2331" s="559"/>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2"/>
      <c r="B2332" s="559"/>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2"/>
      <c r="B2333" s="559"/>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3"/>
      <c r="B2334" s="559"/>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1">
        <v>597</v>
      </c>
      <c r="B2335" s="558"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2"/>
      <c r="B2336" s="559"/>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2"/>
      <c r="B2337" s="559"/>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2"/>
      <c r="B2338" s="559"/>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2"/>
      <c r="B2339" s="559"/>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2"/>
      <c r="B2340" s="559"/>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2"/>
      <c r="B2341" s="559"/>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2"/>
      <c r="B2342" s="559"/>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2"/>
      <c r="B2343" s="559"/>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3"/>
      <c r="B2344" s="559"/>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1">
        <v>598</v>
      </c>
      <c r="B2345" s="558"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2"/>
      <c r="B2346" s="559"/>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2"/>
      <c r="B2347" s="559"/>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2"/>
      <c r="B2348" s="559"/>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2"/>
      <c r="B2349" s="559"/>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2"/>
      <c r="B2350" s="559"/>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2"/>
      <c r="B2351" s="559"/>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2"/>
      <c r="B2352" s="559"/>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2"/>
      <c r="B2353" s="559"/>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3"/>
      <c r="B2354" s="559"/>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1">
        <v>599</v>
      </c>
      <c r="B2355" s="558"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2"/>
      <c r="B2356" s="559"/>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2"/>
      <c r="B2357" s="559"/>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2"/>
      <c r="B2358" s="559"/>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2"/>
      <c r="B2359" s="559"/>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2"/>
      <c r="B2360" s="559"/>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2"/>
      <c r="B2361" s="559"/>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2"/>
      <c r="B2362" s="559"/>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2"/>
      <c r="B2363" s="559"/>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3"/>
      <c r="B2364" s="559"/>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2328</v>
      </c>
      <c r="C2365" s="310"/>
      <c r="D2365" s="76">
        <f t="shared" ref="D2365:P2365" si="111">D2366+D2447+D2528</f>
        <v>480000</v>
      </c>
      <c r="E2365" s="77">
        <f t="shared" si="111"/>
        <v>400000</v>
      </c>
      <c r="F2365" s="77">
        <f t="shared" si="111"/>
        <v>1410000</v>
      </c>
      <c r="G2365" s="77">
        <f t="shared" si="111"/>
        <v>1480000</v>
      </c>
      <c r="H2365" s="77">
        <f t="shared" si="111"/>
        <v>980000</v>
      </c>
      <c r="I2365" s="77">
        <f t="shared" si="111"/>
        <v>2920000</v>
      </c>
      <c r="J2365" s="77">
        <f t="shared" si="111"/>
        <v>2262114</v>
      </c>
      <c r="K2365" s="77">
        <f t="shared" si="111"/>
        <v>2057274</v>
      </c>
      <c r="L2365" s="77">
        <f t="shared" si="111"/>
        <v>664239</v>
      </c>
      <c r="M2365" s="77">
        <f t="shared" si="111"/>
        <v>500000</v>
      </c>
      <c r="N2365" s="77">
        <f t="shared" si="111"/>
        <v>0</v>
      </c>
      <c r="O2365" s="77">
        <f t="shared" si="111"/>
        <v>0</v>
      </c>
      <c r="P2365" s="77">
        <f t="shared" si="111"/>
        <v>13153627</v>
      </c>
    </row>
    <row r="2366" spans="1:16" x14ac:dyDescent="0.25">
      <c r="A2366" s="74">
        <v>6100</v>
      </c>
      <c r="B2366" s="305" t="s">
        <v>2329</v>
      </c>
      <c r="C2366" s="306"/>
      <c r="D2366" s="72">
        <f>SUM(D2367:D2446)</f>
        <v>480000</v>
      </c>
      <c r="E2366" s="73">
        <f t="shared" ref="E2366:O2366" si="112">SUM(E2367:E2446)</f>
        <v>400000</v>
      </c>
      <c r="F2366" s="73">
        <f t="shared" si="112"/>
        <v>1410000</v>
      </c>
      <c r="G2366" s="73">
        <f t="shared" si="112"/>
        <v>1480000</v>
      </c>
      <c r="H2366" s="73">
        <f t="shared" si="112"/>
        <v>980000</v>
      </c>
      <c r="I2366" s="73">
        <f t="shared" si="112"/>
        <v>2920000</v>
      </c>
      <c r="J2366" s="73">
        <f t="shared" si="112"/>
        <v>2262114</v>
      </c>
      <c r="K2366" s="73">
        <f t="shared" si="112"/>
        <v>2057274</v>
      </c>
      <c r="L2366" s="73">
        <f t="shared" si="112"/>
        <v>664239</v>
      </c>
      <c r="M2366" s="73">
        <f t="shared" si="112"/>
        <v>500000</v>
      </c>
      <c r="N2366" s="73">
        <f t="shared" si="112"/>
        <v>0</v>
      </c>
      <c r="O2366" s="73">
        <f t="shared" si="112"/>
        <v>0</v>
      </c>
      <c r="P2366" s="73">
        <f>SUM(P2367:P2446)</f>
        <v>13153627</v>
      </c>
    </row>
    <row r="2367" spans="1:16" ht="15" customHeight="1" x14ac:dyDescent="0.25">
      <c r="A2367" s="551">
        <v>611</v>
      </c>
      <c r="B2367" s="558"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2"/>
      <c r="B2368" s="559"/>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2"/>
      <c r="B2369" s="559"/>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2"/>
      <c r="B2370" s="559"/>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2"/>
      <c r="B2371" s="559"/>
      <c r="C2371" s="110">
        <v>15</v>
      </c>
      <c r="D2371" s="66"/>
      <c r="E2371" s="12"/>
      <c r="F2371" s="12"/>
      <c r="G2371" s="12"/>
      <c r="H2371" s="12"/>
      <c r="I2371" s="12"/>
      <c r="J2371" s="12">
        <v>280000</v>
      </c>
      <c r="K2371" s="12"/>
      <c r="L2371" s="12">
        <v>220000</v>
      </c>
      <c r="M2371" s="12"/>
      <c r="N2371" s="12"/>
      <c r="O2371" s="12"/>
      <c r="P2371" s="55">
        <f t="shared" si="113"/>
        <v>500000</v>
      </c>
    </row>
    <row r="2372" spans="1:16" ht="15" customHeight="1" x14ac:dyDescent="0.25">
      <c r="A2372" s="552"/>
      <c r="B2372" s="559"/>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2"/>
      <c r="B2373" s="559"/>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2"/>
      <c r="B2374" s="559"/>
      <c r="C2374" s="110">
        <v>25</v>
      </c>
      <c r="D2374" s="66"/>
      <c r="E2374" s="12">
        <v>400000</v>
      </c>
      <c r="F2374" s="12"/>
      <c r="G2374" s="12"/>
      <c r="H2374" s="12"/>
      <c r="I2374" s="12"/>
      <c r="J2374" s="12">
        <v>180000</v>
      </c>
      <c r="K2374" s="12">
        <v>200000</v>
      </c>
      <c r="L2374" s="12">
        <v>220000</v>
      </c>
      <c r="M2374" s="12"/>
      <c r="N2374" s="12"/>
      <c r="O2374" s="12"/>
      <c r="P2374" s="55">
        <f t="shared" si="113"/>
        <v>1000000</v>
      </c>
    </row>
    <row r="2375" spans="1:16" ht="15" customHeight="1" x14ac:dyDescent="0.25">
      <c r="A2375" s="552"/>
      <c r="B2375" s="559"/>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3"/>
      <c r="B2376" s="559"/>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1">
        <v>612</v>
      </c>
      <c r="B2377" s="558"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25">
      <c r="A2378" s="552"/>
      <c r="B2378" s="559"/>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2"/>
      <c r="B2379" s="559"/>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2"/>
      <c r="B2380" s="559"/>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2"/>
      <c r="B2381" s="559"/>
      <c r="C2381" s="110">
        <v>15</v>
      </c>
      <c r="D2381" s="66"/>
      <c r="E2381" s="12"/>
      <c r="F2381" s="12"/>
      <c r="G2381" s="12"/>
      <c r="H2381" s="12"/>
      <c r="I2381" s="12"/>
      <c r="J2381" s="12"/>
      <c r="K2381" s="12">
        <v>500000</v>
      </c>
      <c r="L2381" s="12"/>
      <c r="M2381" s="12"/>
      <c r="N2381" s="12"/>
      <c r="O2381" s="12"/>
      <c r="P2381" s="55">
        <f t="shared" si="113"/>
        <v>500000</v>
      </c>
    </row>
    <row r="2382" spans="1:16" ht="15" customHeight="1" x14ac:dyDescent="0.25">
      <c r="A2382" s="552"/>
      <c r="B2382" s="559"/>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2"/>
      <c r="B2383" s="559"/>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2"/>
      <c r="B2384" s="559"/>
      <c r="C2384" s="110">
        <v>25</v>
      </c>
      <c r="D2384" s="66">
        <v>480000</v>
      </c>
      <c r="E2384" s="12"/>
      <c r="F2384" s="12">
        <v>360000</v>
      </c>
      <c r="G2384" s="12">
        <v>180000</v>
      </c>
      <c r="H2384" s="12"/>
      <c r="I2384" s="12"/>
      <c r="J2384" s="12">
        <v>202114</v>
      </c>
      <c r="K2384" s="12">
        <v>357274</v>
      </c>
      <c r="L2384" s="12">
        <v>224239</v>
      </c>
      <c r="M2384" s="12">
        <v>500000</v>
      </c>
      <c r="N2384" s="12"/>
      <c r="O2384" s="12"/>
      <c r="P2384" s="55">
        <f t="shared" si="113"/>
        <v>2303627</v>
      </c>
    </row>
    <row r="2385" spans="1:16" ht="15" customHeight="1" x14ac:dyDescent="0.25">
      <c r="A2385" s="552"/>
      <c r="B2385" s="559"/>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3"/>
      <c r="B2386" s="559"/>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1">
        <v>613</v>
      </c>
      <c r="B2387" s="558"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2"/>
      <c r="B2388" s="559"/>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2"/>
      <c r="B2389" s="559"/>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2"/>
      <c r="B2390" s="559"/>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2"/>
      <c r="B2391" s="559"/>
      <c r="C2391" s="110">
        <v>15</v>
      </c>
      <c r="D2391" s="66"/>
      <c r="E2391" s="12"/>
      <c r="F2391" s="12"/>
      <c r="G2391" s="12"/>
      <c r="H2391" s="12">
        <v>500000</v>
      </c>
      <c r="I2391" s="12"/>
      <c r="J2391" s="12"/>
      <c r="K2391" s="12"/>
      <c r="L2391" s="12"/>
      <c r="M2391" s="12"/>
      <c r="N2391" s="12"/>
      <c r="O2391" s="12"/>
      <c r="P2391" s="55">
        <f t="shared" si="113"/>
        <v>500000</v>
      </c>
    </row>
    <row r="2392" spans="1:16" ht="15" customHeight="1" x14ac:dyDescent="0.25">
      <c r="A2392" s="552"/>
      <c r="B2392" s="559"/>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2"/>
      <c r="B2393" s="559"/>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2"/>
      <c r="B2394" s="559"/>
      <c r="C2394" s="110">
        <v>25</v>
      </c>
      <c r="D2394" s="66"/>
      <c r="E2394" s="12"/>
      <c r="F2394" s="12"/>
      <c r="G2394" s="12">
        <v>300000</v>
      </c>
      <c r="H2394" s="12">
        <v>200000</v>
      </c>
      <c r="I2394" s="12"/>
      <c r="J2394" s="12"/>
      <c r="K2394" s="12"/>
      <c r="L2394" s="12"/>
      <c r="M2394" s="12"/>
      <c r="N2394" s="12"/>
      <c r="O2394" s="12"/>
      <c r="P2394" s="55">
        <f t="shared" si="113"/>
        <v>500000</v>
      </c>
    </row>
    <row r="2395" spans="1:16" ht="15" customHeight="1" x14ac:dyDescent="0.25">
      <c r="A2395" s="552"/>
      <c r="B2395" s="559"/>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3"/>
      <c r="B2396" s="559"/>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1">
        <v>614</v>
      </c>
      <c r="B2397" s="558"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52"/>
      <c r="B2398" s="559"/>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2"/>
      <c r="B2399" s="559"/>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2"/>
      <c r="B2400" s="559"/>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2"/>
      <c r="B2401" s="559"/>
      <c r="C2401" s="110">
        <v>15</v>
      </c>
      <c r="D2401" s="66"/>
      <c r="E2401" s="12"/>
      <c r="F2401" s="12">
        <v>850000</v>
      </c>
      <c r="G2401" s="12">
        <v>1000000</v>
      </c>
      <c r="H2401" s="12"/>
      <c r="I2401" s="12"/>
      <c r="J2401" s="12"/>
      <c r="K2401" s="12"/>
      <c r="L2401" s="12"/>
      <c r="M2401" s="12"/>
      <c r="N2401" s="12"/>
      <c r="O2401" s="12"/>
      <c r="P2401" s="55">
        <f t="shared" si="113"/>
        <v>1850000</v>
      </c>
    </row>
    <row r="2402" spans="1:16" ht="15" customHeight="1" x14ac:dyDescent="0.25">
      <c r="A2402" s="552"/>
      <c r="B2402" s="559"/>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2"/>
      <c r="B2403" s="559"/>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2"/>
      <c r="B2404" s="559"/>
      <c r="C2404" s="110">
        <v>25</v>
      </c>
      <c r="D2404" s="66"/>
      <c r="E2404" s="12"/>
      <c r="F2404" s="12">
        <v>200000</v>
      </c>
      <c r="G2404" s="12"/>
      <c r="H2404" s="12">
        <v>280000</v>
      </c>
      <c r="I2404" s="12">
        <v>420000</v>
      </c>
      <c r="J2404" s="12">
        <v>100000</v>
      </c>
      <c r="K2404" s="12"/>
      <c r="L2404" s="12"/>
      <c r="M2404" s="12"/>
      <c r="N2404" s="12"/>
      <c r="O2404" s="12"/>
      <c r="P2404" s="55">
        <f t="shared" si="113"/>
        <v>1000000</v>
      </c>
    </row>
    <row r="2405" spans="1:16" ht="15" customHeight="1" x14ac:dyDescent="0.25">
      <c r="A2405" s="552"/>
      <c r="B2405" s="559"/>
      <c r="C2405" s="110">
        <v>26</v>
      </c>
      <c r="D2405" s="66"/>
      <c r="E2405" s="12"/>
      <c r="F2405" s="12"/>
      <c r="G2405" s="12"/>
      <c r="H2405" s="12"/>
      <c r="I2405" s="12">
        <v>2500000</v>
      </c>
      <c r="J2405" s="12">
        <v>1500000</v>
      </c>
      <c r="K2405" s="12">
        <v>1000000</v>
      </c>
      <c r="L2405" s="12"/>
      <c r="M2405" s="12"/>
      <c r="N2405" s="12"/>
      <c r="O2405" s="12"/>
      <c r="P2405" s="55">
        <f t="shared" si="113"/>
        <v>5000000</v>
      </c>
    </row>
    <row r="2406" spans="1:16" ht="15" customHeight="1" x14ac:dyDescent="0.25">
      <c r="A2406" s="553"/>
      <c r="B2406" s="559"/>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1">
        <v>615</v>
      </c>
      <c r="B2407" s="558"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25">
      <c r="A2408" s="552"/>
      <c r="B2408" s="559"/>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2"/>
      <c r="B2409" s="559"/>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2"/>
      <c r="B2410" s="559"/>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2"/>
      <c r="B2411" s="559"/>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52"/>
      <c r="B2412" s="559"/>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2"/>
      <c r="B2413" s="559"/>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2"/>
      <c r="B2414" s="559"/>
      <c r="C2414" s="110">
        <v>25</v>
      </c>
      <c r="D2414" s="66"/>
      <c r="E2414" s="12"/>
      <c r="F2414" s="12"/>
      <c r="G2414" s="12"/>
      <c r="H2414" s="12"/>
      <c r="I2414" s="12"/>
      <c r="J2414" s="12"/>
      <c r="K2414" s="12"/>
      <c r="L2414" s="12"/>
      <c r="M2414" s="12"/>
      <c r="N2414" s="12"/>
      <c r="O2414" s="12"/>
      <c r="P2414" s="55">
        <f t="shared" si="113"/>
        <v>0</v>
      </c>
    </row>
    <row r="2415" spans="1:16" ht="15" customHeight="1" x14ac:dyDescent="0.25">
      <c r="A2415" s="552"/>
      <c r="B2415" s="559"/>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3"/>
      <c r="B2416" s="559"/>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1">
        <v>616</v>
      </c>
      <c r="B2417" s="558"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2"/>
      <c r="B2418" s="559"/>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2"/>
      <c r="B2419" s="559"/>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2"/>
      <c r="B2420" s="559"/>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2"/>
      <c r="B2421" s="559"/>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2"/>
      <c r="B2422" s="559"/>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2"/>
      <c r="B2423" s="559"/>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2"/>
      <c r="B2424" s="559"/>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2"/>
      <c r="B2425" s="559"/>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3"/>
      <c r="B2426" s="559"/>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1">
        <v>617</v>
      </c>
      <c r="B2427" s="558"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2"/>
      <c r="B2428" s="559"/>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2"/>
      <c r="B2429" s="559"/>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2"/>
      <c r="B2430" s="559"/>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2"/>
      <c r="B2431" s="559"/>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2"/>
      <c r="B2432" s="559"/>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2"/>
      <c r="B2433" s="559"/>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2"/>
      <c r="B2434" s="559"/>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2"/>
      <c r="B2435" s="559"/>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3"/>
      <c r="B2436" s="559"/>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1">
        <v>619</v>
      </c>
      <c r="B2437" s="558"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2"/>
      <c r="B2438" s="559"/>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2"/>
      <c r="B2439" s="559"/>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2"/>
      <c r="B2440" s="559"/>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2"/>
      <c r="B2441" s="559"/>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2"/>
      <c r="B2442" s="559"/>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2"/>
      <c r="B2443" s="559"/>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2"/>
      <c r="B2444" s="559"/>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2"/>
      <c r="B2445" s="559"/>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3"/>
      <c r="B2446" s="559"/>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2330</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51">
        <v>621</v>
      </c>
      <c r="B2448" s="558"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2"/>
      <c r="B2449" s="559"/>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2"/>
      <c r="B2450" s="559"/>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2"/>
      <c r="B2451" s="559"/>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2"/>
      <c r="B2452" s="559"/>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2"/>
      <c r="B2453" s="559"/>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2"/>
      <c r="B2454" s="559"/>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2"/>
      <c r="B2455" s="559"/>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2"/>
      <c r="B2456" s="559"/>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3"/>
      <c r="B2457" s="559"/>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1">
        <v>622</v>
      </c>
      <c r="B2458" s="558"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52"/>
      <c r="B2459" s="559"/>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2"/>
      <c r="B2460" s="559"/>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2"/>
      <c r="B2461" s="559"/>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2"/>
      <c r="B2462" s="559"/>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2"/>
      <c r="B2463" s="559"/>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2"/>
      <c r="B2464" s="559"/>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2"/>
      <c r="B2465" s="559"/>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2"/>
      <c r="B2466" s="559"/>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3"/>
      <c r="B2467" s="559"/>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1">
        <v>623</v>
      </c>
      <c r="B2468" s="558"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52"/>
      <c r="B2469" s="559"/>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2"/>
      <c r="B2470" s="559"/>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2"/>
      <c r="B2471" s="559"/>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2"/>
      <c r="B2472" s="559"/>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2"/>
      <c r="B2473" s="559"/>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2"/>
      <c r="B2474" s="559"/>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2"/>
      <c r="B2475" s="559"/>
      <c r="C2475" s="110">
        <v>25</v>
      </c>
      <c r="D2475" s="66"/>
      <c r="E2475" s="12"/>
      <c r="F2475" s="12"/>
      <c r="G2475" s="12"/>
      <c r="H2475" s="12"/>
      <c r="I2475" s="12"/>
      <c r="J2475" s="12"/>
      <c r="K2475" s="12"/>
      <c r="L2475" s="12"/>
      <c r="M2475" s="12"/>
      <c r="N2475" s="12"/>
      <c r="O2475" s="12"/>
      <c r="P2475" s="55">
        <f t="shared" si="115"/>
        <v>0</v>
      </c>
    </row>
    <row r="2476" spans="1:16" ht="15" customHeight="1" x14ac:dyDescent="0.25">
      <c r="A2476" s="552"/>
      <c r="B2476" s="559"/>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3"/>
      <c r="B2477" s="559"/>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1">
        <v>624</v>
      </c>
      <c r="B2478" s="558"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25">
      <c r="A2479" s="552"/>
      <c r="B2479" s="559"/>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2"/>
      <c r="B2480" s="559"/>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2"/>
      <c r="B2481" s="559"/>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2"/>
      <c r="B2482" s="559"/>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2"/>
      <c r="B2483" s="559"/>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2"/>
      <c r="B2484" s="559"/>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2"/>
      <c r="B2485" s="559"/>
      <c r="C2485" s="110">
        <v>25</v>
      </c>
      <c r="D2485" s="66"/>
      <c r="E2485" s="12"/>
      <c r="F2485" s="12"/>
      <c r="G2485" s="12"/>
      <c r="H2485" s="12"/>
      <c r="I2485" s="12"/>
      <c r="J2485" s="12"/>
      <c r="K2485" s="12"/>
      <c r="L2485" s="12"/>
      <c r="M2485" s="12"/>
      <c r="N2485" s="12"/>
      <c r="O2485" s="12"/>
      <c r="P2485" s="55">
        <f t="shared" si="115"/>
        <v>0</v>
      </c>
    </row>
    <row r="2486" spans="1:16" ht="15" customHeight="1" x14ac:dyDescent="0.25">
      <c r="A2486" s="552"/>
      <c r="B2486" s="559"/>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3"/>
      <c r="B2487" s="559"/>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1">
        <v>625</v>
      </c>
      <c r="B2488" s="558"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2"/>
      <c r="B2489" s="559"/>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2"/>
      <c r="B2490" s="559"/>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2"/>
      <c r="B2491" s="559"/>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2"/>
      <c r="B2492" s="559"/>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2"/>
      <c r="B2493" s="559"/>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2"/>
      <c r="B2494" s="559"/>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2"/>
      <c r="B2495" s="559"/>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2"/>
      <c r="B2496" s="559"/>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3"/>
      <c r="B2497" s="559"/>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1">
        <v>626</v>
      </c>
      <c r="B2498" s="558"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2"/>
      <c r="B2499" s="559"/>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2"/>
      <c r="B2500" s="559"/>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2"/>
      <c r="B2501" s="559"/>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2"/>
      <c r="B2502" s="559"/>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2"/>
      <c r="B2503" s="559"/>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2"/>
      <c r="B2504" s="559"/>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2"/>
      <c r="B2505" s="559"/>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2"/>
      <c r="B2506" s="559"/>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3"/>
      <c r="B2507" s="559"/>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1">
        <v>627</v>
      </c>
      <c r="B2508" s="558"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2"/>
      <c r="B2509" s="559"/>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2"/>
      <c r="B2510" s="559"/>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2"/>
      <c r="B2511" s="559"/>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2"/>
      <c r="B2512" s="559"/>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2"/>
      <c r="B2513" s="559"/>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2"/>
      <c r="B2514" s="559"/>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2"/>
      <c r="B2515" s="559"/>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2"/>
      <c r="B2516" s="559"/>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3"/>
      <c r="B2517" s="559"/>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1">
        <v>629</v>
      </c>
      <c r="B2518" s="558"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2"/>
      <c r="B2519" s="559"/>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2"/>
      <c r="B2520" s="559"/>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2"/>
      <c r="B2521" s="559"/>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2"/>
      <c r="B2522" s="559"/>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2"/>
      <c r="B2523" s="559"/>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2"/>
      <c r="B2524" s="559"/>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2"/>
      <c r="B2525" s="559"/>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2"/>
      <c r="B2526" s="559"/>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3"/>
      <c r="B2527" s="559"/>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2331</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1">
        <v>631</v>
      </c>
      <c r="B2529" s="558"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2"/>
      <c r="B2530" s="559"/>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2"/>
      <c r="B2531" s="559"/>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2"/>
      <c r="B2532" s="559"/>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2"/>
      <c r="B2533" s="559"/>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2"/>
      <c r="B2534" s="559"/>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2"/>
      <c r="B2535" s="559"/>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2"/>
      <c r="B2536" s="559"/>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2"/>
      <c r="B2537" s="559"/>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3"/>
      <c r="B2538" s="559"/>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1">
        <v>632</v>
      </c>
      <c r="B2539" s="558"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2"/>
      <c r="B2540" s="559"/>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2"/>
      <c r="B2541" s="559"/>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2"/>
      <c r="B2542" s="559"/>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2"/>
      <c r="B2543" s="559"/>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2"/>
      <c r="B2544" s="559"/>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2"/>
      <c r="B2545" s="559"/>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2"/>
      <c r="B2546" s="559"/>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2"/>
      <c r="B2547" s="559"/>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3"/>
      <c r="B2548" s="559"/>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2332</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2333</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1">
        <v>711</v>
      </c>
      <c r="B2551" s="558"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2"/>
      <c r="B2552" s="559"/>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2"/>
      <c r="B2553" s="559"/>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2"/>
      <c r="B2554" s="559"/>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2"/>
      <c r="B2555" s="559"/>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2"/>
      <c r="B2556" s="559"/>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2"/>
      <c r="B2557" s="559"/>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2"/>
      <c r="B2558" s="559"/>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2"/>
      <c r="B2559" s="559"/>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3"/>
      <c r="B2560" s="559"/>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2334</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1">
        <v>721</v>
      </c>
      <c r="B2563" s="558"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2"/>
      <c r="B2564" s="559"/>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2"/>
      <c r="B2565" s="559"/>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2"/>
      <c r="B2566" s="559"/>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2"/>
      <c r="B2567" s="559"/>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2"/>
      <c r="B2568" s="559"/>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2"/>
      <c r="B2569" s="559"/>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2"/>
      <c r="B2570" s="559"/>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2"/>
      <c r="B2571" s="559"/>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3"/>
      <c r="B2572" s="559"/>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1">
        <v>724</v>
      </c>
      <c r="B2575" s="558"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2"/>
      <c r="B2576" s="559"/>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2"/>
      <c r="B2577" s="559"/>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2"/>
      <c r="B2578" s="559"/>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2"/>
      <c r="B2579" s="559"/>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2"/>
      <c r="B2580" s="559"/>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2"/>
      <c r="B2581" s="559"/>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2"/>
      <c r="B2582" s="559"/>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2"/>
      <c r="B2583" s="559"/>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3"/>
      <c r="B2584" s="559"/>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1">
        <v>725</v>
      </c>
      <c r="B2585" s="558"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2"/>
      <c r="B2586" s="559"/>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2"/>
      <c r="B2587" s="559"/>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2"/>
      <c r="B2588" s="559"/>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2"/>
      <c r="B2589" s="559"/>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2"/>
      <c r="B2590" s="559"/>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2"/>
      <c r="B2591" s="559"/>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2"/>
      <c r="B2592" s="559"/>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2"/>
      <c r="B2593" s="559"/>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3"/>
      <c r="B2594" s="559"/>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1">
        <v>726</v>
      </c>
      <c r="B2595" s="558"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2"/>
      <c r="B2596" s="559"/>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2"/>
      <c r="B2597" s="559"/>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2"/>
      <c r="B2598" s="559"/>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2"/>
      <c r="B2599" s="559"/>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2"/>
      <c r="B2600" s="559"/>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2"/>
      <c r="B2601" s="559"/>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2"/>
      <c r="B2602" s="559"/>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2"/>
      <c r="B2603" s="559"/>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3"/>
      <c r="B2604" s="559"/>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1">
        <v>727</v>
      </c>
      <c r="B2605" s="558"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2"/>
      <c r="B2606" s="559"/>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2"/>
      <c r="B2607" s="559"/>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2"/>
      <c r="B2608" s="559"/>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2"/>
      <c r="B2609" s="559"/>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2"/>
      <c r="B2610" s="559"/>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2"/>
      <c r="B2611" s="559"/>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2"/>
      <c r="B2612" s="559"/>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2"/>
      <c r="B2613" s="559"/>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3"/>
      <c r="B2614" s="559"/>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1">
        <v>728</v>
      </c>
      <c r="B2615" s="558"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2"/>
      <c r="B2616" s="559"/>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2"/>
      <c r="B2617" s="559"/>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2"/>
      <c r="B2618" s="559"/>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2"/>
      <c r="B2619" s="559"/>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2"/>
      <c r="B2620" s="559"/>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2"/>
      <c r="B2621" s="559"/>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2"/>
      <c r="B2622" s="559"/>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2"/>
      <c r="B2623" s="559"/>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3"/>
      <c r="B2624" s="559"/>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1">
        <v>729</v>
      </c>
      <c r="B2625" s="558"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2"/>
      <c r="B2626" s="559"/>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2"/>
      <c r="B2627" s="559"/>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2"/>
      <c r="B2628" s="559"/>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2"/>
      <c r="B2629" s="559"/>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2"/>
      <c r="B2630" s="559"/>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2"/>
      <c r="B2631" s="559"/>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2"/>
      <c r="B2632" s="559"/>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2"/>
      <c r="B2633" s="559"/>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3"/>
      <c r="B2634" s="559"/>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2335</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1">
        <v>731</v>
      </c>
      <c r="B2636" s="558"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2"/>
      <c r="B2637" s="559"/>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2"/>
      <c r="B2638" s="559"/>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2"/>
      <c r="B2639" s="559"/>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2"/>
      <c r="B2640" s="559"/>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2"/>
      <c r="B2641" s="559"/>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2"/>
      <c r="B2642" s="559"/>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2"/>
      <c r="B2643" s="559"/>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2"/>
      <c r="B2644" s="559"/>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3"/>
      <c r="B2645" s="559"/>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1">
        <v>732</v>
      </c>
      <c r="B2646" s="558"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2"/>
      <c r="B2647" s="559"/>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2"/>
      <c r="B2648" s="559"/>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2"/>
      <c r="B2649" s="559"/>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2"/>
      <c r="B2650" s="559"/>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2"/>
      <c r="B2651" s="559"/>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2"/>
      <c r="B2652" s="559"/>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2"/>
      <c r="B2653" s="559"/>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2"/>
      <c r="B2654" s="559"/>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3"/>
      <c r="B2655" s="559"/>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1">
        <v>733</v>
      </c>
      <c r="B2656" s="558"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2"/>
      <c r="B2657" s="559"/>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2"/>
      <c r="B2658" s="559"/>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2"/>
      <c r="B2659" s="559"/>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2"/>
      <c r="B2660" s="559"/>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2"/>
      <c r="B2661" s="559"/>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2"/>
      <c r="B2662" s="559"/>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2"/>
      <c r="B2663" s="559"/>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2"/>
      <c r="B2664" s="559"/>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3"/>
      <c r="B2665" s="559"/>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1">
        <v>734</v>
      </c>
      <c r="B2666" s="558"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2"/>
      <c r="B2667" s="559"/>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2"/>
      <c r="B2668" s="559"/>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2"/>
      <c r="B2669" s="559"/>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2"/>
      <c r="B2670" s="559"/>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2"/>
      <c r="B2671" s="559"/>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2"/>
      <c r="B2672" s="559"/>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2"/>
      <c r="B2673" s="559"/>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2"/>
      <c r="B2674" s="559"/>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3"/>
      <c r="B2675" s="559"/>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1">
        <v>735</v>
      </c>
      <c r="B2676" s="558"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2"/>
      <c r="B2677" s="559"/>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2"/>
      <c r="B2678" s="559"/>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2"/>
      <c r="B2679" s="559"/>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2"/>
      <c r="B2680" s="559"/>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2"/>
      <c r="B2681" s="559"/>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2"/>
      <c r="B2682" s="559"/>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2"/>
      <c r="B2683" s="559"/>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2"/>
      <c r="B2684" s="559"/>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3"/>
      <c r="B2685" s="559"/>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1">
        <v>739</v>
      </c>
      <c r="B2686" s="558"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2"/>
      <c r="B2687" s="559"/>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2"/>
      <c r="B2688" s="559"/>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2"/>
      <c r="B2689" s="559"/>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2"/>
      <c r="B2690" s="559"/>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2"/>
      <c r="B2691" s="559"/>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2"/>
      <c r="B2692" s="559"/>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2"/>
      <c r="B2693" s="559"/>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2"/>
      <c r="B2694" s="559"/>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3"/>
      <c r="B2695" s="559"/>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2336</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1">
        <v>741</v>
      </c>
      <c r="B2697" s="558"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2"/>
      <c r="B2698" s="559"/>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2"/>
      <c r="B2699" s="559"/>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2"/>
      <c r="B2700" s="559"/>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2"/>
      <c r="B2701" s="559"/>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2"/>
      <c r="B2702" s="559"/>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2"/>
      <c r="B2703" s="559"/>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2"/>
      <c r="B2704" s="559"/>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2"/>
      <c r="B2705" s="559"/>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3"/>
      <c r="B2706" s="559"/>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1">
        <v>745</v>
      </c>
      <c r="B2710" s="558"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2"/>
      <c r="B2711" s="559"/>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2"/>
      <c r="B2712" s="559"/>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2"/>
      <c r="B2713" s="559"/>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2"/>
      <c r="B2714" s="559"/>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2"/>
      <c r="B2715" s="559"/>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2"/>
      <c r="B2716" s="559"/>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2"/>
      <c r="B2717" s="559"/>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2"/>
      <c r="B2718" s="559"/>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3"/>
      <c r="B2719" s="559"/>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1">
        <v>746</v>
      </c>
      <c r="B2720" s="558"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2"/>
      <c r="B2721" s="559"/>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2"/>
      <c r="B2722" s="559"/>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2"/>
      <c r="B2723" s="559"/>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2"/>
      <c r="B2724" s="559"/>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2"/>
      <c r="B2725" s="559"/>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2"/>
      <c r="B2726" s="559"/>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2"/>
      <c r="B2727" s="559"/>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2"/>
      <c r="B2728" s="559"/>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3"/>
      <c r="B2729" s="559"/>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1">
        <v>747</v>
      </c>
      <c r="B2730" s="558"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2"/>
      <c r="B2731" s="559"/>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2"/>
      <c r="B2732" s="559"/>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2"/>
      <c r="B2733" s="559"/>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2"/>
      <c r="B2734" s="559"/>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2"/>
      <c r="B2735" s="559"/>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2"/>
      <c r="B2736" s="559"/>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2"/>
      <c r="B2737" s="559"/>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2"/>
      <c r="B2738" s="559"/>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3"/>
      <c r="B2739" s="559"/>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1">
        <v>748</v>
      </c>
      <c r="B2740" s="558"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2"/>
      <c r="B2741" s="559"/>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2"/>
      <c r="B2742" s="559"/>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2"/>
      <c r="B2743" s="559"/>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2"/>
      <c r="B2744" s="559"/>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2"/>
      <c r="B2745" s="559"/>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2"/>
      <c r="B2746" s="559"/>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2"/>
      <c r="B2747" s="559"/>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2"/>
      <c r="B2748" s="559"/>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3"/>
      <c r="B2749" s="559"/>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1">
        <v>749</v>
      </c>
      <c r="B2750" s="558"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2"/>
      <c r="B2751" s="559"/>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2"/>
      <c r="B2752" s="559"/>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2"/>
      <c r="B2753" s="559"/>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2"/>
      <c r="B2754" s="559"/>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2"/>
      <c r="B2755" s="559"/>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2"/>
      <c r="B2756" s="559"/>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2"/>
      <c r="B2757" s="559"/>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2"/>
      <c r="B2758" s="559"/>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3"/>
      <c r="B2759" s="559"/>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2337</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1">
        <v>751</v>
      </c>
      <c r="B2761" s="558"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2"/>
      <c r="B2762" s="559"/>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2"/>
      <c r="B2763" s="559"/>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2"/>
      <c r="B2764" s="559"/>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2"/>
      <c r="B2765" s="559"/>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2"/>
      <c r="B2766" s="559"/>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2"/>
      <c r="B2767" s="559"/>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2"/>
      <c r="B2768" s="559"/>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2"/>
      <c r="B2769" s="559"/>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3"/>
      <c r="B2770" s="559"/>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1">
        <v>754</v>
      </c>
      <c r="B2773" s="558"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2"/>
      <c r="B2774" s="559"/>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2"/>
      <c r="B2775" s="559"/>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2"/>
      <c r="B2776" s="559"/>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2"/>
      <c r="B2777" s="559"/>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2"/>
      <c r="B2778" s="559"/>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2"/>
      <c r="B2779" s="559"/>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2"/>
      <c r="B2780" s="559"/>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2"/>
      <c r="B2781" s="559"/>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3"/>
      <c r="B2782" s="559"/>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1">
        <v>757</v>
      </c>
      <c r="B2785" s="558"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2"/>
      <c r="B2786" s="559"/>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2"/>
      <c r="B2787" s="559"/>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2"/>
      <c r="B2788" s="559"/>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2"/>
      <c r="B2789" s="559"/>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2"/>
      <c r="B2790" s="559"/>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2"/>
      <c r="B2791" s="559"/>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2"/>
      <c r="B2792" s="559"/>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2"/>
      <c r="B2793" s="559"/>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3"/>
      <c r="B2794" s="559"/>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1">
        <v>759</v>
      </c>
      <c r="B2796" s="558"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2"/>
      <c r="B2797" s="559"/>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2"/>
      <c r="B2798" s="559"/>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2"/>
      <c r="B2799" s="559"/>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2"/>
      <c r="B2800" s="559"/>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2"/>
      <c r="B2801" s="559"/>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2"/>
      <c r="B2802" s="559"/>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2"/>
      <c r="B2803" s="559"/>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2"/>
      <c r="B2804" s="559"/>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3"/>
      <c r="B2805" s="559"/>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2339</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1">
        <v>761</v>
      </c>
      <c r="B2807" s="558"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2"/>
      <c r="B2808" s="559"/>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2"/>
      <c r="B2809" s="559"/>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2"/>
      <c r="B2810" s="559"/>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2"/>
      <c r="B2811" s="559"/>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2"/>
      <c r="B2812" s="559"/>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2"/>
      <c r="B2813" s="559"/>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2"/>
      <c r="B2814" s="559"/>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2"/>
      <c r="B2815" s="559"/>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3"/>
      <c r="B2816" s="559"/>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1">
        <v>762</v>
      </c>
      <c r="B2817" s="558"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2"/>
      <c r="B2818" s="559"/>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2"/>
      <c r="B2819" s="559"/>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2"/>
      <c r="B2820" s="559"/>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2"/>
      <c r="B2821" s="559"/>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2"/>
      <c r="B2822" s="559"/>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2"/>
      <c r="B2823" s="559"/>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2"/>
      <c r="B2824" s="559"/>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2"/>
      <c r="B2825" s="559"/>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3"/>
      <c r="B2826" s="559"/>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2340</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1">
        <v>791</v>
      </c>
      <c r="B2828" s="558"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2"/>
      <c r="B2829" s="559"/>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2"/>
      <c r="B2830" s="559"/>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2"/>
      <c r="B2831" s="559"/>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2"/>
      <c r="B2832" s="559"/>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2"/>
      <c r="B2833" s="559"/>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2"/>
      <c r="B2834" s="559"/>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2"/>
      <c r="B2835" s="559"/>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2"/>
      <c r="B2836" s="559"/>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3"/>
      <c r="B2837" s="559"/>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1">
        <v>792</v>
      </c>
      <c r="B2838" s="558"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2"/>
      <c r="B2839" s="559"/>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2"/>
      <c r="B2840" s="559"/>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2"/>
      <c r="B2841" s="559"/>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2"/>
      <c r="B2842" s="559"/>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2"/>
      <c r="B2843" s="559"/>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2"/>
      <c r="B2844" s="559"/>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2"/>
      <c r="B2845" s="559"/>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2"/>
      <c r="B2846" s="559"/>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3"/>
      <c r="B2847" s="559"/>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1">
        <v>799</v>
      </c>
      <c r="B2848" s="558"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2"/>
      <c r="B2849" s="559"/>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2"/>
      <c r="B2850" s="559"/>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2"/>
      <c r="B2851" s="559"/>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2"/>
      <c r="B2852" s="559"/>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2"/>
      <c r="B2853" s="559"/>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2"/>
      <c r="B2854" s="559"/>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2"/>
      <c r="B2855" s="559"/>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2"/>
      <c r="B2856" s="559"/>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3"/>
      <c r="B2857" s="559"/>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2341</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1">
        <v>816</v>
      </c>
      <c r="B2865" s="558"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2"/>
      <c r="B2866" s="559"/>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2"/>
      <c r="B2867" s="559"/>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2"/>
      <c r="B2868" s="559"/>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2"/>
      <c r="B2869" s="559"/>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2"/>
      <c r="B2870" s="559"/>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2"/>
      <c r="B2871" s="559"/>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2"/>
      <c r="B2872" s="559"/>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2"/>
      <c r="B2873" s="559"/>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3"/>
      <c r="B2874" s="559"/>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1">
        <v>851</v>
      </c>
      <c r="B2882" s="558"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2"/>
      <c r="B2883" s="559"/>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2"/>
      <c r="B2884" s="559"/>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2"/>
      <c r="B2885" s="559"/>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2"/>
      <c r="B2886" s="559"/>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2"/>
      <c r="B2887" s="559"/>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2"/>
      <c r="B2888" s="559"/>
      <c r="C2888" s="110">
        <v>17</v>
      </c>
      <c r="D2888" s="66"/>
      <c r="E2888" s="12"/>
      <c r="F2888" s="12"/>
      <c r="G2888" s="12"/>
      <c r="H2888" s="12"/>
      <c r="I2888" s="12"/>
      <c r="J2888" s="12"/>
      <c r="K2888" s="12"/>
      <c r="L2888" s="12"/>
      <c r="M2888" s="12"/>
      <c r="N2888" s="12"/>
      <c r="O2888" s="12"/>
      <c r="P2888" s="55">
        <f t="shared" si="139"/>
        <v>0</v>
      </c>
    </row>
    <row r="2889" spans="1:16" ht="15" customHeight="1" x14ac:dyDescent="0.25">
      <c r="A2889" s="552"/>
      <c r="B2889" s="559"/>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2"/>
      <c r="B2890" s="559"/>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3"/>
      <c r="B2891" s="559"/>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1">
        <v>852</v>
      </c>
      <c r="B2892" s="558"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2"/>
      <c r="B2893" s="559"/>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2"/>
      <c r="B2894" s="559"/>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2"/>
      <c r="B2895" s="559"/>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2"/>
      <c r="B2896" s="559"/>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2"/>
      <c r="B2897" s="559"/>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2"/>
      <c r="B2898" s="559"/>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2"/>
      <c r="B2899" s="559"/>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2"/>
      <c r="B2900" s="559"/>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3"/>
      <c r="B2901" s="559"/>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1">
        <v>853</v>
      </c>
      <c r="B2902" s="558"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2"/>
      <c r="B2903" s="559"/>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2"/>
      <c r="B2904" s="559"/>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2"/>
      <c r="B2905" s="559"/>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2"/>
      <c r="B2906" s="559"/>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2"/>
      <c r="B2907" s="559"/>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2"/>
      <c r="B2908" s="559"/>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2"/>
      <c r="B2909" s="559"/>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2"/>
      <c r="B2910" s="559"/>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3"/>
      <c r="B2911" s="559"/>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2342</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x14ac:dyDescent="0.25">
      <c r="A2913" s="74">
        <v>9100</v>
      </c>
      <c r="B2913" s="305" t="s">
        <v>2343</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25">
      <c r="A2914" s="551">
        <v>911</v>
      </c>
      <c r="B2914" s="558"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2"/>
      <c r="B2915" s="559"/>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2"/>
      <c r="B2916" s="559"/>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2"/>
      <c r="B2917" s="559"/>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2"/>
      <c r="B2918" s="559"/>
      <c r="C2918" s="110">
        <v>15</v>
      </c>
      <c r="D2918" s="66"/>
      <c r="E2918" s="12"/>
      <c r="F2918" s="12"/>
      <c r="G2918" s="12"/>
      <c r="H2918" s="12"/>
      <c r="I2918" s="12"/>
      <c r="J2918" s="12"/>
      <c r="K2918" s="12"/>
      <c r="L2918" s="12"/>
      <c r="M2918" s="12"/>
      <c r="N2918" s="12"/>
      <c r="O2918" s="12"/>
      <c r="P2918" s="55">
        <f t="shared" si="142"/>
        <v>0</v>
      </c>
    </row>
    <row r="2919" spans="1:16" ht="15" customHeight="1" x14ac:dyDescent="0.25">
      <c r="A2919" s="552"/>
      <c r="B2919" s="559"/>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2"/>
      <c r="B2920" s="559"/>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2"/>
      <c r="B2921" s="559"/>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2"/>
      <c r="B2922" s="559"/>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3"/>
      <c r="B2923" s="559"/>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1">
        <v>912</v>
      </c>
      <c r="B2924" s="558"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2"/>
      <c r="B2925" s="559"/>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2"/>
      <c r="B2926" s="559"/>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2"/>
      <c r="B2927" s="559"/>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2"/>
      <c r="B2928" s="559"/>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2"/>
      <c r="B2929" s="559"/>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2"/>
      <c r="B2930" s="559"/>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2"/>
      <c r="B2931" s="559"/>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2"/>
      <c r="B2932" s="559"/>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3"/>
      <c r="B2933" s="559"/>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1">
        <v>913</v>
      </c>
      <c r="B2934" s="558"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2"/>
      <c r="B2935" s="559"/>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2"/>
      <c r="B2936" s="559"/>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2"/>
      <c r="B2937" s="559"/>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2"/>
      <c r="B2938" s="559"/>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2"/>
      <c r="B2939" s="559"/>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2"/>
      <c r="B2940" s="559"/>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2"/>
      <c r="B2941" s="559"/>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2"/>
      <c r="B2942" s="559"/>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3"/>
      <c r="B2943" s="559"/>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2345</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25">
      <c r="A2950" s="551">
        <v>921</v>
      </c>
      <c r="B2950" s="558"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2"/>
      <c r="B2951" s="559"/>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2"/>
      <c r="B2952" s="559"/>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2"/>
      <c r="B2953" s="559"/>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2"/>
      <c r="B2954" s="559"/>
      <c r="C2954" s="110">
        <v>15</v>
      </c>
      <c r="D2954" s="66"/>
      <c r="E2954" s="12"/>
      <c r="F2954" s="12"/>
      <c r="G2954" s="12"/>
      <c r="H2954" s="12"/>
      <c r="I2954" s="12"/>
      <c r="J2954" s="12"/>
      <c r="K2954" s="12"/>
      <c r="L2954" s="12"/>
      <c r="M2954" s="12"/>
      <c r="N2954" s="12"/>
      <c r="O2954" s="12"/>
      <c r="P2954" s="55">
        <f t="shared" si="144"/>
        <v>0</v>
      </c>
    </row>
    <row r="2955" spans="1:16" ht="15" customHeight="1" x14ac:dyDescent="0.25">
      <c r="A2955" s="552"/>
      <c r="B2955" s="559"/>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2"/>
      <c r="B2956" s="559"/>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2"/>
      <c r="B2957" s="559"/>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2"/>
      <c r="B2958" s="559"/>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3"/>
      <c r="B2959" s="559"/>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1">
        <v>922</v>
      </c>
      <c r="B2960" s="558"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2"/>
      <c r="B2961" s="559"/>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2"/>
      <c r="B2962" s="559"/>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2"/>
      <c r="B2963" s="559"/>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2"/>
      <c r="B2964" s="559"/>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2"/>
      <c r="B2965" s="559"/>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2"/>
      <c r="B2966" s="559"/>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2"/>
      <c r="B2967" s="559"/>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2"/>
      <c r="B2968" s="559"/>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3"/>
      <c r="B2969" s="559"/>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1">
        <v>923</v>
      </c>
      <c r="B2970" s="558"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2"/>
      <c r="B2971" s="559"/>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2"/>
      <c r="B2972" s="559"/>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2"/>
      <c r="B2973" s="559"/>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2"/>
      <c r="B2974" s="559"/>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2"/>
      <c r="B2975" s="559"/>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2"/>
      <c r="B2976" s="559"/>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2"/>
      <c r="B2977" s="559"/>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2"/>
      <c r="B2978" s="559"/>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3"/>
      <c r="B2979" s="559"/>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2348</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1">
        <v>931</v>
      </c>
      <c r="B2986" s="558"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2"/>
      <c r="B2987" s="559"/>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2"/>
      <c r="B2988" s="559"/>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2"/>
      <c r="B2989" s="559"/>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2"/>
      <c r="B2990" s="559"/>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2"/>
      <c r="B2991" s="559"/>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2"/>
      <c r="B2992" s="559"/>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2"/>
      <c r="B2993" s="559"/>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2"/>
      <c r="B2994" s="559"/>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3"/>
      <c r="B2995" s="559"/>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2349</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1">
        <v>941</v>
      </c>
      <c r="B2998" s="558"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2"/>
      <c r="B2999" s="559"/>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2"/>
      <c r="B3000" s="559"/>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2"/>
      <c r="B3001" s="559"/>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2"/>
      <c r="B3002" s="559"/>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2"/>
      <c r="B3003" s="559"/>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2"/>
      <c r="B3004" s="559"/>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2"/>
      <c r="B3005" s="559"/>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2"/>
      <c r="B3006" s="559"/>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3"/>
      <c r="B3007" s="559"/>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2350</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1">
        <v>951</v>
      </c>
      <c r="B3010" s="558"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2"/>
      <c r="B3011" s="559"/>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2"/>
      <c r="B3012" s="559"/>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2"/>
      <c r="B3013" s="559"/>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2"/>
      <c r="B3014" s="559"/>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2"/>
      <c r="B3015" s="559"/>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2"/>
      <c r="B3016" s="559"/>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2"/>
      <c r="B3017" s="559"/>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2"/>
      <c r="B3018" s="559"/>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3"/>
      <c r="B3019" s="559"/>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2351</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2352</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1">
        <v>991</v>
      </c>
      <c r="B3024" s="565" t="s">
        <v>429</v>
      </c>
      <c r="C3024" s="110">
        <v>11</v>
      </c>
      <c r="D3024" s="66"/>
      <c r="E3024" s="12"/>
      <c r="F3024" s="12"/>
      <c r="G3024" s="12"/>
      <c r="H3024" s="12"/>
      <c r="I3024" s="12"/>
      <c r="J3024" s="12"/>
      <c r="K3024" s="12"/>
      <c r="L3024" s="12"/>
      <c r="M3024" s="12"/>
      <c r="N3024" s="12"/>
      <c r="O3024" s="12"/>
      <c r="P3024" s="55">
        <f>SUM(D3024:O3024)</f>
        <v>0</v>
      </c>
    </row>
    <row r="3025" spans="1:16" x14ac:dyDescent="0.25">
      <c r="A3025" s="552"/>
      <c r="B3025" s="566"/>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2"/>
      <c r="B3026" s="566"/>
      <c r="C3026" s="110">
        <v>13</v>
      </c>
      <c r="D3026" s="66"/>
      <c r="E3026" s="12"/>
      <c r="F3026" s="12"/>
      <c r="G3026" s="12"/>
      <c r="H3026" s="12"/>
      <c r="I3026" s="12"/>
      <c r="J3026" s="12"/>
      <c r="K3026" s="12"/>
      <c r="L3026" s="12"/>
      <c r="M3026" s="12"/>
      <c r="N3026" s="12"/>
      <c r="O3026" s="12"/>
      <c r="P3026" s="55">
        <f t="shared" si="154"/>
        <v>0</v>
      </c>
    </row>
    <row r="3027" spans="1:16" x14ac:dyDescent="0.25">
      <c r="A3027" s="552"/>
      <c r="B3027" s="566"/>
      <c r="C3027" s="110">
        <v>14</v>
      </c>
      <c r="D3027" s="66"/>
      <c r="E3027" s="12"/>
      <c r="F3027" s="12"/>
      <c r="G3027" s="12"/>
      <c r="H3027" s="12"/>
      <c r="I3027" s="12"/>
      <c r="J3027" s="12"/>
      <c r="K3027" s="12"/>
      <c r="L3027" s="12"/>
      <c r="M3027" s="12"/>
      <c r="N3027" s="12"/>
      <c r="O3027" s="12"/>
      <c r="P3027" s="55">
        <f t="shared" si="154"/>
        <v>0</v>
      </c>
    </row>
    <row r="3028" spans="1:16" x14ac:dyDescent="0.25">
      <c r="A3028" s="552"/>
      <c r="B3028" s="566"/>
      <c r="C3028" s="110">
        <v>15</v>
      </c>
      <c r="D3028" s="66"/>
      <c r="E3028" s="12"/>
      <c r="F3028" s="12"/>
      <c r="G3028" s="12"/>
      <c r="H3028" s="12"/>
      <c r="I3028" s="12"/>
      <c r="J3028" s="12"/>
      <c r="K3028" s="12"/>
      <c r="L3028" s="12"/>
      <c r="M3028" s="12"/>
      <c r="N3028" s="12"/>
      <c r="O3028" s="12"/>
      <c r="P3028" s="55">
        <f t="shared" si="154"/>
        <v>0</v>
      </c>
    </row>
    <row r="3029" spans="1:16" x14ac:dyDescent="0.25">
      <c r="A3029" s="552"/>
      <c r="B3029" s="566"/>
      <c r="C3029" s="110">
        <v>16</v>
      </c>
      <c r="D3029" s="66"/>
      <c r="E3029" s="12"/>
      <c r="F3029" s="12"/>
      <c r="G3029" s="12"/>
      <c r="H3029" s="12"/>
      <c r="I3029" s="12"/>
      <c r="J3029" s="12"/>
      <c r="K3029" s="12"/>
      <c r="L3029" s="12"/>
      <c r="M3029" s="12"/>
      <c r="N3029" s="12"/>
      <c r="O3029" s="12"/>
      <c r="P3029" s="55">
        <f t="shared" si="154"/>
        <v>0</v>
      </c>
    </row>
    <row r="3030" spans="1:16" x14ac:dyDescent="0.25">
      <c r="A3030" s="552"/>
      <c r="B3030" s="566"/>
      <c r="C3030" s="110">
        <v>17</v>
      </c>
      <c r="D3030" s="66"/>
      <c r="E3030" s="12"/>
      <c r="F3030" s="12"/>
      <c r="G3030" s="12"/>
      <c r="H3030" s="12"/>
      <c r="I3030" s="12"/>
      <c r="J3030" s="12"/>
      <c r="K3030" s="12"/>
      <c r="L3030" s="12"/>
      <c r="M3030" s="12"/>
      <c r="N3030" s="12"/>
      <c r="O3030" s="12"/>
      <c r="P3030" s="55">
        <f t="shared" si="154"/>
        <v>0</v>
      </c>
    </row>
    <row r="3031" spans="1:16" x14ac:dyDescent="0.25">
      <c r="A3031" s="552"/>
      <c r="B3031" s="566"/>
      <c r="C3031" s="110">
        <v>25</v>
      </c>
      <c r="D3031" s="66"/>
      <c r="E3031" s="12"/>
      <c r="F3031" s="12"/>
      <c r="G3031" s="12"/>
      <c r="H3031" s="12"/>
      <c r="I3031" s="12"/>
      <c r="J3031" s="12"/>
      <c r="K3031" s="12"/>
      <c r="L3031" s="12"/>
      <c r="M3031" s="12"/>
      <c r="N3031" s="12"/>
      <c r="O3031" s="12"/>
      <c r="P3031" s="55">
        <f t="shared" si="154"/>
        <v>0</v>
      </c>
    </row>
    <row r="3032" spans="1:16" x14ac:dyDescent="0.25">
      <c r="A3032" s="552"/>
      <c r="B3032" s="566"/>
      <c r="C3032" s="110">
        <v>26</v>
      </c>
      <c r="D3032" s="66"/>
      <c r="E3032" s="12"/>
      <c r="F3032" s="12"/>
      <c r="G3032" s="12"/>
      <c r="H3032" s="12"/>
      <c r="I3032" s="12"/>
      <c r="J3032" s="12"/>
      <c r="K3032" s="12"/>
      <c r="L3032" s="12"/>
      <c r="M3032" s="12"/>
      <c r="N3032" s="12"/>
      <c r="O3032" s="12"/>
      <c r="P3032" s="55">
        <f t="shared" si="154"/>
        <v>0</v>
      </c>
    </row>
    <row r="3033" spans="1:16" x14ac:dyDescent="0.25">
      <c r="A3033" s="553"/>
      <c r="B3033" s="567"/>
      <c r="C3033" s="110">
        <v>27</v>
      </c>
      <c r="D3033" s="66"/>
      <c r="E3033" s="12"/>
      <c r="F3033" s="12"/>
      <c r="G3033" s="12"/>
      <c r="H3033" s="12"/>
      <c r="I3033" s="12"/>
      <c r="J3033" s="12"/>
      <c r="K3033" s="12"/>
      <c r="L3033" s="12"/>
      <c r="M3033" s="12"/>
      <c r="N3033" s="12"/>
      <c r="O3033" s="12"/>
      <c r="P3033" s="55">
        <f t="shared" si="154"/>
        <v>0</v>
      </c>
    </row>
    <row r="3034" spans="1:16" x14ac:dyDescent="0.25">
      <c r="B3034" s="549" t="s">
        <v>2170</v>
      </c>
      <c r="C3034" s="550"/>
      <c r="D3034" s="33">
        <f t="shared" ref="D3034:P3034" si="155">D7+D269+D748+D1499+D1865+D2365+D2549+D2858+D2912</f>
        <v>6094657</v>
      </c>
      <c r="E3034" s="33">
        <f t="shared" si="155"/>
        <v>5328116</v>
      </c>
      <c r="F3034" s="33">
        <f t="shared" si="155"/>
        <v>6504313</v>
      </c>
      <c r="G3034" s="33">
        <f t="shared" si="155"/>
        <v>7501300</v>
      </c>
      <c r="H3034" s="33">
        <f t="shared" si="155"/>
        <v>6788670</v>
      </c>
      <c r="I3034" s="33">
        <f t="shared" si="155"/>
        <v>8692628</v>
      </c>
      <c r="J3034" s="33">
        <f t="shared" si="155"/>
        <v>6922507</v>
      </c>
      <c r="K3034" s="33">
        <f t="shared" si="155"/>
        <v>6707254</v>
      </c>
      <c r="L3034" s="33">
        <f t="shared" si="155"/>
        <v>5723719</v>
      </c>
      <c r="M3034" s="33">
        <f t="shared" si="155"/>
        <v>5279551</v>
      </c>
      <c r="N3034" s="33">
        <f t="shared" si="155"/>
        <v>4688816</v>
      </c>
      <c r="O3034" s="33">
        <f t="shared" si="155"/>
        <v>8879872</v>
      </c>
      <c r="P3034" s="33">
        <f t="shared" si="155"/>
        <v>79111403</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40" fitToHeight="0" orientation="landscape" horizontalDpi="4294967294"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26" sqref="F26"/>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2535</v>
      </c>
      <c r="B2" s="568"/>
      <c r="C2" s="568"/>
      <c r="D2" s="568"/>
      <c r="E2" s="568"/>
      <c r="F2" s="568"/>
      <c r="G2" s="568"/>
      <c r="H2" s="568"/>
    </row>
    <row r="3" spans="1:8" ht="21" x14ac:dyDescent="0.35">
      <c r="A3" s="569" t="str">
        <f>Inconsistencias!$B$6&amp;IF(LOOKUP(Inconsistencias!$B$6,EF!$C$2:$C$1001,EF!$I$2:I$1001)="Dependencia",", Jalisco","")</f>
        <v>San Cristóbal de la Barranca,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ht="15" customHeight="1" x14ac:dyDescent="0.25"/>
    <row r="6" spans="1:8" ht="30" customHeight="1" x14ac:dyDescent="0.25">
      <c r="A6" s="253" t="s">
        <v>2167</v>
      </c>
      <c r="B6" s="254" t="str">
        <f>"Resultado "&amp;Inconsistencias!$U$2-3</f>
        <v>Resultado 2022</v>
      </c>
      <c r="C6" s="254" t="str">
        <f>"Resultado "&amp;Inconsistencias!$U$2-2</f>
        <v>Resultado 2023</v>
      </c>
      <c r="D6" s="254" t="str">
        <f>"Resultado "&amp;Inconsistencias!$U$2-1</f>
        <v>Resultado 2024</v>
      </c>
      <c r="E6" s="254" t="str">
        <f>"Estimación "
&amp;Inconsistencias!U2</f>
        <v>Estimación 2025</v>
      </c>
      <c r="F6" s="254" t="str">
        <f>"Proyección "&amp;Inconsistencias!$U$2+1</f>
        <v>Proyección 2026</v>
      </c>
      <c r="G6" s="254" t="str">
        <f>"Proyección "&amp;Inconsistencias!$U$2+2</f>
        <v>Proyección 2027</v>
      </c>
      <c r="H6" s="255" t="str">
        <f>"Proyección "&amp;Inconsistencias!$U$2+3</f>
        <v>Proyección 2028</v>
      </c>
    </row>
    <row r="7" spans="1:8" x14ac:dyDescent="0.25">
      <c r="A7" s="29" t="s">
        <v>1752</v>
      </c>
      <c r="B7" s="30"/>
      <c r="C7" s="30"/>
      <c r="D7" s="30"/>
      <c r="E7" s="30"/>
      <c r="F7" s="30"/>
      <c r="G7" s="30"/>
      <c r="H7" s="31"/>
    </row>
    <row r="8" spans="1:8" s="34" customFormat="1" ht="30" customHeight="1" x14ac:dyDescent="0.25">
      <c r="A8" s="32" t="s">
        <v>500</v>
      </c>
      <c r="B8" s="12">
        <v>1058673</v>
      </c>
      <c r="C8" s="12">
        <v>1488981</v>
      </c>
      <c r="D8" s="12">
        <v>2284172</v>
      </c>
      <c r="E8" s="33">
        <f>'CRI-DE'!F7</f>
        <v>2123964</v>
      </c>
      <c r="F8" s="12">
        <v>2294456</v>
      </c>
      <c r="G8" s="12"/>
      <c r="H8" s="12"/>
    </row>
    <row r="9" spans="1:8" s="34" customFormat="1" ht="30" customHeight="1" x14ac:dyDescent="0.25">
      <c r="A9" s="32" t="s">
        <v>505</v>
      </c>
      <c r="B9" s="12"/>
      <c r="C9" s="12"/>
      <c r="D9" s="12"/>
      <c r="E9" s="33">
        <f>'CRI-DE'!F28</f>
        <v>0</v>
      </c>
      <c r="F9" s="12"/>
      <c r="G9" s="12"/>
      <c r="H9" s="12"/>
    </row>
    <row r="10" spans="1:8" s="34" customFormat="1" ht="30" customHeight="1" x14ac:dyDescent="0.25">
      <c r="A10" s="32" t="s">
        <v>2275</v>
      </c>
      <c r="B10" s="12"/>
      <c r="C10" s="12"/>
      <c r="D10" s="12"/>
      <c r="E10" s="33">
        <f>'CRI-DE'!F34</f>
        <v>0</v>
      </c>
      <c r="F10" s="12"/>
      <c r="G10" s="12"/>
      <c r="H10" s="12"/>
    </row>
    <row r="11" spans="1:8" s="34" customFormat="1" ht="30" customHeight="1" x14ac:dyDescent="0.25">
      <c r="A11" s="32" t="s">
        <v>313</v>
      </c>
      <c r="B11" s="12">
        <v>1453607</v>
      </c>
      <c r="C11" s="12">
        <v>1848263</v>
      </c>
      <c r="D11" s="12">
        <v>1659984</v>
      </c>
      <c r="E11" s="33">
        <f>'CRI-DE'!F39</f>
        <v>2569480</v>
      </c>
      <c r="F11" s="12">
        <v>2596542</v>
      </c>
      <c r="G11" s="12"/>
      <c r="H11" s="12"/>
    </row>
    <row r="12" spans="1:8" s="34" customFormat="1" ht="30" customHeight="1" x14ac:dyDescent="0.25">
      <c r="A12" s="35" t="s">
        <v>501</v>
      </c>
      <c r="B12" s="12">
        <v>337388</v>
      </c>
      <c r="C12" s="12">
        <v>165627</v>
      </c>
      <c r="D12" s="12">
        <v>185686</v>
      </c>
      <c r="E12" s="33">
        <f>'CRI-DE'!F71</f>
        <v>238590</v>
      </c>
      <c r="F12" s="12">
        <v>242569</v>
      </c>
      <c r="G12" s="12"/>
      <c r="H12" s="12"/>
    </row>
    <row r="13" spans="1:8" s="34" customFormat="1" ht="30" customHeight="1" x14ac:dyDescent="0.25">
      <c r="A13" s="35" t="s">
        <v>502</v>
      </c>
      <c r="B13" s="12">
        <v>2610</v>
      </c>
      <c r="C13" s="12">
        <v>0</v>
      </c>
      <c r="D13" s="12">
        <v>0</v>
      </c>
      <c r="E13" s="33">
        <f>'CRI-DE'!F78</f>
        <v>3500</v>
      </c>
      <c r="F13" s="12">
        <v>5600</v>
      </c>
      <c r="G13" s="12"/>
      <c r="H13" s="12"/>
    </row>
    <row r="14" spans="1:8" s="34" customFormat="1" ht="30" customHeight="1" x14ac:dyDescent="0.25">
      <c r="A14" s="35" t="s">
        <v>2353</v>
      </c>
      <c r="B14" s="12"/>
      <c r="C14" s="12"/>
      <c r="D14" s="12"/>
      <c r="E14" s="33">
        <f>'CRI-DE'!F94</f>
        <v>0</v>
      </c>
      <c r="F14" s="12"/>
      <c r="G14" s="12"/>
      <c r="H14" s="12"/>
    </row>
    <row r="15" spans="1:8" s="34" customFormat="1" ht="30" customHeight="1" x14ac:dyDescent="0.25">
      <c r="A15" s="35" t="s">
        <v>568</v>
      </c>
      <c r="B15" s="12">
        <v>40053638</v>
      </c>
      <c r="C15" s="12">
        <v>54962187</v>
      </c>
      <c r="D15" s="12">
        <v>79256806</v>
      </c>
      <c r="E15" s="33">
        <f>'CRI-DE'!F109</f>
        <v>60697494</v>
      </c>
      <c r="F15" s="12">
        <v>83012214</v>
      </c>
      <c r="G15" s="12"/>
      <c r="H15" s="12"/>
    </row>
    <row r="16" spans="1:8" s="34" customFormat="1" ht="30" customHeight="1" x14ac:dyDescent="0.25">
      <c r="A16" s="35" t="s">
        <v>444</v>
      </c>
      <c r="B16" s="12">
        <v>428131</v>
      </c>
      <c r="C16" s="12">
        <v>933506</v>
      </c>
      <c r="D16" s="12">
        <v>924967</v>
      </c>
      <c r="E16" s="33">
        <f>'CRI-DE'!F130</f>
        <v>905665</v>
      </c>
      <c r="F16" s="12">
        <v>960465</v>
      </c>
      <c r="G16" s="12"/>
      <c r="H16" s="12"/>
    </row>
    <row r="17" spans="1:8" s="34" customFormat="1" ht="30" customHeight="1" x14ac:dyDescent="0.25">
      <c r="A17" s="36" t="s">
        <v>597</v>
      </c>
      <c r="B17" s="12"/>
      <c r="C17" s="12"/>
      <c r="D17" s="12"/>
      <c r="E17" s="33">
        <f>'CRI-DE'!D139</f>
        <v>0</v>
      </c>
      <c r="F17" s="12"/>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2354</v>
      </c>
      <c r="B19" s="12"/>
      <c r="C19" s="12"/>
      <c r="D19" s="12"/>
      <c r="E19" s="33">
        <v>0</v>
      </c>
      <c r="F19" s="12"/>
      <c r="G19" s="12"/>
      <c r="H19" s="12"/>
    </row>
    <row r="20" spans="1:8" ht="15" customHeight="1" x14ac:dyDescent="0.25">
      <c r="A20" s="37" t="s">
        <v>2355</v>
      </c>
      <c r="B20" s="38">
        <f>SUM(B8:B19)</f>
        <v>43334047</v>
      </c>
      <c r="C20" s="38">
        <f t="shared" ref="C20:H20" si="0">SUM(C8:C19)</f>
        <v>59398564</v>
      </c>
      <c r="D20" s="38">
        <f t="shared" si="0"/>
        <v>84311615</v>
      </c>
      <c r="E20" s="38">
        <f t="shared" si="0"/>
        <v>66538693</v>
      </c>
      <c r="F20" s="38">
        <f t="shared" si="0"/>
        <v>89111846</v>
      </c>
      <c r="G20" s="38">
        <f t="shared" si="0"/>
        <v>0</v>
      </c>
      <c r="H20" s="38">
        <f t="shared" si="0"/>
        <v>0</v>
      </c>
    </row>
    <row r="21" spans="1:8" ht="15" customHeight="1" x14ac:dyDescent="0.25">
      <c r="A21" s="174" t="s">
        <v>2356</v>
      </c>
      <c r="B21" s="177"/>
      <c r="C21" s="177"/>
      <c r="D21" s="178"/>
      <c r="E21" s="38">
        <f>'CRI-DE'!D157</f>
        <v>0</v>
      </c>
      <c r="F21" s="176"/>
      <c r="G21" s="175"/>
      <c r="H21" s="63"/>
    </row>
    <row r="22" spans="1:8" ht="15" customHeight="1" x14ac:dyDescent="0.25">
      <c r="A22" s="174" t="s">
        <v>2357</v>
      </c>
      <c r="B22" s="177"/>
      <c r="C22" s="177"/>
      <c r="D22" s="178"/>
      <c r="E22" s="38">
        <f>E20+E21</f>
        <v>66538693</v>
      </c>
      <c r="F22" s="176"/>
      <c r="G22" s="175"/>
      <c r="H22" s="63"/>
    </row>
    <row r="23" spans="1:8" x14ac:dyDescent="0.25">
      <c r="A23" s="29" t="s">
        <v>2358</v>
      </c>
      <c r="B23" s="30"/>
      <c r="C23" s="30"/>
      <c r="D23" s="30"/>
      <c r="E23" s="30"/>
      <c r="F23" s="30"/>
      <c r="G23" s="30"/>
      <c r="H23" s="31"/>
    </row>
    <row r="24" spans="1:8" s="34" customFormat="1" ht="30" customHeight="1" x14ac:dyDescent="0.25">
      <c r="A24" s="39" t="s">
        <v>581</v>
      </c>
      <c r="B24" s="40">
        <v>6755172</v>
      </c>
      <c r="C24" s="40">
        <v>7611882</v>
      </c>
      <c r="D24" s="40">
        <v>7351242</v>
      </c>
      <c r="E24" s="33">
        <f>'CRI-DE'!E122</f>
        <v>7572710</v>
      </c>
      <c r="F24" s="40">
        <v>7689452</v>
      </c>
      <c r="G24" s="40"/>
      <c r="H24" s="40"/>
    </row>
    <row r="25" spans="1:8" s="34" customFormat="1" ht="30" customHeight="1" x14ac:dyDescent="0.25">
      <c r="A25" s="39" t="s">
        <v>584</v>
      </c>
      <c r="B25" s="40">
        <v>0</v>
      </c>
      <c r="C25" s="40">
        <v>0</v>
      </c>
      <c r="D25" s="40">
        <v>0</v>
      </c>
      <c r="E25" s="33">
        <f>'CRI-DE'!E125</f>
        <v>5000000</v>
      </c>
      <c r="F25" s="40">
        <v>3000000</v>
      </c>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2359</v>
      </c>
      <c r="B27" s="40"/>
      <c r="C27" s="40"/>
      <c r="D27" s="40"/>
      <c r="E27" s="33">
        <f>'CRI-DE'!E139</f>
        <v>0</v>
      </c>
      <c r="F27" s="40"/>
      <c r="G27" s="40"/>
      <c r="H27" s="40"/>
    </row>
    <row r="28" spans="1:8" s="34" customFormat="1" ht="30" customHeight="1" x14ac:dyDescent="0.25">
      <c r="A28" s="39" t="s">
        <v>2360</v>
      </c>
      <c r="B28" s="40"/>
      <c r="C28" s="40"/>
      <c r="D28" s="40"/>
      <c r="E28" s="33">
        <v>0</v>
      </c>
      <c r="F28" s="40"/>
      <c r="G28" s="40"/>
      <c r="H28" s="40"/>
    </row>
    <row r="29" spans="1:8" x14ac:dyDescent="0.25">
      <c r="A29" s="37" t="s">
        <v>2361</v>
      </c>
      <c r="B29" s="38">
        <f t="shared" ref="B29:H29" si="1">SUM(B24:B28)</f>
        <v>6755172</v>
      </c>
      <c r="C29" s="38">
        <f t="shared" si="1"/>
        <v>7611882</v>
      </c>
      <c r="D29" s="38">
        <f t="shared" si="1"/>
        <v>7351242</v>
      </c>
      <c r="E29" s="38">
        <f t="shared" si="1"/>
        <v>12572710</v>
      </c>
      <c r="F29" s="38">
        <f t="shared" si="1"/>
        <v>10689452</v>
      </c>
      <c r="G29" s="38">
        <f t="shared" si="1"/>
        <v>0</v>
      </c>
      <c r="H29" s="38">
        <f t="shared" si="1"/>
        <v>0</v>
      </c>
    </row>
    <row r="30" spans="1:8" x14ac:dyDescent="0.25">
      <c r="A30" s="37" t="s">
        <v>2362</v>
      </c>
      <c r="B30" s="177"/>
      <c r="C30" s="177"/>
      <c r="D30" s="178"/>
      <c r="E30" s="38">
        <f>'CRI-DE'!E157</f>
        <v>0</v>
      </c>
      <c r="F30" s="177"/>
      <c r="G30" s="177"/>
      <c r="H30" s="178"/>
    </row>
    <row r="31" spans="1:8" x14ac:dyDescent="0.25">
      <c r="A31" s="37" t="s">
        <v>2357</v>
      </c>
      <c r="B31" s="177"/>
      <c r="C31" s="177"/>
      <c r="D31" s="178"/>
      <c r="E31" s="38">
        <f>E29+E30</f>
        <v>12572710</v>
      </c>
      <c r="F31" s="177"/>
      <c r="G31" s="177"/>
      <c r="H31" s="178"/>
    </row>
    <row r="32" spans="1:8" s="34" customFormat="1" ht="30" customHeight="1" x14ac:dyDescent="0.25">
      <c r="A32" s="35" t="s">
        <v>2363</v>
      </c>
      <c r="B32" s="33">
        <f>B40</f>
        <v>0</v>
      </c>
      <c r="C32" s="33">
        <f>C40</f>
        <v>0</v>
      </c>
      <c r="D32" s="33">
        <f>D40</f>
        <v>0</v>
      </c>
      <c r="E32" s="33">
        <f>E40</f>
        <v>0</v>
      </c>
      <c r="F32" s="33">
        <f t="shared" ref="F32:H32" si="2">F40</f>
        <v>0</v>
      </c>
      <c r="G32" s="33">
        <f t="shared" si="2"/>
        <v>0</v>
      </c>
      <c r="H32" s="33">
        <f t="shared" si="2"/>
        <v>0</v>
      </c>
    </row>
    <row r="33" spans="1:9" x14ac:dyDescent="0.25">
      <c r="A33" s="43" t="s">
        <v>2364</v>
      </c>
      <c r="B33" s="44">
        <f>B20+B29+B32</f>
        <v>50089219</v>
      </c>
      <c r="C33" s="44">
        <f t="shared" ref="C33:H33" si="3">C20+C29+C32</f>
        <v>67010446</v>
      </c>
      <c r="D33" s="44">
        <f t="shared" si="3"/>
        <v>91662857</v>
      </c>
      <c r="E33" s="44">
        <f>E20+E29+E32</f>
        <v>79111403</v>
      </c>
      <c r="F33" s="44">
        <f t="shared" si="3"/>
        <v>99801298</v>
      </c>
      <c r="G33" s="44">
        <f t="shared" si="3"/>
        <v>0</v>
      </c>
      <c r="H33" s="44">
        <f t="shared" si="3"/>
        <v>0</v>
      </c>
    </row>
    <row r="34" spans="1:9" x14ac:dyDescent="0.25">
      <c r="A34" s="163" t="s">
        <v>2365</v>
      </c>
      <c r="B34" s="162"/>
      <c r="C34" s="162"/>
      <c r="D34" s="164"/>
      <c r="E34" s="44">
        <f>E21+E30</f>
        <v>0</v>
      </c>
      <c r="F34" s="44"/>
      <c r="G34" s="44"/>
      <c r="H34" s="44"/>
    </row>
    <row r="35" spans="1:9" x14ac:dyDescent="0.25">
      <c r="A35" s="163" t="s">
        <v>2366</v>
      </c>
      <c r="B35" s="162"/>
      <c r="C35" s="162"/>
      <c r="D35" s="164"/>
      <c r="E35" s="44">
        <f>E33+E34</f>
        <v>79111403</v>
      </c>
      <c r="F35" s="44"/>
      <c r="G35" s="44"/>
      <c r="H35" s="44"/>
    </row>
    <row r="36" spans="1:9" x14ac:dyDescent="0.25">
      <c r="A36" s="45"/>
      <c r="B36" s="41"/>
      <c r="C36" s="41"/>
      <c r="D36" s="41"/>
      <c r="E36" s="41"/>
      <c r="F36" s="46"/>
      <c r="G36" s="46"/>
      <c r="H36" s="46"/>
    </row>
    <row r="37" spans="1:9" x14ac:dyDescent="0.25">
      <c r="A37" s="47" t="s">
        <v>2367</v>
      </c>
      <c r="B37" s="41"/>
      <c r="C37" s="41"/>
      <c r="D37" s="41"/>
      <c r="E37" s="41"/>
      <c r="F37" s="41"/>
      <c r="G37" s="41"/>
      <c r="H37" s="42"/>
    </row>
    <row r="38" spans="1:9" ht="30" x14ac:dyDescent="0.25">
      <c r="A38" s="48" t="s">
        <v>2368</v>
      </c>
      <c r="B38" s="40"/>
      <c r="C38" s="40"/>
      <c r="D38" s="40"/>
      <c r="E38" s="33">
        <f>'CRI-DE'!D151</f>
        <v>0</v>
      </c>
      <c r="F38" s="40"/>
      <c r="G38" s="40"/>
      <c r="H38" s="40"/>
    </row>
    <row r="39" spans="1:9" ht="30" x14ac:dyDescent="0.25">
      <c r="A39" s="48" t="s">
        <v>2369</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387675223</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9"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7" activePane="bottomRight" state="frozen"/>
      <selection activeCell="H14" sqref="B14:AM16"/>
      <selection pane="topRight" activeCell="H14" sqref="B14:AM16"/>
      <selection pane="bottomLeft" activeCell="H14" sqref="B14:AM16"/>
      <selection pane="bottomRight" activeCell="F22" sqref="F22"/>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2536</v>
      </c>
      <c r="B2" s="568"/>
      <c r="C2" s="568"/>
      <c r="D2" s="568"/>
      <c r="E2" s="568"/>
      <c r="F2" s="568"/>
      <c r="G2" s="568"/>
      <c r="H2" s="568"/>
    </row>
    <row r="3" spans="1:8" ht="21" x14ac:dyDescent="0.35">
      <c r="A3" s="569" t="str">
        <f>Inconsistencias!$B$6&amp;IF(LOOKUP(Inconsistencias!$B$6,EF!$C$2:$C$1001,EF!$I$2:I$1001)="Dependencia",", Jalisco","")</f>
        <v>San Cristóbal de la Barranca, Jalisco</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x14ac:dyDescent="0.25"/>
    <row r="6" spans="1:8" ht="30" customHeight="1" x14ac:dyDescent="0.25">
      <c r="A6" s="253" t="s">
        <v>2167</v>
      </c>
      <c r="B6" s="254" t="str">
        <f>'CRI-RYP'!B6</f>
        <v>Resultado 2022</v>
      </c>
      <c r="C6" s="254" t="str">
        <f>'CRI-RYP'!C6</f>
        <v>Resultado 2023</v>
      </c>
      <c r="D6" s="254" t="str">
        <f>'CRI-RYP'!D6</f>
        <v>Resultado 2024</v>
      </c>
      <c r="E6" s="254" t="str">
        <f>'CRI-RYP'!E6</f>
        <v>Estimación 2025</v>
      </c>
      <c r="F6" s="254" t="str">
        <f>'CRI-RYP'!F6</f>
        <v>Proyección 2026</v>
      </c>
      <c r="G6" s="254" t="str">
        <f>'CRI-RYP'!G6</f>
        <v>Proyección 2027</v>
      </c>
      <c r="H6" s="255" t="str">
        <f>'CRI-RYP'!H6</f>
        <v>Proyección 2028</v>
      </c>
    </row>
    <row r="7" spans="1:8" x14ac:dyDescent="0.25">
      <c r="A7" s="29" t="s">
        <v>2370</v>
      </c>
      <c r="B7" s="30"/>
      <c r="C7" s="30"/>
      <c r="D7" s="30"/>
      <c r="E7" s="30"/>
      <c r="F7" s="30"/>
      <c r="G7" s="30"/>
      <c r="H7" s="31"/>
    </row>
    <row r="8" spans="1:8" s="34" customFormat="1" ht="30" customHeight="1" x14ac:dyDescent="0.25">
      <c r="A8" s="32" t="s">
        <v>2371</v>
      </c>
      <c r="B8" s="12">
        <v>18791991</v>
      </c>
      <c r="C8" s="12">
        <v>23798863</v>
      </c>
      <c r="D8" s="12">
        <v>28520033</v>
      </c>
      <c r="E8" s="33">
        <f>SUM('COG-FF'!C8:I8)</f>
        <v>30846638</v>
      </c>
      <c r="F8" s="12">
        <v>28759440</v>
      </c>
      <c r="G8" s="12"/>
      <c r="H8" s="12"/>
    </row>
    <row r="9" spans="1:8" s="34" customFormat="1" ht="30" customHeight="1" x14ac:dyDescent="0.25">
      <c r="A9" s="32" t="s">
        <v>2283</v>
      </c>
      <c r="B9" s="12">
        <v>12873475</v>
      </c>
      <c r="C9" s="12">
        <v>18379263</v>
      </c>
      <c r="D9" s="12">
        <v>21674160</v>
      </c>
      <c r="E9" s="33">
        <f>SUM('COG-FF'!C45:I45)</f>
        <v>13545191</v>
      </c>
      <c r="F9" s="12">
        <v>21489562</v>
      </c>
      <c r="G9" s="12"/>
      <c r="H9" s="12"/>
    </row>
    <row r="10" spans="1:8" s="34" customFormat="1" ht="30" customHeight="1" x14ac:dyDescent="0.25">
      <c r="A10" s="32" t="s">
        <v>2292</v>
      </c>
      <c r="B10" s="12">
        <v>7037165</v>
      </c>
      <c r="C10" s="12">
        <v>7722854</v>
      </c>
      <c r="D10" s="12">
        <v>12512710</v>
      </c>
      <c r="E10" s="33">
        <f>SUM('COG-FF'!C110:I110)</f>
        <v>12365768</v>
      </c>
      <c r="F10" s="12">
        <v>16896452</v>
      </c>
      <c r="G10" s="12"/>
      <c r="H10" s="12"/>
    </row>
    <row r="11" spans="1:8" s="34" customFormat="1" ht="30" customHeight="1" x14ac:dyDescent="0.25">
      <c r="A11" s="32" t="s">
        <v>2372</v>
      </c>
      <c r="B11" s="12">
        <v>3364207</v>
      </c>
      <c r="C11" s="12">
        <v>3673142</v>
      </c>
      <c r="D11" s="12">
        <v>4657258</v>
      </c>
      <c r="E11" s="33">
        <f>SUM('COG-FF'!C195:I195)</f>
        <v>4796833</v>
      </c>
      <c r="F11" s="12">
        <v>6569850</v>
      </c>
      <c r="G11" s="12"/>
      <c r="H11" s="12"/>
    </row>
    <row r="12" spans="1:8" s="34" customFormat="1" ht="30" customHeight="1" x14ac:dyDescent="0.25">
      <c r="A12" s="35" t="s">
        <v>2373</v>
      </c>
      <c r="B12" s="12">
        <v>249423</v>
      </c>
      <c r="C12" s="12">
        <v>2799099</v>
      </c>
      <c r="D12" s="12">
        <v>2651208</v>
      </c>
      <c r="E12" s="33">
        <f>SUM('COG-FF'!C255:I255)</f>
        <v>1634263</v>
      </c>
      <c r="F12" s="12">
        <v>1500000</v>
      </c>
      <c r="G12" s="12"/>
      <c r="H12" s="12"/>
    </row>
    <row r="13" spans="1:8" s="34" customFormat="1" ht="30" customHeight="1" x14ac:dyDescent="0.25">
      <c r="A13" s="35" t="s">
        <v>2328</v>
      </c>
      <c r="B13" s="12">
        <v>277362</v>
      </c>
      <c r="C13" s="12">
        <v>2853861</v>
      </c>
      <c r="D13" s="12">
        <v>14306246</v>
      </c>
      <c r="E13" s="33">
        <f>SUM('COG-FF'!C314:I314)</f>
        <v>3350000</v>
      </c>
      <c r="F13" s="12">
        <v>13896542</v>
      </c>
      <c r="G13" s="12"/>
      <c r="H13" s="12"/>
    </row>
    <row r="14" spans="1:8" s="34" customFormat="1" ht="30" customHeight="1" x14ac:dyDescent="0.25">
      <c r="A14" s="35" t="s">
        <v>2332</v>
      </c>
      <c r="B14" s="12"/>
      <c r="C14" s="12"/>
      <c r="D14" s="12"/>
      <c r="E14" s="33">
        <f>SUM('COG-FF'!C336:I336)</f>
        <v>0</v>
      </c>
      <c r="F14" s="12"/>
      <c r="G14" s="12"/>
      <c r="H14" s="12"/>
    </row>
    <row r="15" spans="1:8" s="34" customFormat="1" ht="30" customHeight="1" x14ac:dyDescent="0.25">
      <c r="A15" s="35" t="s">
        <v>2341</v>
      </c>
      <c r="B15" s="12"/>
      <c r="C15" s="12"/>
      <c r="D15" s="12"/>
      <c r="E15" s="33">
        <f>SUM('COG-FF'!C384:I384)</f>
        <v>0</v>
      </c>
      <c r="F15" s="12"/>
      <c r="G15" s="12"/>
      <c r="H15" s="12"/>
    </row>
    <row r="16" spans="1:8" s="34" customFormat="1" ht="30" customHeight="1" x14ac:dyDescent="0.25">
      <c r="A16" s="35" t="s">
        <v>2342</v>
      </c>
      <c r="B16" s="12"/>
      <c r="C16" s="12"/>
      <c r="D16" s="12"/>
      <c r="E16" s="33">
        <f>SUM('COG-FF'!C402:I402)</f>
        <v>0</v>
      </c>
      <c r="F16" s="12"/>
      <c r="G16" s="12"/>
      <c r="H16" s="12"/>
    </row>
    <row r="17" spans="1:8" s="34" customFormat="1" x14ac:dyDescent="0.25">
      <c r="A17" s="79" t="s">
        <v>2374</v>
      </c>
      <c r="B17" s="38">
        <f t="shared" ref="B17:H17" si="0">SUM(B8:B16)</f>
        <v>42593623</v>
      </c>
      <c r="C17" s="38">
        <f t="shared" si="0"/>
        <v>59227082</v>
      </c>
      <c r="D17" s="38">
        <f t="shared" si="0"/>
        <v>84321615</v>
      </c>
      <c r="E17" s="38">
        <f t="shared" si="0"/>
        <v>66538693</v>
      </c>
      <c r="F17" s="38">
        <f t="shared" si="0"/>
        <v>89111846</v>
      </c>
      <c r="G17" s="38">
        <f t="shared" si="0"/>
        <v>0</v>
      </c>
      <c r="H17" s="38">
        <f t="shared" si="0"/>
        <v>0</v>
      </c>
    </row>
    <row r="18" spans="1:8" s="34" customFormat="1" x14ac:dyDescent="0.25">
      <c r="A18" s="29" t="s">
        <v>2375</v>
      </c>
      <c r="B18" s="30"/>
      <c r="C18" s="30"/>
      <c r="D18" s="30"/>
      <c r="E18" s="30"/>
      <c r="F18" s="30"/>
      <c r="G18" s="30"/>
      <c r="H18" s="31"/>
    </row>
    <row r="19" spans="1:8" s="34" customFormat="1" ht="30" customHeight="1" x14ac:dyDescent="0.25">
      <c r="A19" s="32" t="s">
        <v>2371</v>
      </c>
      <c r="B19" s="40">
        <v>1878072</v>
      </c>
      <c r="C19" s="40">
        <v>548856</v>
      </c>
      <c r="D19" s="40">
        <v>412961</v>
      </c>
      <c r="E19" s="33">
        <f>SUM('COG-FF'!J8:L8)</f>
        <v>52461</v>
      </c>
      <c r="F19" s="40">
        <v>0</v>
      </c>
      <c r="G19" s="40"/>
      <c r="H19" s="40"/>
    </row>
    <row r="20" spans="1:8" ht="30" customHeight="1" x14ac:dyDescent="0.25">
      <c r="A20" s="32" t="s">
        <v>2283</v>
      </c>
      <c r="B20" s="40">
        <v>85100</v>
      </c>
      <c r="C20" s="40">
        <v>786716</v>
      </c>
      <c r="D20" s="40">
        <v>969209</v>
      </c>
      <c r="E20" s="33">
        <f>SUM('COG-FF'!J45:L45)</f>
        <v>2410870</v>
      </c>
      <c r="F20" s="40">
        <v>2450145</v>
      </c>
      <c r="G20" s="40"/>
      <c r="H20" s="40"/>
    </row>
    <row r="21" spans="1:8" ht="30" customHeight="1" x14ac:dyDescent="0.25">
      <c r="A21" s="32" t="s">
        <v>2292</v>
      </c>
      <c r="B21" s="40">
        <v>87000</v>
      </c>
      <c r="C21" s="40">
        <v>743951</v>
      </c>
      <c r="D21" s="40">
        <v>915173</v>
      </c>
      <c r="E21" s="33">
        <f>SUM('COG-FF'!J110:L110)</f>
        <v>305752</v>
      </c>
      <c r="F21" s="40">
        <v>295768</v>
      </c>
      <c r="G21" s="40"/>
      <c r="H21" s="40"/>
    </row>
    <row r="22" spans="1:8" ht="30" customHeight="1" x14ac:dyDescent="0.25">
      <c r="A22" s="32" t="s">
        <v>2372</v>
      </c>
      <c r="B22" s="40"/>
      <c r="C22" s="40">
        <v>372365</v>
      </c>
      <c r="D22" s="40"/>
      <c r="E22" s="33">
        <f>SUM('COG-FF'!J195:L195)</f>
        <v>0</v>
      </c>
      <c r="F22" s="40"/>
      <c r="G22" s="40"/>
      <c r="H22" s="40"/>
    </row>
    <row r="23" spans="1:8" ht="30" customHeight="1" x14ac:dyDescent="0.25">
      <c r="A23" s="35" t="s">
        <v>2373</v>
      </c>
      <c r="B23" s="40"/>
      <c r="C23" s="40"/>
      <c r="D23" s="40"/>
      <c r="E23" s="33">
        <f>SUM('COG-FF'!J255:L255)</f>
        <v>0</v>
      </c>
      <c r="F23" s="40"/>
      <c r="G23" s="40"/>
      <c r="H23" s="40"/>
    </row>
    <row r="24" spans="1:8" ht="30" customHeight="1" x14ac:dyDescent="0.25">
      <c r="A24" s="35" t="s">
        <v>2328</v>
      </c>
      <c r="B24" s="40">
        <v>7705000</v>
      </c>
      <c r="C24" s="40">
        <v>5903217</v>
      </c>
      <c r="D24" s="40">
        <v>4663716</v>
      </c>
      <c r="E24" s="33">
        <f>SUM('COG-FF'!J314:L314)</f>
        <v>9803627</v>
      </c>
      <c r="F24" s="40">
        <v>7943539</v>
      </c>
      <c r="G24" s="40"/>
      <c r="H24" s="40"/>
    </row>
    <row r="25" spans="1:8" ht="30" customHeight="1" x14ac:dyDescent="0.25">
      <c r="A25" s="35" t="s">
        <v>2332</v>
      </c>
      <c r="B25" s="40"/>
      <c r="C25" s="40"/>
      <c r="D25" s="40"/>
      <c r="E25" s="33">
        <f>SUM('COG-FF'!J336:L336)</f>
        <v>0</v>
      </c>
      <c r="F25" s="40"/>
      <c r="G25" s="40"/>
      <c r="H25" s="40"/>
    </row>
    <row r="26" spans="1:8" ht="30" customHeight="1" x14ac:dyDescent="0.25">
      <c r="A26" s="35" t="s">
        <v>2341</v>
      </c>
      <c r="B26" s="40"/>
      <c r="C26" s="40"/>
      <c r="D26" s="40"/>
      <c r="E26" s="33">
        <f>SUM('COG-FF'!J384:L384)</f>
        <v>0</v>
      </c>
      <c r="F26" s="40"/>
      <c r="G26" s="40"/>
      <c r="H26" s="40"/>
    </row>
    <row r="27" spans="1:8" ht="30" customHeight="1" x14ac:dyDescent="0.25">
      <c r="A27" s="35" t="s">
        <v>2342</v>
      </c>
      <c r="B27" s="40"/>
      <c r="C27" s="40"/>
      <c r="D27" s="40"/>
      <c r="E27" s="33">
        <f>SUM('COG-FF'!J402:L402)</f>
        <v>0</v>
      </c>
      <c r="F27" s="40"/>
      <c r="G27" s="40"/>
      <c r="H27" s="40"/>
    </row>
    <row r="28" spans="1:8" s="34" customFormat="1" x14ac:dyDescent="0.25">
      <c r="A28" s="79" t="s">
        <v>2376</v>
      </c>
      <c r="B28" s="38">
        <f t="shared" ref="B28:H28" si="1">SUM(B19:B27)</f>
        <v>9755172</v>
      </c>
      <c r="C28" s="38">
        <f t="shared" si="1"/>
        <v>8355105</v>
      </c>
      <c r="D28" s="38">
        <f t="shared" si="1"/>
        <v>6961059</v>
      </c>
      <c r="E28" s="38">
        <f t="shared" si="1"/>
        <v>12572710</v>
      </c>
      <c r="F28" s="38">
        <f t="shared" si="1"/>
        <v>10689452</v>
      </c>
      <c r="G28" s="38">
        <f t="shared" si="1"/>
        <v>0</v>
      </c>
      <c r="H28" s="38">
        <f t="shared" si="1"/>
        <v>0</v>
      </c>
    </row>
    <row r="29" spans="1:8" s="34" customFormat="1" x14ac:dyDescent="0.25">
      <c r="A29" s="80" t="s">
        <v>2170</v>
      </c>
      <c r="B29" s="81">
        <f>B17+B28</f>
        <v>52348795</v>
      </c>
      <c r="C29" s="81">
        <f t="shared" ref="C29:H29" si="2">C17+C28</f>
        <v>67582187</v>
      </c>
      <c r="D29" s="81">
        <f t="shared" si="2"/>
        <v>91282674</v>
      </c>
      <c r="E29" s="81">
        <f t="shared" si="2"/>
        <v>79111403</v>
      </c>
      <c r="F29" s="81">
        <f t="shared" si="2"/>
        <v>99801298</v>
      </c>
      <c r="G29" s="81">
        <f t="shared" si="2"/>
        <v>0</v>
      </c>
      <c r="H29" s="81">
        <f t="shared" si="2"/>
        <v>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390126357</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topLeftCell="A55" zoomScaleNormal="100" workbookViewId="0">
      <selection activeCell="D28" sqref="D28"/>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2537</v>
      </c>
      <c r="B2" s="569"/>
      <c r="C2" s="569"/>
      <c r="D2" s="569"/>
    </row>
    <row r="3" spans="1:4" ht="49.7" customHeight="1" x14ac:dyDescent="0.25">
      <c r="A3" s="578" t="str">
        <f>Inconsistencias!$B$6&amp;IF(LOOKUP(Inconsistencias!$B$6,EF!$C$2:$C$1001,EF!$I$2:I$1001)="Dependencia",", Jalisco","")</f>
        <v>San Cristóbal de la Barranca, Jalisco</v>
      </c>
      <c r="B3" s="578"/>
      <c r="C3" s="578"/>
      <c r="D3" s="578"/>
    </row>
    <row r="4" spans="1:4" ht="18.75" x14ac:dyDescent="0.3">
      <c r="A4" s="570" t="str">
        <f>"Ejercicio Fiscal "&amp;Inconsistencias!U2</f>
        <v>Ejercicio Fiscal 2025</v>
      </c>
      <c r="B4" s="570"/>
      <c r="C4" s="570"/>
      <c r="D4" s="570"/>
    </row>
    <row r="5" spans="1:4" x14ac:dyDescent="0.25"/>
    <row r="6" spans="1:4" ht="15.75" customHeight="1" x14ac:dyDescent="0.25">
      <c r="A6" s="571" t="s">
        <v>719</v>
      </c>
      <c r="B6" s="572" t="s">
        <v>2241</v>
      </c>
      <c r="C6" s="574" t="s">
        <v>2242</v>
      </c>
      <c r="D6" s="576" t="s">
        <v>2243</v>
      </c>
    </row>
    <row r="7" spans="1:4" x14ac:dyDescent="0.25">
      <c r="A7" s="571"/>
      <c r="B7" s="573"/>
      <c r="C7" s="575"/>
      <c r="D7" s="577"/>
    </row>
    <row r="8" spans="1:4" ht="15" customHeight="1" x14ac:dyDescent="0.25">
      <c r="A8" s="95" t="s">
        <v>731</v>
      </c>
      <c r="B8" s="96"/>
      <c r="C8" s="152" t="s">
        <v>2377</v>
      </c>
      <c r="D8" s="152"/>
    </row>
    <row r="9" spans="1:4" ht="15" customHeight="1" x14ac:dyDescent="0.25">
      <c r="A9" s="95" t="s">
        <v>720</v>
      </c>
      <c r="B9" s="96"/>
      <c r="C9" s="152" t="s">
        <v>2378</v>
      </c>
      <c r="D9" s="152"/>
    </row>
    <row r="10" spans="1:4" ht="15" customHeight="1" x14ac:dyDescent="0.25">
      <c r="A10" s="95" t="s">
        <v>721</v>
      </c>
      <c r="B10" s="96"/>
      <c r="C10" s="152" t="s">
        <v>2379</v>
      </c>
      <c r="D10" s="152"/>
    </row>
    <row r="11" spans="1:4" ht="15" customHeight="1" x14ac:dyDescent="0.25">
      <c r="A11" s="97" t="s">
        <v>2655</v>
      </c>
      <c r="B11" s="100">
        <v>1</v>
      </c>
      <c r="C11" s="98" t="s">
        <v>730</v>
      </c>
      <c r="D11" s="99">
        <v>7512256</v>
      </c>
    </row>
    <row r="12" spans="1:4" ht="15" customHeight="1" x14ac:dyDescent="0.25">
      <c r="A12" s="97" t="s">
        <v>2655</v>
      </c>
      <c r="B12" s="100">
        <v>2</v>
      </c>
      <c r="C12" s="98" t="s">
        <v>726</v>
      </c>
      <c r="D12" s="99">
        <v>1908089</v>
      </c>
    </row>
    <row r="13" spans="1:4" x14ac:dyDescent="0.25">
      <c r="A13" s="97" t="s">
        <v>2655</v>
      </c>
      <c r="B13" s="100">
        <v>3</v>
      </c>
      <c r="C13" s="101" t="s">
        <v>2656</v>
      </c>
      <c r="D13" s="99">
        <v>532192</v>
      </c>
    </row>
    <row r="14" spans="1:4" x14ac:dyDescent="0.25">
      <c r="A14" s="97" t="s">
        <v>2655</v>
      </c>
      <c r="B14" s="100">
        <v>4</v>
      </c>
      <c r="C14" s="101" t="s">
        <v>2554</v>
      </c>
      <c r="D14" s="102">
        <v>629430</v>
      </c>
    </row>
    <row r="15" spans="1:4" x14ac:dyDescent="0.25">
      <c r="A15" s="97" t="s">
        <v>2655</v>
      </c>
      <c r="B15" s="100">
        <v>5</v>
      </c>
      <c r="C15" s="101" t="s">
        <v>2561</v>
      </c>
      <c r="D15" s="99">
        <v>23364703</v>
      </c>
    </row>
    <row r="16" spans="1:4" x14ac:dyDescent="0.25">
      <c r="A16" s="97" t="s">
        <v>2655</v>
      </c>
      <c r="B16" s="100">
        <v>6</v>
      </c>
      <c r="C16" s="101" t="s">
        <v>2568</v>
      </c>
      <c r="D16" s="99">
        <v>19307867</v>
      </c>
    </row>
    <row r="17" spans="1:4" x14ac:dyDescent="0.25">
      <c r="A17" s="97" t="s">
        <v>2655</v>
      </c>
      <c r="B17" s="100">
        <v>7</v>
      </c>
      <c r="C17" s="101" t="s">
        <v>2603</v>
      </c>
      <c r="D17" s="99">
        <v>9647681</v>
      </c>
    </row>
    <row r="18" spans="1:4" x14ac:dyDescent="0.25">
      <c r="A18" s="97" t="s">
        <v>2655</v>
      </c>
      <c r="B18" s="100">
        <v>8</v>
      </c>
      <c r="C18" s="101" t="s">
        <v>2598</v>
      </c>
      <c r="D18" s="99">
        <v>3874875</v>
      </c>
    </row>
    <row r="19" spans="1:4" x14ac:dyDescent="0.25">
      <c r="A19" s="97" t="s">
        <v>2655</v>
      </c>
      <c r="B19" s="100">
        <v>9</v>
      </c>
      <c r="C19" s="101" t="s">
        <v>2657</v>
      </c>
      <c r="D19" s="102">
        <v>532192</v>
      </c>
    </row>
    <row r="20" spans="1:4" x14ac:dyDescent="0.25">
      <c r="A20" s="97" t="s">
        <v>2655</v>
      </c>
      <c r="B20" s="100">
        <v>10</v>
      </c>
      <c r="C20" s="101" t="s">
        <v>2658</v>
      </c>
      <c r="D20" s="99">
        <v>708216</v>
      </c>
    </row>
    <row r="21" spans="1:4" x14ac:dyDescent="0.25">
      <c r="A21" s="97" t="s">
        <v>2655</v>
      </c>
      <c r="B21" s="100">
        <v>11</v>
      </c>
      <c r="C21" s="101" t="s">
        <v>2549</v>
      </c>
      <c r="D21" s="99">
        <v>245623</v>
      </c>
    </row>
    <row r="22" spans="1:4" x14ac:dyDescent="0.25">
      <c r="A22" s="97" t="s">
        <v>2655</v>
      </c>
      <c r="B22" s="100">
        <v>12</v>
      </c>
      <c r="C22" s="101" t="s">
        <v>2672</v>
      </c>
      <c r="D22" s="99">
        <v>329605</v>
      </c>
    </row>
    <row r="23" spans="1:4" x14ac:dyDescent="0.25">
      <c r="A23" s="97" t="s">
        <v>2655</v>
      </c>
      <c r="B23" s="100">
        <v>13</v>
      </c>
      <c r="C23" s="101" t="s">
        <v>2659</v>
      </c>
      <c r="D23" s="99">
        <v>1656694</v>
      </c>
    </row>
    <row r="24" spans="1:4" x14ac:dyDescent="0.25">
      <c r="A24" s="97" t="s">
        <v>2655</v>
      </c>
      <c r="B24" s="100">
        <v>14</v>
      </c>
      <c r="C24" s="101" t="s">
        <v>2660</v>
      </c>
      <c r="D24" s="99">
        <v>285173</v>
      </c>
    </row>
    <row r="25" spans="1:4" x14ac:dyDescent="0.25">
      <c r="A25" s="97" t="s">
        <v>2655</v>
      </c>
      <c r="B25" s="100">
        <v>15</v>
      </c>
      <c r="C25" s="101" t="s">
        <v>2661</v>
      </c>
      <c r="D25" s="99">
        <v>3312394</v>
      </c>
    </row>
    <row r="26" spans="1:4" x14ac:dyDescent="0.25">
      <c r="A26" s="97" t="s">
        <v>2655</v>
      </c>
      <c r="B26" s="100">
        <v>16</v>
      </c>
      <c r="C26" s="101" t="s">
        <v>2662</v>
      </c>
      <c r="D26" s="99">
        <v>688782</v>
      </c>
    </row>
    <row r="27" spans="1:4" x14ac:dyDescent="0.25">
      <c r="A27" s="97" t="s">
        <v>2655</v>
      </c>
      <c r="B27" s="100">
        <v>17</v>
      </c>
      <c r="C27" s="101" t="s">
        <v>2663</v>
      </c>
      <c r="D27" s="99">
        <v>787224</v>
      </c>
    </row>
    <row r="28" spans="1:4" x14ac:dyDescent="0.25">
      <c r="A28" s="97" t="s">
        <v>2655</v>
      </c>
      <c r="B28" s="100">
        <v>18</v>
      </c>
      <c r="C28" s="101" t="s">
        <v>2664</v>
      </c>
      <c r="D28" s="102">
        <v>2456890</v>
      </c>
    </row>
    <row r="29" spans="1:4" x14ac:dyDescent="0.25">
      <c r="A29" s="97" t="s">
        <v>2655</v>
      </c>
      <c r="B29" s="100">
        <v>19</v>
      </c>
      <c r="C29" s="101" t="s">
        <v>2665</v>
      </c>
      <c r="D29" s="99">
        <v>713789</v>
      </c>
    </row>
    <row r="30" spans="1:4" x14ac:dyDescent="0.25">
      <c r="A30" s="97" t="s">
        <v>2655</v>
      </c>
      <c r="B30" s="100">
        <v>20</v>
      </c>
      <c r="C30" s="101" t="s">
        <v>2673</v>
      </c>
      <c r="D30" s="99">
        <v>308864</v>
      </c>
    </row>
    <row r="31" spans="1:4" x14ac:dyDescent="0.25">
      <c r="A31" s="97" t="s">
        <v>2655</v>
      </c>
      <c r="B31" s="100">
        <v>21</v>
      </c>
      <c r="C31" s="101" t="s">
        <v>2666</v>
      </c>
      <c r="D31" s="99">
        <v>308864</v>
      </c>
    </row>
    <row r="32" spans="1:4" x14ac:dyDescent="0.25">
      <c r="A32" s="97" t="s">
        <v>2655</v>
      </c>
      <c r="B32" s="100">
        <v>22</v>
      </c>
      <c r="C32" s="101" t="s">
        <v>2667</v>
      </c>
      <c r="D32" s="99"/>
    </row>
    <row r="33" spans="1:4" x14ac:dyDescent="0.25">
      <c r="A33" s="97"/>
      <c r="B33" s="100"/>
      <c r="C33" s="101"/>
      <c r="D33" s="102"/>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2171</v>
      </c>
      <c r="D81" s="104">
        <f>SUM(D11:D80)</f>
        <v>79111403</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4"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44" activePane="bottomLeft" state="frozen"/>
      <selection activeCell="H14" sqref="B14:AM16"/>
      <selection pane="bottomLeft" activeCell="F54" sqref="F54"/>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2538</v>
      </c>
      <c r="B2" s="569"/>
      <c r="C2" s="569"/>
      <c r="D2" s="569"/>
      <c r="E2" s="569"/>
      <c r="F2" s="569"/>
    </row>
    <row r="3" spans="1:6" ht="54" customHeight="1" x14ac:dyDescent="0.25">
      <c r="A3" s="578" t="str">
        <f>Inconsistencias!$B$6&amp;IF(LOOKUP(Inconsistencias!$B$6,EF!$C$2:$C$1001,EF!$I$2:I$1001)="Dependencia",", Jalisco","")</f>
        <v>San Cristóbal de la Barranca,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45" x14ac:dyDescent="0.25">
      <c r="A6" s="256" t="s">
        <v>2167</v>
      </c>
      <c r="B6" s="254" t="s">
        <v>601</v>
      </c>
      <c r="C6" s="254" t="s">
        <v>496</v>
      </c>
      <c r="D6" s="254" t="s">
        <v>2244</v>
      </c>
      <c r="E6" s="254" t="s">
        <v>2245</v>
      </c>
      <c r="F6" s="255" t="s">
        <v>2246</v>
      </c>
    </row>
    <row r="7" spans="1:6" s="34" customFormat="1" ht="30" customHeight="1" x14ac:dyDescent="0.25">
      <c r="A7" s="130" t="s">
        <v>2380</v>
      </c>
      <c r="B7" s="131"/>
      <c r="C7" s="131"/>
      <c r="D7" s="131"/>
      <c r="E7" s="131"/>
      <c r="F7" s="131"/>
    </row>
    <row r="8" spans="1:6" s="34" customFormat="1" ht="30" customHeight="1" x14ac:dyDescent="0.25">
      <c r="A8" s="35" t="s">
        <v>2381</v>
      </c>
      <c r="B8" s="98">
        <v>0</v>
      </c>
      <c r="C8" s="98">
        <v>0</v>
      </c>
      <c r="D8" s="98">
        <v>0</v>
      </c>
      <c r="E8" s="98">
        <v>0</v>
      </c>
      <c r="F8" s="98">
        <v>0</v>
      </c>
    </row>
    <row r="9" spans="1:6" s="34" customFormat="1" ht="30" customHeight="1" x14ac:dyDescent="0.25">
      <c r="A9" s="35" t="s">
        <v>2382</v>
      </c>
      <c r="B9" s="98">
        <v>0</v>
      </c>
      <c r="C9" s="98">
        <v>0</v>
      </c>
      <c r="D9" s="98">
        <v>0</v>
      </c>
      <c r="E9" s="98">
        <v>0</v>
      </c>
      <c r="F9" s="98">
        <v>0</v>
      </c>
    </row>
    <row r="10" spans="1:6" s="34" customFormat="1" ht="30" customHeight="1" x14ac:dyDescent="0.25">
      <c r="A10" s="132" t="s">
        <v>2383</v>
      </c>
      <c r="B10" s="133"/>
      <c r="C10" s="133"/>
      <c r="D10" s="133"/>
      <c r="E10" s="133"/>
      <c r="F10" s="133"/>
    </row>
    <row r="11" spans="1:6" s="34" customFormat="1" ht="30" customHeight="1" x14ac:dyDescent="0.25">
      <c r="A11" s="35" t="s">
        <v>2384</v>
      </c>
      <c r="B11" s="98">
        <v>0</v>
      </c>
      <c r="C11" s="98">
        <v>0</v>
      </c>
      <c r="D11" s="98">
        <v>0</v>
      </c>
      <c r="E11" s="98">
        <v>0</v>
      </c>
      <c r="F11" s="98">
        <v>0</v>
      </c>
    </row>
    <row r="12" spans="1:6" s="34" customFormat="1" ht="30" customHeight="1" x14ac:dyDescent="0.25">
      <c r="A12" s="35" t="s">
        <v>2385</v>
      </c>
      <c r="B12" s="98">
        <v>0</v>
      </c>
      <c r="C12" s="98">
        <v>0</v>
      </c>
      <c r="D12" s="98">
        <v>0</v>
      </c>
      <c r="E12" s="98">
        <v>0</v>
      </c>
      <c r="F12" s="98">
        <v>0</v>
      </c>
    </row>
    <row r="13" spans="1:6" s="34" customFormat="1" ht="30" customHeight="1" x14ac:dyDescent="0.25">
      <c r="A13" s="35" t="s">
        <v>2386</v>
      </c>
      <c r="B13" s="98">
        <v>0</v>
      </c>
      <c r="C13" s="98">
        <v>0</v>
      </c>
      <c r="D13" s="98">
        <v>0</v>
      </c>
      <c r="E13" s="98">
        <v>0</v>
      </c>
      <c r="F13" s="98">
        <v>0</v>
      </c>
    </row>
    <row r="14" spans="1:6" s="34" customFormat="1" ht="30" customHeight="1" x14ac:dyDescent="0.25">
      <c r="A14" s="35" t="s">
        <v>2387</v>
      </c>
      <c r="B14" s="98">
        <v>0</v>
      </c>
      <c r="C14" s="98">
        <v>0</v>
      </c>
      <c r="D14" s="98">
        <v>0</v>
      </c>
      <c r="E14" s="98">
        <v>0</v>
      </c>
      <c r="F14" s="98">
        <v>0</v>
      </c>
    </row>
    <row r="15" spans="1:6" s="34" customFormat="1" ht="30" customHeight="1" x14ac:dyDescent="0.25">
      <c r="A15" s="35" t="s">
        <v>2388</v>
      </c>
      <c r="B15" s="98">
        <v>0</v>
      </c>
      <c r="C15" s="98">
        <v>0</v>
      </c>
      <c r="D15" s="98">
        <v>0</v>
      </c>
      <c r="E15" s="98">
        <v>0</v>
      </c>
      <c r="F15" s="98">
        <v>0</v>
      </c>
    </row>
    <row r="16" spans="1:6" s="34" customFormat="1" ht="30" customHeight="1" x14ac:dyDescent="0.25">
      <c r="A16" s="35" t="s">
        <v>2385</v>
      </c>
      <c r="B16" s="98">
        <v>0</v>
      </c>
      <c r="C16" s="98">
        <v>0</v>
      </c>
      <c r="D16" s="98">
        <v>0</v>
      </c>
      <c r="E16" s="98">
        <v>0</v>
      </c>
      <c r="F16" s="98">
        <v>0</v>
      </c>
    </row>
    <row r="17" spans="1:6" s="34" customFormat="1" ht="30" customHeight="1" x14ac:dyDescent="0.25">
      <c r="A17" s="35" t="s">
        <v>2386</v>
      </c>
      <c r="B17" s="98">
        <v>0</v>
      </c>
      <c r="C17" s="98">
        <v>0</v>
      </c>
      <c r="D17" s="98">
        <v>0</v>
      </c>
      <c r="E17" s="98">
        <v>0</v>
      </c>
      <c r="F17" s="98">
        <v>0</v>
      </c>
    </row>
    <row r="18" spans="1:6" s="34" customFormat="1" ht="30" customHeight="1" x14ac:dyDescent="0.25">
      <c r="A18" s="35" t="s">
        <v>2387</v>
      </c>
      <c r="B18" s="98">
        <v>0</v>
      </c>
      <c r="C18" s="98">
        <v>0</v>
      </c>
      <c r="D18" s="98">
        <v>0</v>
      </c>
      <c r="E18" s="98">
        <v>0</v>
      </c>
      <c r="F18" s="98">
        <v>0</v>
      </c>
    </row>
    <row r="19" spans="1:6" s="34" customFormat="1" ht="30" customHeight="1" x14ac:dyDescent="0.25">
      <c r="A19" s="35" t="s">
        <v>2389</v>
      </c>
      <c r="B19" s="98">
        <v>0</v>
      </c>
      <c r="C19" s="98">
        <v>0</v>
      </c>
      <c r="D19" s="98">
        <v>0</v>
      </c>
      <c r="E19" s="98">
        <v>0</v>
      </c>
      <c r="F19" s="98">
        <v>0</v>
      </c>
    </row>
    <row r="20" spans="1:6" s="34" customFormat="1" ht="30" customHeight="1" x14ac:dyDescent="0.25">
      <c r="A20" s="35" t="s">
        <v>2390</v>
      </c>
      <c r="B20" s="98">
        <v>0</v>
      </c>
      <c r="C20" s="98">
        <v>0</v>
      </c>
      <c r="D20" s="98">
        <v>0</v>
      </c>
      <c r="E20" s="98">
        <v>0</v>
      </c>
      <c r="F20" s="98">
        <v>0</v>
      </c>
    </row>
    <row r="21" spans="1:6" s="34" customFormat="1" ht="30" customHeight="1" x14ac:dyDescent="0.25">
      <c r="A21" s="35" t="s">
        <v>2391</v>
      </c>
      <c r="B21" s="98">
        <v>0</v>
      </c>
      <c r="C21" s="98">
        <v>0</v>
      </c>
      <c r="D21" s="98">
        <v>0</v>
      </c>
      <c r="E21" s="98">
        <v>0</v>
      </c>
      <c r="F21" s="98">
        <v>0</v>
      </c>
    </row>
    <row r="22" spans="1:6" s="34" customFormat="1" ht="30" customHeight="1" x14ac:dyDescent="0.25">
      <c r="A22" s="35" t="s">
        <v>2392</v>
      </c>
      <c r="B22" s="98">
        <v>0</v>
      </c>
      <c r="C22" s="98">
        <v>0</v>
      </c>
      <c r="D22" s="98">
        <v>0</v>
      </c>
      <c r="E22" s="98">
        <v>0</v>
      </c>
      <c r="F22" s="98">
        <v>0</v>
      </c>
    </row>
    <row r="23" spans="1:6" s="34" customFormat="1" ht="30" customHeight="1" x14ac:dyDescent="0.25">
      <c r="A23" s="35" t="s">
        <v>2393</v>
      </c>
      <c r="B23" s="98">
        <v>0</v>
      </c>
      <c r="C23" s="98">
        <v>0</v>
      </c>
      <c r="D23" s="98">
        <v>0</v>
      </c>
      <c r="E23" s="98">
        <v>0</v>
      </c>
      <c r="F23" s="98">
        <v>0</v>
      </c>
    </row>
    <row r="24" spans="1:6" s="34" customFormat="1" ht="30" customHeight="1" x14ac:dyDescent="0.25">
      <c r="A24" s="35" t="s">
        <v>2394</v>
      </c>
      <c r="B24" s="98">
        <v>0</v>
      </c>
      <c r="C24" s="98">
        <v>0</v>
      </c>
      <c r="D24" s="98">
        <v>0</v>
      </c>
      <c r="E24" s="98">
        <v>0</v>
      </c>
      <c r="F24" s="98">
        <v>0</v>
      </c>
    </row>
    <row r="25" spans="1:6" s="34" customFormat="1" ht="30" customHeight="1" x14ac:dyDescent="0.25">
      <c r="A25" s="35" t="s">
        <v>2395</v>
      </c>
      <c r="B25" s="98">
        <v>0</v>
      </c>
      <c r="C25" s="98">
        <v>0</v>
      </c>
      <c r="D25" s="98">
        <v>0</v>
      </c>
      <c r="E25" s="98">
        <v>0</v>
      </c>
      <c r="F25" s="98">
        <v>0</v>
      </c>
    </row>
    <row r="26" spans="1:6" s="34" customFormat="1" ht="30" customHeight="1" x14ac:dyDescent="0.25">
      <c r="A26" s="35" t="s">
        <v>2396</v>
      </c>
      <c r="B26" s="98">
        <v>0</v>
      </c>
      <c r="C26" s="98">
        <v>0</v>
      </c>
      <c r="D26" s="98">
        <v>0</v>
      </c>
      <c r="E26" s="98">
        <v>0</v>
      </c>
      <c r="F26" s="98">
        <v>0</v>
      </c>
    </row>
    <row r="27" spans="1:6" s="34" customFormat="1" ht="30" customHeight="1" x14ac:dyDescent="0.25">
      <c r="A27" s="130" t="s">
        <v>2397</v>
      </c>
      <c r="B27" s="134"/>
      <c r="C27" s="134"/>
      <c r="D27" s="134"/>
      <c r="E27" s="134"/>
      <c r="F27" s="134"/>
    </row>
    <row r="28" spans="1:6" s="34" customFormat="1" ht="30" customHeight="1" x14ac:dyDescent="0.25">
      <c r="A28" s="35" t="s">
        <v>2398</v>
      </c>
      <c r="B28" s="98">
        <v>0</v>
      </c>
      <c r="C28" s="98">
        <v>0</v>
      </c>
      <c r="D28" s="98">
        <v>0</v>
      </c>
      <c r="E28" s="98">
        <v>0</v>
      </c>
      <c r="F28" s="98">
        <v>0</v>
      </c>
    </row>
    <row r="29" spans="1:6" s="34" customFormat="1" ht="30" customHeight="1" x14ac:dyDescent="0.25">
      <c r="A29" s="132" t="s">
        <v>2399</v>
      </c>
      <c r="B29" s="134"/>
      <c r="C29" s="134"/>
      <c r="D29" s="134"/>
      <c r="E29" s="134"/>
      <c r="F29" s="134"/>
    </row>
    <row r="30" spans="1:6" s="34" customFormat="1" ht="30" customHeight="1" x14ac:dyDescent="0.25">
      <c r="A30" s="35" t="s">
        <v>2384</v>
      </c>
      <c r="B30" s="98">
        <v>0</v>
      </c>
      <c r="C30" s="98">
        <v>0</v>
      </c>
      <c r="D30" s="98">
        <v>0</v>
      </c>
      <c r="E30" s="98">
        <v>0</v>
      </c>
      <c r="F30" s="98">
        <v>0</v>
      </c>
    </row>
    <row r="31" spans="1:6" s="34" customFormat="1" ht="30" customHeight="1" x14ac:dyDescent="0.25">
      <c r="A31" s="35" t="s">
        <v>2400</v>
      </c>
      <c r="B31" s="98">
        <v>0</v>
      </c>
      <c r="C31" s="98">
        <v>0</v>
      </c>
      <c r="D31" s="98">
        <v>0</v>
      </c>
      <c r="E31" s="98">
        <v>0</v>
      </c>
      <c r="F31" s="98">
        <v>0</v>
      </c>
    </row>
    <row r="32" spans="1:6" s="34" customFormat="1" ht="30" customHeight="1" x14ac:dyDescent="0.25">
      <c r="A32" s="35" t="s">
        <v>2401</v>
      </c>
      <c r="B32" s="98">
        <v>0</v>
      </c>
      <c r="C32" s="98">
        <v>0</v>
      </c>
      <c r="D32" s="98">
        <v>0</v>
      </c>
      <c r="E32" s="98">
        <v>0</v>
      </c>
      <c r="F32" s="98">
        <v>0</v>
      </c>
    </row>
    <row r="33" spans="1:6" s="34" customFormat="1" ht="30" customHeight="1" x14ac:dyDescent="0.25">
      <c r="A33" s="130" t="s">
        <v>2402</v>
      </c>
      <c r="B33" s="134"/>
      <c r="C33" s="134"/>
      <c r="D33" s="134"/>
      <c r="E33" s="134"/>
      <c r="F33" s="134"/>
    </row>
    <row r="34" spans="1:6" s="34" customFormat="1" ht="30" customHeight="1" x14ac:dyDescent="0.25">
      <c r="A34" s="35" t="s">
        <v>2403</v>
      </c>
      <c r="B34" s="98">
        <v>0</v>
      </c>
      <c r="C34" s="98">
        <v>0</v>
      </c>
      <c r="D34" s="98">
        <v>0</v>
      </c>
      <c r="E34" s="98">
        <v>0</v>
      </c>
      <c r="F34" s="98">
        <v>0</v>
      </c>
    </row>
    <row r="35" spans="1:6" s="34" customFormat="1" ht="30" customHeight="1" x14ac:dyDescent="0.25">
      <c r="A35" s="35" t="s">
        <v>2404</v>
      </c>
      <c r="B35" s="98">
        <v>0</v>
      </c>
      <c r="C35" s="98">
        <v>0</v>
      </c>
      <c r="D35" s="98">
        <v>0</v>
      </c>
      <c r="E35" s="98">
        <v>0</v>
      </c>
      <c r="F35" s="98">
        <v>0</v>
      </c>
    </row>
    <row r="36" spans="1:6" s="34" customFormat="1" ht="30" customHeight="1" x14ac:dyDescent="0.25">
      <c r="A36" s="35" t="s">
        <v>497</v>
      </c>
      <c r="B36" s="98">
        <v>0</v>
      </c>
      <c r="C36" s="98">
        <v>0</v>
      </c>
      <c r="D36" s="98">
        <v>0</v>
      </c>
      <c r="E36" s="98">
        <v>0</v>
      </c>
      <c r="F36" s="98">
        <v>0</v>
      </c>
    </row>
    <row r="37" spans="1:6" s="34" customFormat="1" ht="30" customHeight="1" x14ac:dyDescent="0.25">
      <c r="A37" s="130" t="s">
        <v>2405</v>
      </c>
      <c r="B37" s="98">
        <v>0</v>
      </c>
      <c r="C37" s="98">
        <v>0</v>
      </c>
      <c r="D37" s="98">
        <v>0</v>
      </c>
      <c r="E37" s="98">
        <v>0</v>
      </c>
      <c r="F37" s="98">
        <v>0</v>
      </c>
    </row>
    <row r="38" spans="1:6" s="34" customFormat="1" ht="30" customHeight="1" x14ac:dyDescent="0.25">
      <c r="A38" s="132" t="s">
        <v>2406</v>
      </c>
      <c r="B38" s="134"/>
      <c r="C38" s="134"/>
      <c r="D38" s="134"/>
      <c r="E38" s="134"/>
      <c r="F38" s="134"/>
    </row>
    <row r="39" spans="1:6" s="34" customFormat="1" ht="30" customHeight="1" x14ac:dyDescent="0.25">
      <c r="A39" s="35" t="s">
        <v>2407</v>
      </c>
      <c r="B39" s="98">
        <v>0</v>
      </c>
      <c r="C39" s="98">
        <v>0</v>
      </c>
      <c r="D39" s="98">
        <v>0</v>
      </c>
      <c r="E39" s="98">
        <v>0</v>
      </c>
      <c r="F39" s="98">
        <v>0</v>
      </c>
    </row>
    <row r="40" spans="1:6" s="34" customFormat="1" ht="30" customHeight="1" x14ac:dyDescent="0.25">
      <c r="A40" s="35" t="s">
        <v>498</v>
      </c>
      <c r="B40" s="98">
        <v>0</v>
      </c>
      <c r="C40" s="98">
        <v>0</v>
      </c>
      <c r="D40" s="98">
        <v>0</v>
      </c>
      <c r="E40" s="98">
        <v>0</v>
      </c>
      <c r="F40" s="98">
        <v>0</v>
      </c>
    </row>
    <row r="41" spans="1:6" s="34" customFormat="1" ht="30" customHeight="1" x14ac:dyDescent="0.25">
      <c r="A41" s="35" t="s">
        <v>2408</v>
      </c>
      <c r="B41" s="98">
        <v>0</v>
      </c>
      <c r="C41" s="98">
        <v>0</v>
      </c>
      <c r="D41" s="98">
        <v>0</v>
      </c>
      <c r="E41" s="98">
        <v>0</v>
      </c>
      <c r="F41" s="98">
        <v>0</v>
      </c>
    </row>
    <row r="42" spans="1:6" s="34" customFormat="1" ht="30" customHeight="1" x14ac:dyDescent="0.25">
      <c r="A42" s="130" t="s">
        <v>2409</v>
      </c>
      <c r="B42" s="134"/>
      <c r="C42" s="134"/>
      <c r="D42" s="134"/>
      <c r="E42" s="134"/>
      <c r="F42" s="134"/>
    </row>
    <row r="43" spans="1:6" s="34" customFormat="1" ht="30" customHeight="1" x14ac:dyDescent="0.25">
      <c r="A43" s="35" t="s">
        <v>498</v>
      </c>
      <c r="B43" s="98">
        <v>0</v>
      </c>
      <c r="C43" s="98">
        <v>0</v>
      </c>
      <c r="D43" s="98">
        <v>0</v>
      </c>
      <c r="E43" s="98">
        <v>0</v>
      </c>
      <c r="F43" s="98">
        <v>0</v>
      </c>
    </row>
    <row r="44" spans="1:6" s="34" customFormat="1" ht="30" customHeight="1" x14ac:dyDescent="0.25">
      <c r="A44" s="35" t="s">
        <v>2408</v>
      </c>
      <c r="B44" s="98">
        <v>0</v>
      </c>
      <c r="C44" s="98">
        <v>0</v>
      </c>
      <c r="D44" s="98">
        <v>0</v>
      </c>
      <c r="E44" s="98">
        <v>0</v>
      </c>
      <c r="F44" s="98">
        <v>0</v>
      </c>
    </row>
    <row r="45" spans="1:6" s="34" customFormat="1" ht="30" customHeight="1" x14ac:dyDescent="0.25">
      <c r="A45" s="35" t="s">
        <v>566</v>
      </c>
      <c r="B45" s="98">
        <v>0</v>
      </c>
      <c r="C45" s="98">
        <v>0</v>
      </c>
      <c r="D45" s="98">
        <v>0</v>
      </c>
      <c r="E45" s="98">
        <v>0</v>
      </c>
      <c r="F45" s="98">
        <v>0</v>
      </c>
    </row>
    <row r="46" spans="1:6" s="34" customFormat="1" ht="30" customHeight="1" x14ac:dyDescent="0.25">
      <c r="A46" s="130" t="s">
        <v>2410</v>
      </c>
      <c r="B46" s="134"/>
      <c r="C46" s="134"/>
      <c r="D46" s="134"/>
      <c r="E46" s="134"/>
      <c r="F46" s="134"/>
    </row>
    <row r="47" spans="1:6" s="34" customFormat="1" ht="30" customHeight="1" x14ac:dyDescent="0.25">
      <c r="A47" s="35" t="s">
        <v>498</v>
      </c>
      <c r="B47" s="98">
        <v>0</v>
      </c>
      <c r="C47" s="98">
        <v>0</v>
      </c>
      <c r="D47" s="98">
        <v>0</v>
      </c>
      <c r="E47" s="98">
        <v>0</v>
      </c>
      <c r="F47" s="98">
        <v>0</v>
      </c>
    </row>
    <row r="48" spans="1:6" s="34" customFormat="1" ht="30" customHeight="1" x14ac:dyDescent="0.25">
      <c r="A48" s="35" t="s">
        <v>2408</v>
      </c>
      <c r="B48" s="98">
        <v>0</v>
      </c>
      <c r="C48" s="98">
        <v>0</v>
      </c>
      <c r="D48" s="98">
        <v>0</v>
      </c>
      <c r="E48" s="98">
        <v>0</v>
      </c>
      <c r="F48" s="98">
        <v>0</v>
      </c>
    </row>
    <row r="49" spans="1:6" s="34" customFormat="1" ht="30" customHeight="1" x14ac:dyDescent="0.25">
      <c r="A49" s="132" t="s">
        <v>2411</v>
      </c>
      <c r="B49" s="134"/>
      <c r="C49" s="134"/>
      <c r="D49" s="134"/>
      <c r="E49" s="134"/>
      <c r="F49" s="134"/>
    </row>
    <row r="50" spans="1:6" s="34" customFormat="1" ht="30" customHeight="1" x14ac:dyDescent="0.25">
      <c r="A50" s="35" t="s">
        <v>2412</v>
      </c>
      <c r="B50" s="98">
        <v>0</v>
      </c>
      <c r="C50" s="98">
        <v>0</v>
      </c>
      <c r="D50" s="98">
        <v>0</v>
      </c>
      <c r="E50" s="98">
        <v>0</v>
      </c>
      <c r="F50" s="98">
        <v>0</v>
      </c>
    </row>
    <row r="51" spans="1:6" s="34" customFormat="1" ht="30" customHeight="1" x14ac:dyDescent="0.25">
      <c r="A51" s="35" t="s">
        <v>2413</v>
      </c>
      <c r="B51" s="98">
        <v>0</v>
      </c>
      <c r="C51" s="98">
        <v>0</v>
      </c>
      <c r="D51" s="98">
        <v>0</v>
      </c>
      <c r="E51" s="98">
        <v>0</v>
      </c>
      <c r="F51" s="98">
        <v>0</v>
      </c>
    </row>
    <row r="52" spans="1:6" s="34" customFormat="1" ht="30" customHeight="1" x14ac:dyDescent="0.25">
      <c r="A52" s="132" t="s">
        <v>2414</v>
      </c>
      <c r="B52" s="134"/>
      <c r="C52" s="134"/>
      <c r="D52" s="134"/>
      <c r="E52" s="134"/>
      <c r="F52" s="134"/>
    </row>
    <row r="53" spans="1:6" s="34" customFormat="1" ht="30" customHeight="1" x14ac:dyDescent="0.25">
      <c r="A53" s="35" t="s">
        <v>2415</v>
      </c>
      <c r="B53" s="98">
        <v>2024</v>
      </c>
      <c r="C53" s="98">
        <v>2024</v>
      </c>
      <c r="D53" s="98">
        <v>2024</v>
      </c>
      <c r="E53" s="98">
        <v>2024</v>
      </c>
      <c r="F53" s="98">
        <v>2024</v>
      </c>
    </row>
    <row r="54" spans="1:6" s="34" customFormat="1" ht="30" customHeight="1" x14ac:dyDescent="0.25">
      <c r="A54" s="35" t="s">
        <v>2416</v>
      </c>
      <c r="B54" s="98" t="s">
        <v>2668</v>
      </c>
      <c r="C54" s="98" t="s">
        <v>2669</v>
      </c>
      <c r="D54" s="98" t="s">
        <v>2670</v>
      </c>
      <c r="E54" s="98" t="s">
        <v>2671</v>
      </c>
      <c r="F54" s="98">
        <v>2024</v>
      </c>
    </row>
    <row r="55" spans="1:6" x14ac:dyDescent="0.25"/>
    <row r="58" spans="1:6" hidden="1" x14ac:dyDescent="0.25">
      <c r="B58">
        <f>COUNTA(B11:F26,B8:F9,B28:F28,B30:F32,B34:F37,B39:F41,B43:F45,B47:F48,B50:F51,B53:F54)</f>
        <v>190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4"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 activePane="bottomLeft" state="frozen"/>
      <selection activeCell="H14" sqref="B14:AM16"/>
      <selection pane="bottomLeft" activeCell="A7" sqref="A7"/>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79" t="s">
        <v>2540</v>
      </c>
      <c r="B2" s="579"/>
      <c r="C2" s="579"/>
      <c r="D2" s="579"/>
      <c r="E2" s="579"/>
      <c r="F2" s="579"/>
    </row>
    <row r="3" spans="1:6" ht="43.35" customHeight="1" x14ac:dyDescent="0.25">
      <c r="A3" s="578" t="str">
        <f>Inconsistencias!$B$6&amp;IF(LOOKUP(Inconsistencias!$B$6,EF!$C$2:$C$1001,EF!$I$2:I$1001)="Dependencia",", Jalisco","")</f>
        <v>San Cristóbal de la Barranca, Jalisco</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30" x14ac:dyDescent="0.25">
      <c r="A6" s="257" t="s">
        <v>508</v>
      </c>
      <c r="B6" s="585" t="s">
        <v>2167</v>
      </c>
      <c r="C6" s="585"/>
      <c r="D6" s="254" t="s">
        <v>1752</v>
      </c>
      <c r="E6" s="254" t="s">
        <v>2255</v>
      </c>
      <c r="F6" s="258" t="s">
        <v>2168</v>
      </c>
    </row>
    <row r="7" spans="1:6" x14ac:dyDescent="0.25">
      <c r="A7" s="51">
        <v>1000</v>
      </c>
      <c r="B7" s="586" t="s">
        <v>500</v>
      </c>
      <c r="C7" s="587"/>
      <c r="D7" s="52">
        <f>D8+D10+D14+D15+D16+D17+D18+D24</f>
        <v>2123964</v>
      </c>
      <c r="E7" s="52">
        <f>E8+E10+E14+E15+E16+E17+E18+E24</f>
        <v>0</v>
      </c>
      <c r="F7" s="52">
        <f>D7+E7</f>
        <v>2123964</v>
      </c>
    </row>
    <row r="8" spans="1:6" x14ac:dyDescent="0.25">
      <c r="A8" s="53">
        <v>1100</v>
      </c>
      <c r="B8" s="588" t="s">
        <v>509</v>
      </c>
      <c r="C8" s="589"/>
      <c r="D8" s="38">
        <f>SUM(D9)</f>
        <v>4000</v>
      </c>
      <c r="E8" s="38">
        <f>SUM(E9)</f>
        <v>0</v>
      </c>
      <c r="F8" s="38">
        <f t="shared" ref="F8:F79" si="0">D8+E8</f>
        <v>4000</v>
      </c>
    </row>
    <row r="9" spans="1:6" x14ac:dyDescent="0.25">
      <c r="A9" s="581">
        <v>1101</v>
      </c>
      <c r="B9" s="582"/>
      <c r="C9" s="17" t="s">
        <v>432</v>
      </c>
      <c r="D9" s="54">
        <f>'CRI-M'!P9</f>
        <v>4000</v>
      </c>
      <c r="E9" s="55"/>
      <c r="F9" s="55">
        <f t="shared" si="0"/>
        <v>4000</v>
      </c>
    </row>
    <row r="10" spans="1:6" x14ac:dyDescent="0.25">
      <c r="A10" s="53">
        <v>1200</v>
      </c>
      <c r="B10" s="583" t="s">
        <v>510</v>
      </c>
      <c r="C10" s="584"/>
      <c r="D10" s="38">
        <f>SUM(D11:D13)</f>
        <v>2059124</v>
      </c>
      <c r="E10" s="38">
        <f>SUM(E11:E13)</f>
        <v>0</v>
      </c>
      <c r="F10" s="38">
        <f t="shared" si="0"/>
        <v>2059124</v>
      </c>
    </row>
    <row r="11" spans="1:6" x14ac:dyDescent="0.25">
      <c r="A11" s="581">
        <v>1201</v>
      </c>
      <c r="B11" s="582"/>
      <c r="C11" s="17" t="s">
        <v>433</v>
      </c>
      <c r="D11" s="54">
        <f>'CRI-M'!P11</f>
        <v>1599324</v>
      </c>
      <c r="E11" s="55"/>
      <c r="F11" s="55">
        <f t="shared" si="0"/>
        <v>1599324</v>
      </c>
    </row>
    <row r="12" spans="1:6" x14ac:dyDescent="0.25">
      <c r="A12" s="581">
        <v>1202</v>
      </c>
      <c r="B12" s="582"/>
      <c r="C12" s="17" t="s">
        <v>511</v>
      </c>
      <c r="D12" s="54">
        <f>'CRI-M'!P12</f>
        <v>455800</v>
      </c>
      <c r="E12" s="55"/>
      <c r="F12" s="55">
        <f t="shared" si="0"/>
        <v>455800</v>
      </c>
    </row>
    <row r="13" spans="1:6" x14ac:dyDescent="0.25">
      <c r="A13" s="581">
        <v>1203</v>
      </c>
      <c r="B13" s="582"/>
      <c r="C13" s="17" t="s">
        <v>434</v>
      </c>
      <c r="D13" s="54">
        <f>'CRI-M'!P13</f>
        <v>4000</v>
      </c>
      <c r="E13" s="55"/>
      <c r="F13" s="55">
        <f t="shared" si="0"/>
        <v>4000</v>
      </c>
    </row>
    <row r="14" spans="1:6" x14ac:dyDescent="0.25">
      <c r="A14" s="53">
        <v>1300</v>
      </c>
      <c r="B14" s="583" t="s">
        <v>512</v>
      </c>
      <c r="C14" s="584"/>
      <c r="D14" s="56">
        <v>0</v>
      </c>
      <c r="E14" s="56">
        <v>0</v>
      </c>
      <c r="F14" s="56">
        <f t="shared" si="0"/>
        <v>0</v>
      </c>
    </row>
    <row r="15" spans="1:6" x14ac:dyDescent="0.25">
      <c r="A15" s="53">
        <v>1400</v>
      </c>
      <c r="B15" s="583" t="s">
        <v>513</v>
      </c>
      <c r="C15" s="584"/>
      <c r="D15" s="56">
        <v>0</v>
      </c>
      <c r="E15" s="56">
        <v>0</v>
      </c>
      <c r="F15" s="56">
        <f t="shared" si="0"/>
        <v>0</v>
      </c>
    </row>
    <row r="16" spans="1:6" x14ac:dyDescent="0.25">
      <c r="A16" s="53">
        <v>1500</v>
      </c>
      <c r="B16" s="583" t="s">
        <v>514</v>
      </c>
      <c r="C16" s="584"/>
      <c r="D16" s="56">
        <v>0</v>
      </c>
      <c r="E16" s="56">
        <v>0</v>
      </c>
      <c r="F16" s="56">
        <f t="shared" si="0"/>
        <v>0</v>
      </c>
    </row>
    <row r="17" spans="1:6" x14ac:dyDescent="0.25">
      <c r="A17" s="53">
        <v>1600</v>
      </c>
      <c r="B17" s="583" t="s">
        <v>515</v>
      </c>
      <c r="C17" s="584"/>
      <c r="D17" s="56">
        <v>0</v>
      </c>
      <c r="E17" s="56">
        <v>0</v>
      </c>
      <c r="F17" s="56">
        <f t="shared" si="0"/>
        <v>0</v>
      </c>
    </row>
    <row r="18" spans="1:6" x14ac:dyDescent="0.25">
      <c r="A18" s="53">
        <v>1700</v>
      </c>
      <c r="B18" s="583" t="s">
        <v>516</v>
      </c>
      <c r="C18" s="584"/>
      <c r="D18" s="56">
        <f>SUM(D19:D23)</f>
        <v>46340</v>
      </c>
      <c r="E18" s="56">
        <f>SUM(E19:E23)</f>
        <v>0</v>
      </c>
      <c r="F18" s="56">
        <f t="shared" si="0"/>
        <v>46340</v>
      </c>
    </row>
    <row r="19" spans="1:6" x14ac:dyDescent="0.25">
      <c r="A19" s="581">
        <v>1701</v>
      </c>
      <c r="B19" s="582"/>
      <c r="C19" s="17" t="s">
        <v>435</v>
      </c>
      <c r="D19" s="54">
        <f>'CRI-M'!P19</f>
        <v>14550</v>
      </c>
      <c r="E19" s="55"/>
      <c r="F19" s="55">
        <f t="shared" si="0"/>
        <v>14550</v>
      </c>
    </row>
    <row r="20" spans="1:6" x14ac:dyDescent="0.25">
      <c r="A20" s="581">
        <v>1702</v>
      </c>
      <c r="B20" s="582"/>
      <c r="C20" s="17" t="s">
        <v>517</v>
      </c>
      <c r="D20" s="54">
        <f>'CRI-M'!P20</f>
        <v>0</v>
      </c>
      <c r="E20" s="55"/>
      <c r="F20" s="55">
        <f t="shared" si="0"/>
        <v>0</v>
      </c>
    </row>
    <row r="21" spans="1:6" x14ac:dyDescent="0.25">
      <c r="A21" s="581">
        <v>1703</v>
      </c>
      <c r="B21" s="582"/>
      <c r="C21" s="17" t="s">
        <v>436</v>
      </c>
      <c r="D21" s="54">
        <f>'CRI-M'!P21</f>
        <v>15345</v>
      </c>
      <c r="E21" s="55"/>
      <c r="F21" s="55">
        <f t="shared" si="0"/>
        <v>15345</v>
      </c>
    </row>
    <row r="22" spans="1:6" x14ac:dyDescent="0.25">
      <c r="A22" s="581">
        <v>1704</v>
      </c>
      <c r="B22" s="582"/>
      <c r="C22" s="17" t="s">
        <v>518</v>
      </c>
      <c r="D22" s="54">
        <f>'CRI-M'!P22</f>
        <v>16445</v>
      </c>
      <c r="E22" s="55"/>
      <c r="F22" s="55">
        <f t="shared" si="0"/>
        <v>16445</v>
      </c>
    </row>
    <row r="23" spans="1:6" x14ac:dyDescent="0.25">
      <c r="A23" s="581">
        <v>1709</v>
      </c>
      <c r="B23" s="582"/>
      <c r="C23" s="17" t="s">
        <v>437</v>
      </c>
      <c r="D23" s="54">
        <f>'CRI-M'!P23</f>
        <v>0</v>
      </c>
      <c r="E23" s="55"/>
      <c r="F23" s="55">
        <f t="shared" si="0"/>
        <v>0</v>
      </c>
    </row>
    <row r="24" spans="1:6" x14ac:dyDescent="0.25">
      <c r="A24" s="53">
        <v>1800</v>
      </c>
      <c r="B24" s="583" t="s">
        <v>519</v>
      </c>
      <c r="C24" s="584"/>
      <c r="D24" s="56">
        <f>SUM(D25)</f>
        <v>14500</v>
      </c>
      <c r="E24" s="56">
        <f>SUM(E25)</f>
        <v>0</v>
      </c>
      <c r="F24" s="56">
        <f t="shared" si="0"/>
        <v>14500</v>
      </c>
    </row>
    <row r="25" spans="1:6" x14ac:dyDescent="0.25">
      <c r="A25" s="581">
        <v>1801</v>
      </c>
      <c r="B25" s="582"/>
      <c r="C25" s="17" t="s">
        <v>519</v>
      </c>
      <c r="D25" s="54">
        <f>'CRI-M'!P25</f>
        <v>14500</v>
      </c>
      <c r="E25" s="55"/>
      <c r="F25" s="55">
        <f t="shared" si="0"/>
        <v>14500</v>
      </c>
    </row>
    <row r="26" spans="1:6" ht="30" customHeight="1" x14ac:dyDescent="0.25">
      <c r="A26" s="53">
        <v>1900</v>
      </c>
      <c r="B26" s="592" t="s">
        <v>2218</v>
      </c>
      <c r="C26" s="593"/>
      <c r="D26" s="56">
        <f>SUM(D27)</f>
        <v>0</v>
      </c>
      <c r="E26" s="56">
        <f>SUM(E27)</f>
        <v>0</v>
      </c>
      <c r="F26" s="56">
        <f t="shared" ref="F26:F27" si="1">D26+E26</f>
        <v>0</v>
      </c>
    </row>
    <row r="27" spans="1:6" ht="30" x14ac:dyDescent="0.25">
      <c r="A27" s="581">
        <v>1901</v>
      </c>
      <c r="B27" s="582"/>
      <c r="C27" s="17" t="s">
        <v>2218</v>
      </c>
      <c r="D27" s="54">
        <f>'CRI-M'!P27</f>
        <v>0</v>
      </c>
      <c r="E27" s="55"/>
      <c r="F27" s="55">
        <f t="shared" si="1"/>
        <v>0</v>
      </c>
    </row>
    <row r="28" spans="1:6" x14ac:dyDescent="0.25">
      <c r="A28" s="51">
        <v>2000</v>
      </c>
      <c r="B28" s="590" t="s">
        <v>505</v>
      </c>
      <c r="C28" s="591"/>
      <c r="D28" s="52">
        <f>SUM(D29:D33)</f>
        <v>0</v>
      </c>
      <c r="E28" s="52">
        <f>SUM(E29:E33)</f>
        <v>0</v>
      </c>
      <c r="F28" s="52">
        <f t="shared" si="0"/>
        <v>0</v>
      </c>
    </row>
    <row r="29" spans="1:6" x14ac:dyDescent="0.25">
      <c r="A29" s="53">
        <v>2100</v>
      </c>
      <c r="B29" s="583" t="s">
        <v>520</v>
      </c>
      <c r="C29" s="584"/>
      <c r="D29" s="38"/>
      <c r="E29" s="38"/>
      <c r="F29" s="38">
        <f t="shared" si="0"/>
        <v>0</v>
      </c>
    </row>
    <row r="30" spans="1:6" x14ac:dyDescent="0.25">
      <c r="A30" s="53">
        <v>2200</v>
      </c>
      <c r="B30" s="583" t="s">
        <v>521</v>
      </c>
      <c r="C30" s="584"/>
      <c r="D30" s="38"/>
      <c r="E30" s="38"/>
      <c r="F30" s="38">
        <f t="shared" si="0"/>
        <v>0</v>
      </c>
    </row>
    <row r="31" spans="1:6" x14ac:dyDescent="0.25">
      <c r="A31" s="53">
        <v>2300</v>
      </c>
      <c r="B31" s="583" t="s">
        <v>522</v>
      </c>
      <c r="C31" s="584"/>
      <c r="D31" s="38"/>
      <c r="E31" s="38"/>
      <c r="F31" s="38">
        <f t="shared" si="0"/>
        <v>0</v>
      </c>
    </row>
    <row r="32" spans="1:6" x14ac:dyDescent="0.25">
      <c r="A32" s="53">
        <v>2400</v>
      </c>
      <c r="B32" s="583" t="s">
        <v>523</v>
      </c>
      <c r="C32" s="584"/>
      <c r="D32" s="38"/>
      <c r="E32" s="38"/>
      <c r="F32" s="38">
        <f t="shared" si="0"/>
        <v>0</v>
      </c>
    </row>
    <row r="33" spans="1:6" x14ac:dyDescent="0.25">
      <c r="A33" s="53">
        <v>2500</v>
      </c>
      <c r="B33" s="583" t="s">
        <v>524</v>
      </c>
      <c r="C33" s="584"/>
      <c r="D33" s="38"/>
      <c r="E33" s="38"/>
      <c r="F33" s="38">
        <f t="shared" si="0"/>
        <v>0</v>
      </c>
    </row>
    <row r="34" spans="1:6" x14ac:dyDescent="0.25">
      <c r="A34" s="51">
        <v>3000</v>
      </c>
      <c r="B34" s="590" t="s">
        <v>2275</v>
      </c>
      <c r="C34" s="591"/>
      <c r="D34" s="52">
        <f>SUM(D35)</f>
        <v>0</v>
      </c>
      <c r="E34" s="52">
        <f>SUM(E35)</f>
        <v>0</v>
      </c>
      <c r="F34" s="52">
        <f t="shared" si="0"/>
        <v>0</v>
      </c>
    </row>
    <row r="35" spans="1:6" x14ac:dyDescent="0.25">
      <c r="A35" s="53">
        <v>3100</v>
      </c>
      <c r="B35" s="583" t="s">
        <v>525</v>
      </c>
      <c r="C35" s="584"/>
      <c r="D35" s="38">
        <f>SUM(D36)</f>
        <v>0</v>
      </c>
      <c r="E35" s="38">
        <f>SUM(E36)</f>
        <v>0</v>
      </c>
      <c r="F35" s="38">
        <f t="shared" si="0"/>
        <v>0</v>
      </c>
    </row>
    <row r="36" spans="1:6" x14ac:dyDescent="0.25">
      <c r="A36" s="581">
        <v>3101</v>
      </c>
      <c r="B36" s="582"/>
      <c r="C36" s="17" t="s">
        <v>525</v>
      </c>
      <c r="D36" s="54">
        <f>'CRI-M'!P36</f>
        <v>0</v>
      </c>
      <c r="E36" s="55"/>
      <c r="F36" s="55">
        <f t="shared" si="0"/>
        <v>0</v>
      </c>
    </row>
    <row r="37" spans="1:6" ht="30" customHeight="1" x14ac:dyDescent="0.25">
      <c r="A37" s="53">
        <v>3900</v>
      </c>
      <c r="B37" s="592" t="s">
        <v>2219</v>
      </c>
      <c r="C37" s="593"/>
      <c r="D37" s="56">
        <f>SUM(D38)</f>
        <v>0</v>
      </c>
      <c r="E37" s="56">
        <f>SUM(E38)</f>
        <v>0</v>
      </c>
      <c r="F37" s="56">
        <f t="shared" si="0"/>
        <v>0</v>
      </c>
    </row>
    <row r="38" spans="1:6" ht="45" x14ac:dyDescent="0.25">
      <c r="A38" s="581">
        <v>3901</v>
      </c>
      <c r="B38" s="582"/>
      <c r="C38" s="17" t="s">
        <v>2219</v>
      </c>
      <c r="D38" s="54">
        <f>'CRI-M'!P38</f>
        <v>0</v>
      </c>
      <c r="E38" s="55"/>
      <c r="F38" s="55">
        <f t="shared" si="0"/>
        <v>0</v>
      </c>
    </row>
    <row r="39" spans="1:6" x14ac:dyDescent="0.25">
      <c r="A39" s="51">
        <v>4000</v>
      </c>
      <c r="B39" s="590" t="s">
        <v>313</v>
      </c>
      <c r="C39" s="591"/>
      <c r="D39" s="52">
        <f>D40+D45+D46+D61+D63</f>
        <v>2569480</v>
      </c>
      <c r="E39" s="52">
        <f>E40+E45+E46+E61+E63</f>
        <v>0</v>
      </c>
      <c r="F39" s="52">
        <f t="shared" si="0"/>
        <v>2569480</v>
      </c>
    </row>
    <row r="40" spans="1:6" ht="30" customHeight="1" x14ac:dyDescent="0.25">
      <c r="A40" s="53">
        <v>4100</v>
      </c>
      <c r="B40" s="592" t="s">
        <v>526</v>
      </c>
      <c r="C40" s="593"/>
      <c r="D40" s="38">
        <f>SUM(D41:D44)</f>
        <v>1257000</v>
      </c>
      <c r="E40" s="38">
        <f>SUM(E41:E44)</f>
        <v>0</v>
      </c>
      <c r="F40" s="38">
        <f t="shared" si="0"/>
        <v>1257000</v>
      </c>
    </row>
    <row r="41" spans="1:6" x14ac:dyDescent="0.25">
      <c r="A41" s="581">
        <v>4101</v>
      </c>
      <c r="B41" s="582"/>
      <c r="C41" s="17" t="s">
        <v>527</v>
      </c>
      <c r="D41" s="54">
        <f>'CRI-M'!P41</f>
        <v>18500</v>
      </c>
      <c r="E41" s="55"/>
      <c r="F41" s="55">
        <f t="shared" si="0"/>
        <v>18500</v>
      </c>
    </row>
    <row r="42" spans="1:6" x14ac:dyDescent="0.25">
      <c r="A42" s="581">
        <v>4102</v>
      </c>
      <c r="B42" s="582"/>
      <c r="C42" s="17" t="s">
        <v>528</v>
      </c>
      <c r="D42" s="54">
        <f>'CRI-M'!P42</f>
        <v>0</v>
      </c>
      <c r="E42" s="55"/>
      <c r="F42" s="55">
        <f t="shared" si="0"/>
        <v>0</v>
      </c>
    </row>
    <row r="43" spans="1:6" x14ac:dyDescent="0.25">
      <c r="A43" s="581">
        <v>4103</v>
      </c>
      <c r="B43" s="582"/>
      <c r="C43" s="17" t="s">
        <v>529</v>
      </c>
      <c r="D43" s="54">
        <f>'CRI-M'!P43</f>
        <v>850000</v>
      </c>
      <c r="E43" s="55"/>
      <c r="F43" s="55">
        <f t="shared" si="0"/>
        <v>850000</v>
      </c>
    </row>
    <row r="44" spans="1:6" x14ac:dyDescent="0.25">
      <c r="A44" s="581">
        <v>4104</v>
      </c>
      <c r="B44" s="582"/>
      <c r="C44" s="17" t="s">
        <v>530</v>
      </c>
      <c r="D44" s="54">
        <f>'CRI-M'!P44</f>
        <v>388500</v>
      </c>
      <c r="E44" s="55"/>
      <c r="F44" s="55">
        <f t="shared" si="0"/>
        <v>388500</v>
      </c>
    </row>
    <row r="45" spans="1:6" x14ac:dyDescent="0.25">
      <c r="A45" s="53">
        <v>4200</v>
      </c>
      <c r="B45" s="592" t="s">
        <v>531</v>
      </c>
      <c r="C45" s="593"/>
      <c r="D45" s="38"/>
      <c r="E45" s="38"/>
      <c r="F45" s="38">
        <f t="shared" si="0"/>
        <v>0</v>
      </c>
    </row>
    <row r="46" spans="1:6" x14ac:dyDescent="0.25">
      <c r="A46" s="53">
        <v>4300</v>
      </c>
      <c r="B46" s="592" t="s">
        <v>532</v>
      </c>
      <c r="C46" s="593"/>
      <c r="D46" s="38">
        <f>SUM(D47:D60)</f>
        <v>1270080</v>
      </c>
      <c r="E46" s="38">
        <f>SUM(E47:E60)</f>
        <v>0</v>
      </c>
      <c r="F46" s="38">
        <f t="shared" si="0"/>
        <v>1270080</v>
      </c>
    </row>
    <row r="47" spans="1:6" x14ac:dyDescent="0.25">
      <c r="A47" s="581" t="s">
        <v>607</v>
      </c>
      <c r="B47" s="582"/>
      <c r="C47" s="17" t="s">
        <v>533</v>
      </c>
      <c r="D47" s="54">
        <f>'CRI-M'!P47</f>
        <v>143200</v>
      </c>
      <c r="E47" s="55"/>
      <c r="F47" s="55">
        <f t="shared" si="0"/>
        <v>143200</v>
      </c>
    </row>
    <row r="48" spans="1:6" x14ac:dyDescent="0.25">
      <c r="A48" s="581" t="s">
        <v>608</v>
      </c>
      <c r="B48" s="582"/>
      <c r="C48" s="17" t="s">
        <v>534</v>
      </c>
      <c r="D48" s="54">
        <f>'CRI-M'!P48</f>
        <v>20420</v>
      </c>
      <c r="E48" s="55"/>
      <c r="F48" s="55">
        <f t="shared" si="0"/>
        <v>20420</v>
      </c>
    </row>
    <row r="49" spans="1:6" ht="30" x14ac:dyDescent="0.25">
      <c r="A49" s="581">
        <v>4303</v>
      </c>
      <c r="B49" s="582"/>
      <c r="C49" s="17" t="s">
        <v>535</v>
      </c>
      <c r="D49" s="54">
        <f>'CRI-M'!P49</f>
        <v>19800</v>
      </c>
      <c r="E49" s="55"/>
      <c r="F49" s="55">
        <f t="shared" si="0"/>
        <v>19800</v>
      </c>
    </row>
    <row r="50" spans="1:6" x14ac:dyDescent="0.25">
      <c r="A50" s="581">
        <v>4304</v>
      </c>
      <c r="B50" s="582"/>
      <c r="C50" s="17" t="s">
        <v>536</v>
      </c>
      <c r="D50" s="54">
        <f>'CRI-M'!P50</f>
        <v>0</v>
      </c>
      <c r="E50" s="55"/>
      <c r="F50" s="55">
        <f t="shared" si="0"/>
        <v>0</v>
      </c>
    </row>
    <row r="51" spans="1:6" x14ac:dyDescent="0.25">
      <c r="A51" s="581">
        <v>4305</v>
      </c>
      <c r="B51" s="582"/>
      <c r="C51" s="17" t="s">
        <v>537</v>
      </c>
      <c r="D51" s="54">
        <f>'CRI-M'!P51</f>
        <v>3450</v>
      </c>
      <c r="E51" s="55"/>
      <c r="F51" s="55">
        <f t="shared" si="0"/>
        <v>3450</v>
      </c>
    </row>
    <row r="52" spans="1:6" x14ac:dyDescent="0.25">
      <c r="A52" s="581">
        <v>4306</v>
      </c>
      <c r="B52" s="582"/>
      <c r="C52" s="17" t="s">
        <v>538</v>
      </c>
      <c r="D52" s="54">
        <f>'CRI-M'!P52</f>
        <v>1500</v>
      </c>
      <c r="E52" s="55"/>
      <c r="F52" s="55">
        <f t="shared" si="0"/>
        <v>1500</v>
      </c>
    </row>
    <row r="53" spans="1:6" x14ac:dyDescent="0.25">
      <c r="A53" s="581">
        <v>4307</v>
      </c>
      <c r="B53" s="582"/>
      <c r="C53" s="17" t="s">
        <v>539</v>
      </c>
      <c r="D53" s="54">
        <f>'CRI-M'!P53</f>
        <v>1400</v>
      </c>
      <c r="E53" s="55"/>
      <c r="F53" s="55">
        <f t="shared" si="0"/>
        <v>1400</v>
      </c>
    </row>
    <row r="54" spans="1:6" x14ac:dyDescent="0.25">
      <c r="A54" s="581">
        <v>4308</v>
      </c>
      <c r="B54" s="582"/>
      <c r="C54" s="17" t="s">
        <v>540</v>
      </c>
      <c r="D54" s="54">
        <f>'CRI-M'!P54</f>
        <v>9000</v>
      </c>
      <c r="E54" s="55"/>
      <c r="F54" s="55">
        <f t="shared" si="0"/>
        <v>9000</v>
      </c>
    </row>
    <row r="55" spans="1:6" ht="30" x14ac:dyDescent="0.25">
      <c r="A55" s="581">
        <v>4309</v>
      </c>
      <c r="B55" s="582"/>
      <c r="C55" s="17" t="s">
        <v>541</v>
      </c>
      <c r="D55" s="54">
        <f>'CRI-M'!P55</f>
        <v>20500</v>
      </c>
      <c r="E55" s="55"/>
      <c r="F55" s="55">
        <f t="shared" si="0"/>
        <v>20500</v>
      </c>
    </row>
    <row r="56" spans="1:6" ht="30" x14ac:dyDescent="0.25">
      <c r="A56" s="581">
        <v>4310</v>
      </c>
      <c r="B56" s="582"/>
      <c r="C56" s="17" t="s">
        <v>542</v>
      </c>
      <c r="D56" s="54">
        <f>'CRI-M'!P56</f>
        <v>346450</v>
      </c>
      <c r="E56" s="55"/>
      <c r="F56" s="55">
        <f t="shared" si="0"/>
        <v>346450</v>
      </c>
    </row>
    <row r="57" spans="1:6" x14ac:dyDescent="0.25">
      <c r="A57" s="581">
        <v>4311</v>
      </c>
      <c r="B57" s="582"/>
      <c r="C57" s="17" t="s">
        <v>543</v>
      </c>
      <c r="D57" s="54">
        <f>'CRI-M'!P57</f>
        <v>491000</v>
      </c>
      <c r="E57" s="55"/>
      <c r="F57" s="55">
        <f t="shared" si="0"/>
        <v>491000</v>
      </c>
    </row>
    <row r="58" spans="1:6" x14ac:dyDescent="0.25">
      <c r="A58" s="581">
        <v>4312</v>
      </c>
      <c r="B58" s="582"/>
      <c r="C58" s="17" t="s">
        <v>544</v>
      </c>
      <c r="D58" s="54">
        <f>'CRI-M'!P58</f>
        <v>19500</v>
      </c>
      <c r="E58" s="55"/>
      <c r="F58" s="55">
        <f t="shared" si="0"/>
        <v>19500</v>
      </c>
    </row>
    <row r="59" spans="1:6" x14ac:dyDescent="0.25">
      <c r="A59" s="581">
        <v>4313</v>
      </c>
      <c r="B59" s="582"/>
      <c r="C59" s="17" t="s">
        <v>545</v>
      </c>
      <c r="D59" s="54">
        <f>'CRI-M'!P59</f>
        <v>144940</v>
      </c>
      <c r="E59" s="55"/>
      <c r="F59" s="55">
        <f t="shared" si="0"/>
        <v>144940</v>
      </c>
    </row>
    <row r="60" spans="1:6" x14ac:dyDescent="0.25">
      <c r="A60" s="581">
        <v>4314</v>
      </c>
      <c r="B60" s="582"/>
      <c r="C60" s="17" t="s">
        <v>546</v>
      </c>
      <c r="D60" s="54">
        <f>'CRI-M'!P60</f>
        <v>48920</v>
      </c>
      <c r="E60" s="55"/>
      <c r="F60" s="55">
        <f t="shared" si="0"/>
        <v>48920</v>
      </c>
    </row>
    <row r="61" spans="1:6" x14ac:dyDescent="0.25">
      <c r="A61" s="53">
        <v>4400</v>
      </c>
      <c r="B61" s="592" t="s">
        <v>547</v>
      </c>
      <c r="C61" s="593"/>
      <c r="D61" s="38">
        <f>SUM(D62)</f>
        <v>33050</v>
      </c>
      <c r="E61" s="38">
        <f>SUM(E62)</f>
        <v>0</v>
      </c>
      <c r="F61" s="38">
        <f t="shared" si="0"/>
        <v>33050</v>
      </c>
    </row>
    <row r="62" spans="1:6" x14ac:dyDescent="0.25">
      <c r="A62" s="581">
        <v>4401</v>
      </c>
      <c r="B62" s="582"/>
      <c r="C62" s="17" t="s">
        <v>547</v>
      </c>
      <c r="D62" s="54">
        <f>'CRI-M'!P62</f>
        <v>33050</v>
      </c>
      <c r="E62" s="55"/>
      <c r="F62" s="55">
        <f t="shared" si="0"/>
        <v>33050</v>
      </c>
    </row>
    <row r="63" spans="1:6" x14ac:dyDescent="0.25">
      <c r="A63" s="53">
        <v>4500</v>
      </c>
      <c r="B63" s="592" t="s">
        <v>548</v>
      </c>
      <c r="C63" s="593"/>
      <c r="D63" s="38">
        <f>SUM(D64:D68)</f>
        <v>9350</v>
      </c>
      <c r="E63" s="38">
        <f>SUM(E64:E68)</f>
        <v>0</v>
      </c>
      <c r="F63" s="38">
        <f t="shared" si="0"/>
        <v>9350</v>
      </c>
    </row>
    <row r="64" spans="1:6" x14ac:dyDescent="0.25">
      <c r="A64" s="581">
        <v>4501</v>
      </c>
      <c r="B64" s="582"/>
      <c r="C64" s="17" t="s">
        <v>435</v>
      </c>
      <c r="D64" s="54">
        <f>'CRI-M'!P64</f>
        <v>9350</v>
      </c>
      <c r="E64" s="55"/>
      <c r="F64" s="55">
        <f t="shared" si="0"/>
        <v>9350</v>
      </c>
    </row>
    <row r="65" spans="1:6" x14ac:dyDescent="0.25">
      <c r="A65" s="581">
        <v>4502</v>
      </c>
      <c r="B65" s="582"/>
      <c r="C65" s="17" t="s">
        <v>517</v>
      </c>
      <c r="D65" s="54">
        <f>'CRI-M'!P65</f>
        <v>0</v>
      </c>
      <c r="E65" s="55"/>
      <c r="F65" s="55">
        <f t="shared" si="0"/>
        <v>0</v>
      </c>
    </row>
    <row r="66" spans="1:6" x14ac:dyDescent="0.25">
      <c r="A66" s="581">
        <v>4503</v>
      </c>
      <c r="B66" s="582"/>
      <c r="C66" s="17" t="s">
        <v>436</v>
      </c>
      <c r="D66" s="54">
        <f>'CRI-M'!P66</f>
        <v>0</v>
      </c>
      <c r="E66" s="55"/>
      <c r="F66" s="55">
        <f t="shared" si="0"/>
        <v>0</v>
      </c>
    </row>
    <row r="67" spans="1:6" x14ac:dyDescent="0.25">
      <c r="A67" s="581">
        <v>4504</v>
      </c>
      <c r="B67" s="582"/>
      <c r="C67" s="17" t="s">
        <v>518</v>
      </c>
      <c r="D67" s="54">
        <f>'CRI-M'!P67</f>
        <v>0</v>
      </c>
      <c r="E67" s="55"/>
      <c r="F67" s="55">
        <f t="shared" si="0"/>
        <v>0</v>
      </c>
    </row>
    <row r="68" spans="1:6" x14ac:dyDescent="0.25">
      <c r="A68" s="581">
        <v>4509</v>
      </c>
      <c r="B68" s="582"/>
      <c r="C68" s="17" t="s">
        <v>437</v>
      </c>
      <c r="D68" s="54">
        <f>'CRI-M'!P68</f>
        <v>0</v>
      </c>
      <c r="E68" s="55"/>
      <c r="F68" s="55">
        <f t="shared" si="0"/>
        <v>0</v>
      </c>
    </row>
    <row r="69" spans="1:6" ht="30" customHeight="1" x14ac:dyDescent="0.25">
      <c r="A69" s="53">
        <v>4900</v>
      </c>
      <c r="B69" s="592" t="s">
        <v>2220</v>
      </c>
      <c r="C69" s="593"/>
      <c r="D69" s="56">
        <f>SUM(D70)</f>
        <v>0</v>
      </c>
      <c r="E69" s="56">
        <f>SUM(E70)</f>
        <v>0</v>
      </c>
      <c r="F69" s="56">
        <f t="shared" ref="F69:F70" si="2">D69+E69</f>
        <v>0</v>
      </c>
    </row>
    <row r="70" spans="1:6" ht="30" x14ac:dyDescent="0.25">
      <c r="A70" s="581">
        <v>4901</v>
      </c>
      <c r="B70" s="582"/>
      <c r="C70" s="17" t="s">
        <v>2220</v>
      </c>
      <c r="D70" s="54">
        <f>'CRI-M'!P70</f>
        <v>0</v>
      </c>
      <c r="E70" s="55"/>
      <c r="F70" s="55">
        <f t="shared" si="2"/>
        <v>0</v>
      </c>
    </row>
    <row r="71" spans="1:6" x14ac:dyDescent="0.25">
      <c r="A71" s="51">
        <v>5000</v>
      </c>
      <c r="B71" s="594" t="s">
        <v>501</v>
      </c>
      <c r="C71" s="595"/>
      <c r="D71" s="52">
        <f>D72+D75</f>
        <v>238590</v>
      </c>
      <c r="E71" s="52">
        <f>E72+E75</f>
        <v>0</v>
      </c>
      <c r="F71" s="52">
        <f t="shared" si="0"/>
        <v>238590</v>
      </c>
    </row>
    <row r="72" spans="1:6" x14ac:dyDescent="0.25">
      <c r="A72" s="53">
        <v>5100</v>
      </c>
      <c r="B72" s="592" t="s">
        <v>501</v>
      </c>
      <c r="C72" s="593"/>
      <c r="D72" s="38">
        <f>SUM(D73:D74)</f>
        <v>238590</v>
      </c>
      <c r="E72" s="38">
        <f>SUM(E73:E74)</f>
        <v>0</v>
      </c>
      <c r="F72" s="38">
        <f t="shared" si="0"/>
        <v>238590</v>
      </c>
    </row>
    <row r="73" spans="1:6" ht="15" customHeight="1" x14ac:dyDescent="0.25">
      <c r="A73" s="581">
        <v>5101</v>
      </c>
      <c r="B73" s="582"/>
      <c r="C73" s="17" t="s">
        <v>549</v>
      </c>
      <c r="D73" s="54">
        <f>'CRI-M'!P73</f>
        <v>0</v>
      </c>
      <c r="E73" s="55"/>
      <c r="F73" s="55">
        <f t="shared" si="0"/>
        <v>0</v>
      </c>
    </row>
    <row r="74" spans="1:6" x14ac:dyDescent="0.25">
      <c r="A74" s="581">
        <v>5102</v>
      </c>
      <c r="B74" s="582"/>
      <c r="C74" s="17" t="s">
        <v>442</v>
      </c>
      <c r="D74" s="54">
        <f>'CRI-M'!P74</f>
        <v>238590</v>
      </c>
      <c r="E74" s="55"/>
      <c r="F74" s="55">
        <f t="shared" si="0"/>
        <v>238590</v>
      </c>
    </row>
    <row r="75" spans="1:6" x14ac:dyDescent="0.25">
      <c r="A75" s="53">
        <v>5200</v>
      </c>
      <c r="B75" s="592" t="s">
        <v>550</v>
      </c>
      <c r="C75" s="593"/>
      <c r="D75" s="38"/>
      <c r="E75" s="38"/>
      <c r="F75" s="38">
        <f t="shared" si="0"/>
        <v>0</v>
      </c>
    </row>
    <row r="76" spans="1:6" ht="30" customHeight="1" x14ac:dyDescent="0.25">
      <c r="A76" s="53">
        <v>5900</v>
      </c>
      <c r="B76" s="592" t="s">
        <v>2221</v>
      </c>
      <c r="C76" s="593"/>
      <c r="D76" s="56">
        <f>SUM(D77)</f>
        <v>0</v>
      </c>
      <c r="E76" s="56">
        <f>SUM(E77)</f>
        <v>0</v>
      </c>
      <c r="F76" s="56">
        <f t="shared" si="0"/>
        <v>0</v>
      </c>
    </row>
    <row r="77" spans="1:6" ht="30" x14ac:dyDescent="0.25">
      <c r="A77" s="581">
        <v>5901</v>
      </c>
      <c r="B77" s="582"/>
      <c r="C77" s="17" t="s">
        <v>2221</v>
      </c>
      <c r="D77" s="54">
        <f>'CRI-M'!P77</f>
        <v>0</v>
      </c>
      <c r="E77" s="55"/>
      <c r="F77" s="55">
        <f t="shared" si="0"/>
        <v>0</v>
      </c>
    </row>
    <row r="78" spans="1:6" x14ac:dyDescent="0.25">
      <c r="A78" s="51">
        <v>6000</v>
      </c>
      <c r="B78" s="594" t="s">
        <v>2417</v>
      </c>
      <c r="C78" s="595"/>
      <c r="D78" s="52">
        <f>D79+D83+D86</f>
        <v>3500</v>
      </c>
      <c r="E78" s="52">
        <f>E79+E83+E86</f>
        <v>0</v>
      </c>
      <c r="F78" s="52">
        <f t="shared" si="0"/>
        <v>3500</v>
      </c>
    </row>
    <row r="79" spans="1:6" x14ac:dyDescent="0.25">
      <c r="A79" s="53">
        <v>6100</v>
      </c>
      <c r="B79" s="592" t="s">
        <v>502</v>
      </c>
      <c r="C79" s="593"/>
      <c r="D79" s="38">
        <f>SUM(D80:D82)</f>
        <v>3500</v>
      </c>
      <c r="E79" s="38">
        <f>SUM(E80:E82)</f>
        <v>0</v>
      </c>
      <c r="F79" s="38">
        <f t="shared" si="0"/>
        <v>3500</v>
      </c>
    </row>
    <row r="80" spans="1:6" x14ac:dyDescent="0.25">
      <c r="A80" s="581">
        <v>6101</v>
      </c>
      <c r="B80" s="582"/>
      <c r="C80" s="17" t="s">
        <v>551</v>
      </c>
      <c r="D80" s="54">
        <f>'CRI-M'!P80</f>
        <v>3500</v>
      </c>
      <c r="E80" s="55"/>
      <c r="F80" s="55">
        <f t="shared" ref="F80:F145" si="3">D80+E80</f>
        <v>3500</v>
      </c>
    </row>
    <row r="81" spans="1:6" x14ac:dyDescent="0.25">
      <c r="A81" s="581">
        <v>6102</v>
      </c>
      <c r="B81" s="582"/>
      <c r="C81" s="17" t="s">
        <v>552</v>
      </c>
      <c r="D81" s="54">
        <f>'CRI-M'!P81</f>
        <v>0</v>
      </c>
      <c r="E81" s="55"/>
      <c r="F81" s="55">
        <f t="shared" si="3"/>
        <v>0</v>
      </c>
    </row>
    <row r="82" spans="1:6" x14ac:dyDescent="0.25">
      <c r="A82" s="581">
        <v>6103</v>
      </c>
      <c r="B82" s="582"/>
      <c r="C82" s="17" t="s">
        <v>553</v>
      </c>
      <c r="D82" s="54">
        <f>'CRI-M'!P82</f>
        <v>0</v>
      </c>
      <c r="E82" s="55"/>
      <c r="F82" s="55">
        <f t="shared" si="3"/>
        <v>0</v>
      </c>
    </row>
    <row r="83" spans="1:6" x14ac:dyDescent="0.25">
      <c r="A83" s="53">
        <v>6200</v>
      </c>
      <c r="B83" s="592" t="s">
        <v>554</v>
      </c>
      <c r="C83" s="593"/>
      <c r="D83" s="38">
        <f>SUM(D84:D85)</f>
        <v>0</v>
      </c>
      <c r="E83" s="38">
        <f>SUM(E84:E85)</f>
        <v>0</v>
      </c>
      <c r="F83" s="38">
        <f t="shared" si="3"/>
        <v>0</v>
      </c>
    </row>
    <row r="84" spans="1:6" x14ac:dyDescent="0.25">
      <c r="A84" s="581" t="s">
        <v>609</v>
      </c>
      <c r="B84" s="582"/>
      <c r="C84" s="21" t="s">
        <v>555</v>
      </c>
      <c r="D84" s="54">
        <f>'CRI-M'!P84</f>
        <v>0</v>
      </c>
      <c r="E84" s="55"/>
      <c r="F84" s="55">
        <f t="shared" si="3"/>
        <v>0</v>
      </c>
    </row>
    <row r="85" spans="1:6" x14ac:dyDescent="0.25">
      <c r="A85" s="581">
        <v>6202</v>
      </c>
      <c r="B85" s="582"/>
      <c r="C85" s="21" t="s">
        <v>556</v>
      </c>
      <c r="D85" s="54">
        <f>'CRI-M'!P85</f>
        <v>0</v>
      </c>
      <c r="E85" s="55"/>
      <c r="F85" s="55">
        <f t="shared" si="3"/>
        <v>0</v>
      </c>
    </row>
    <row r="86" spans="1:6" x14ac:dyDescent="0.25">
      <c r="A86" s="53">
        <v>6300</v>
      </c>
      <c r="B86" s="592" t="s">
        <v>557</v>
      </c>
      <c r="C86" s="593"/>
      <c r="D86" s="38">
        <f>SUM(D87:D91)</f>
        <v>0</v>
      </c>
      <c r="E86" s="38">
        <f>SUM(E87:E91)</f>
        <v>0</v>
      </c>
      <c r="F86" s="38">
        <f t="shared" si="3"/>
        <v>0</v>
      </c>
    </row>
    <row r="87" spans="1:6" x14ac:dyDescent="0.25">
      <c r="A87" s="581">
        <v>6301</v>
      </c>
      <c r="B87" s="582"/>
      <c r="C87" s="17" t="s">
        <v>435</v>
      </c>
      <c r="D87" s="54">
        <f>'CRI-M'!P87</f>
        <v>0</v>
      </c>
      <c r="E87" s="55"/>
      <c r="F87" s="55">
        <f t="shared" si="3"/>
        <v>0</v>
      </c>
    </row>
    <row r="88" spans="1:6" x14ac:dyDescent="0.25">
      <c r="A88" s="581">
        <v>6302</v>
      </c>
      <c r="B88" s="582"/>
      <c r="C88" s="17" t="s">
        <v>517</v>
      </c>
      <c r="D88" s="54">
        <f>'CRI-M'!P88</f>
        <v>0</v>
      </c>
      <c r="E88" s="55"/>
      <c r="F88" s="55">
        <f t="shared" si="3"/>
        <v>0</v>
      </c>
    </row>
    <row r="89" spans="1:6" x14ac:dyDescent="0.25">
      <c r="A89" s="581">
        <v>6303</v>
      </c>
      <c r="B89" s="582"/>
      <c r="C89" s="17" t="s">
        <v>436</v>
      </c>
      <c r="D89" s="54">
        <f>'CRI-M'!P89</f>
        <v>0</v>
      </c>
      <c r="E89" s="55"/>
      <c r="F89" s="55">
        <f t="shared" si="3"/>
        <v>0</v>
      </c>
    </row>
    <row r="90" spans="1:6" x14ac:dyDescent="0.25">
      <c r="A90" s="581">
        <v>6304</v>
      </c>
      <c r="B90" s="582"/>
      <c r="C90" s="17" t="s">
        <v>518</v>
      </c>
      <c r="D90" s="54">
        <f>'CRI-M'!P90</f>
        <v>0</v>
      </c>
      <c r="E90" s="55"/>
      <c r="F90" s="55">
        <f t="shared" si="3"/>
        <v>0</v>
      </c>
    </row>
    <row r="91" spans="1:6" x14ac:dyDescent="0.25">
      <c r="A91" s="581">
        <v>6309</v>
      </c>
      <c r="B91" s="582"/>
      <c r="C91" s="17" t="s">
        <v>437</v>
      </c>
      <c r="D91" s="54">
        <f>'CRI-M'!P91</f>
        <v>0</v>
      </c>
      <c r="E91" s="55"/>
      <c r="F91" s="55">
        <f t="shared" si="3"/>
        <v>0</v>
      </c>
    </row>
    <row r="92" spans="1:6" ht="30" customHeight="1" x14ac:dyDescent="0.25">
      <c r="A92" s="53">
        <v>6900</v>
      </c>
      <c r="B92" s="592" t="s">
        <v>2222</v>
      </c>
      <c r="C92" s="593"/>
      <c r="D92" s="56">
        <f>SUM(D93)</f>
        <v>0</v>
      </c>
      <c r="E92" s="56">
        <f>SUM(E93)</f>
        <v>0</v>
      </c>
      <c r="F92" s="56">
        <f t="shared" si="3"/>
        <v>0</v>
      </c>
    </row>
    <row r="93" spans="1:6" ht="45" x14ac:dyDescent="0.25">
      <c r="A93" s="581">
        <v>6901</v>
      </c>
      <c r="B93" s="582"/>
      <c r="C93" s="17" t="s">
        <v>2222</v>
      </c>
      <c r="D93" s="54">
        <f>'CRI-M'!P93</f>
        <v>0</v>
      </c>
      <c r="E93" s="55"/>
      <c r="F93" s="55">
        <f t="shared" si="3"/>
        <v>0</v>
      </c>
    </row>
    <row r="94" spans="1:6" ht="30" customHeight="1" x14ac:dyDescent="0.25">
      <c r="A94" s="51">
        <v>7000</v>
      </c>
      <c r="B94" s="596" t="s">
        <v>2418</v>
      </c>
      <c r="C94" s="597"/>
      <c r="D94" s="52">
        <f>D95+D97+D98+D100+D101+D102+D103+D105+D106</f>
        <v>0</v>
      </c>
      <c r="E94" s="52">
        <f>E95+E97+E98+E100+E101+E102+E103+E105+E106</f>
        <v>0</v>
      </c>
      <c r="F94" s="52">
        <f t="shared" si="3"/>
        <v>0</v>
      </c>
    </row>
    <row r="95" spans="1:6" ht="30" customHeight="1" x14ac:dyDescent="0.25">
      <c r="A95" s="57">
        <v>7100</v>
      </c>
      <c r="B95" s="592" t="s">
        <v>558</v>
      </c>
      <c r="C95" s="593"/>
      <c r="D95" s="38">
        <f>SUM(D96)</f>
        <v>0</v>
      </c>
      <c r="E95" s="38">
        <f>SUM(E96)</f>
        <v>0</v>
      </c>
      <c r="F95" s="38">
        <f t="shared" si="3"/>
        <v>0</v>
      </c>
    </row>
    <row r="96" spans="1:6" ht="30" customHeight="1" x14ac:dyDescent="0.25">
      <c r="A96" s="581">
        <v>7101</v>
      </c>
      <c r="B96" s="582"/>
      <c r="C96" s="17" t="s">
        <v>558</v>
      </c>
      <c r="D96" s="54">
        <f>'CRI-M'!P96</f>
        <v>0</v>
      </c>
      <c r="E96" s="55"/>
      <c r="F96" s="55">
        <f t="shared" si="3"/>
        <v>0</v>
      </c>
    </row>
    <row r="97" spans="1:6" ht="30" customHeight="1" x14ac:dyDescent="0.25">
      <c r="A97" s="57">
        <v>7200</v>
      </c>
      <c r="B97" s="592" t="s">
        <v>559</v>
      </c>
      <c r="C97" s="593"/>
      <c r="D97" s="38"/>
      <c r="E97" s="38"/>
      <c r="F97" s="38">
        <f t="shared" si="3"/>
        <v>0</v>
      </c>
    </row>
    <row r="98" spans="1:6" ht="30" customHeight="1" x14ac:dyDescent="0.25">
      <c r="A98" s="57">
        <v>7300</v>
      </c>
      <c r="B98" s="592" t="s">
        <v>560</v>
      </c>
      <c r="C98" s="593"/>
      <c r="D98" s="38">
        <f>SUM(D99)</f>
        <v>0</v>
      </c>
      <c r="E98" s="38">
        <f>SUM(E99)</f>
        <v>0</v>
      </c>
      <c r="F98" s="38">
        <f t="shared" si="3"/>
        <v>0</v>
      </c>
    </row>
    <row r="99" spans="1:6" ht="30" customHeight="1" x14ac:dyDescent="0.25">
      <c r="A99" s="581">
        <v>7301</v>
      </c>
      <c r="B99" s="582"/>
      <c r="C99" s="17" t="s">
        <v>560</v>
      </c>
      <c r="D99" s="54">
        <f>'CRI-M'!P99</f>
        <v>0</v>
      </c>
      <c r="E99" s="55"/>
      <c r="F99" s="55">
        <f t="shared" si="3"/>
        <v>0</v>
      </c>
    </row>
    <row r="100" spans="1:6" ht="45" customHeight="1" x14ac:dyDescent="0.25">
      <c r="A100" s="57">
        <v>7400</v>
      </c>
      <c r="B100" s="592" t="s">
        <v>561</v>
      </c>
      <c r="C100" s="593"/>
      <c r="D100" s="38"/>
      <c r="E100" s="38"/>
      <c r="F100" s="38">
        <f t="shared" si="3"/>
        <v>0</v>
      </c>
    </row>
    <row r="101" spans="1:6" ht="45" customHeight="1" x14ac:dyDescent="0.25">
      <c r="A101" s="57">
        <v>7500</v>
      </c>
      <c r="B101" s="592" t="s">
        <v>562</v>
      </c>
      <c r="C101" s="593"/>
      <c r="D101" s="38"/>
      <c r="E101" s="38"/>
      <c r="F101" s="38">
        <f t="shared" si="3"/>
        <v>0</v>
      </c>
    </row>
    <row r="102" spans="1:6" ht="45" customHeight="1" x14ac:dyDescent="0.25">
      <c r="A102" s="57">
        <v>7600</v>
      </c>
      <c r="B102" s="592" t="s">
        <v>563</v>
      </c>
      <c r="C102" s="593"/>
      <c r="D102" s="38"/>
      <c r="E102" s="38"/>
      <c r="F102" s="38">
        <f t="shared" si="3"/>
        <v>0</v>
      </c>
    </row>
    <row r="103" spans="1:6" ht="30" customHeight="1" x14ac:dyDescent="0.25">
      <c r="A103" s="57">
        <v>7700</v>
      </c>
      <c r="B103" s="592" t="s">
        <v>564</v>
      </c>
      <c r="C103" s="593"/>
      <c r="D103" s="38">
        <f>SUM(D104)</f>
        <v>0</v>
      </c>
      <c r="E103" s="38">
        <f>SUM(E104)</f>
        <v>0</v>
      </c>
      <c r="F103" s="38">
        <f t="shared" si="3"/>
        <v>0</v>
      </c>
    </row>
    <row r="104" spans="1:6" ht="30" customHeight="1" x14ac:dyDescent="0.25">
      <c r="A104" s="581">
        <v>7701</v>
      </c>
      <c r="B104" s="582"/>
      <c r="C104" s="17" t="s">
        <v>564</v>
      </c>
      <c r="D104" s="54">
        <f>'CRI-M'!P104</f>
        <v>0</v>
      </c>
      <c r="E104" s="55"/>
      <c r="F104" s="55">
        <f t="shared" si="3"/>
        <v>0</v>
      </c>
    </row>
    <row r="105" spans="1:6" ht="30" customHeight="1" x14ac:dyDescent="0.25">
      <c r="A105" s="57">
        <v>7800</v>
      </c>
      <c r="B105" s="592" t="s">
        <v>565</v>
      </c>
      <c r="C105" s="593"/>
      <c r="D105" s="38"/>
      <c r="E105" s="38"/>
      <c r="F105" s="38">
        <f t="shared" si="3"/>
        <v>0</v>
      </c>
    </row>
    <row r="106" spans="1:6" x14ac:dyDescent="0.25">
      <c r="A106" s="57">
        <v>7900</v>
      </c>
      <c r="B106" s="592" t="s">
        <v>566</v>
      </c>
      <c r="C106" s="593"/>
      <c r="D106" s="38">
        <f>SUM(D107)</f>
        <v>0</v>
      </c>
      <c r="E106" s="38">
        <f>SUM(E107)</f>
        <v>0</v>
      </c>
      <c r="F106" s="38">
        <f t="shared" si="3"/>
        <v>0</v>
      </c>
    </row>
    <row r="107" spans="1:6" ht="15" customHeight="1" x14ac:dyDescent="0.25">
      <c r="A107" s="581">
        <v>7901</v>
      </c>
      <c r="B107" s="582"/>
      <c r="C107" s="17" t="s">
        <v>566</v>
      </c>
      <c r="D107" s="54">
        <f>'CRI-M'!P107</f>
        <v>0</v>
      </c>
      <c r="E107" s="55"/>
      <c r="F107" s="55">
        <f t="shared" si="3"/>
        <v>0</v>
      </c>
    </row>
    <row r="108" spans="1:6" ht="30" customHeight="1" x14ac:dyDescent="0.25">
      <c r="A108" s="51">
        <v>8000</v>
      </c>
      <c r="B108" s="594" t="s">
        <v>2419</v>
      </c>
      <c r="C108" s="595"/>
      <c r="D108" s="52">
        <f>D109+D122+D125+D130+D136</f>
        <v>61603159</v>
      </c>
      <c r="E108" s="52">
        <f>E109+E122+E125+E130+E136</f>
        <v>12572710</v>
      </c>
      <c r="F108" s="52">
        <f t="shared" si="3"/>
        <v>74175869</v>
      </c>
    </row>
    <row r="109" spans="1:6" x14ac:dyDescent="0.25">
      <c r="A109" s="53">
        <v>8100</v>
      </c>
      <c r="B109" s="592" t="s">
        <v>568</v>
      </c>
      <c r="C109" s="593"/>
      <c r="D109" s="38">
        <f>SUM(D110:D121)</f>
        <v>60697494</v>
      </c>
      <c r="E109" s="38">
        <f>SUM(E110:E121)</f>
        <v>0</v>
      </c>
      <c r="F109" s="38">
        <f t="shared" si="3"/>
        <v>60697494</v>
      </c>
    </row>
    <row r="110" spans="1:6" x14ac:dyDescent="0.25">
      <c r="A110" s="581">
        <v>8101</v>
      </c>
      <c r="B110" s="582"/>
      <c r="C110" s="17" t="s">
        <v>2192</v>
      </c>
      <c r="D110" s="54">
        <f>'CRI-M'!P110</f>
        <v>29482950</v>
      </c>
      <c r="E110" s="55"/>
      <c r="F110" s="55">
        <f t="shared" si="3"/>
        <v>29482950</v>
      </c>
    </row>
    <row r="111" spans="1:6" x14ac:dyDescent="0.25">
      <c r="A111" s="581">
        <v>8102</v>
      </c>
      <c r="B111" s="582"/>
      <c r="C111" s="17" t="s">
        <v>2193</v>
      </c>
      <c r="D111" s="54">
        <f>'CRI-M'!P111</f>
        <v>26552044</v>
      </c>
      <c r="E111" s="55"/>
      <c r="F111" s="55">
        <f t="shared" si="3"/>
        <v>26552044</v>
      </c>
    </row>
    <row r="112" spans="1:6" x14ac:dyDescent="0.25">
      <c r="A112" s="581">
        <v>8103</v>
      </c>
      <c r="B112" s="582"/>
      <c r="C112" s="17" t="s">
        <v>2194</v>
      </c>
      <c r="D112" s="54">
        <f>'CRI-M'!P112</f>
        <v>269507</v>
      </c>
      <c r="E112" s="55"/>
      <c r="F112" s="55">
        <f t="shared" si="3"/>
        <v>269507</v>
      </c>
    </row>
    <row r="113" spans="1:6" x14ac:dyDescent="0.25">
      <c r="A113" s="581">
        <v>8104</v>
      </c>
      <c r="B113" s="582"/>
      <c r="C113" s="17" t="s">
        <v>2195</v>
      </c>
      <c r="D113" s="54">
        <f>'CRI-M'!P113</f>
        <v>0</v>
      </c>
      <c r="E113" s="55"/>
      <c r="F113" s="55">
        <f t="shared" si="3"/>
        <v>0</v>
      </c>
    </row>
    <row r="114" spans="1:6" x14ac:dyDescent="0.25">
      <c r="A114" s="581">
        <v>8105</v>
      </c>
      <c r="B114" s="582"/>
      <c r="C114" s="17" t="s">
        <v>2196</v>
      </c>
      <c r="D114" s="54">
        <f>'CRI-M'!P114</f>
        <v>0</v>
      </c>
      <c r="E114" s="55"/>
      <c r="F114" s="55">
        <f t="shared" si="3"/>
        <v>0</v>
      </c>
    </row>
    <row r="115" spans="1:6" x14ac:dyDescent="0.25">
      <c r="A115" s="581">
        <v>8106</v>
      </c>
      <c r="B115" s="582"/>
      <c r="C115" s="17" t="s">
        <v>2197</v>
      </c>
      <c r="D115" s="54">
        <f>'CRI-M'!P115</f>
        <v>727800</v>
      </c>
      <c r="E115" s="55"/>
      <c r="F115" s="55">
        <f t="shared" si="3"/>
        <v>727800</v>
      </c>
    </row>
    <row r="116" spans="1:6" x14ac:dyDescent="0.25">
      <c r="A116" s="581">
        <v>8107</v>
      </c>
      <c r="B116" s="582"/>
      <c r="C116" s="17" t="s">
        <v>2198</v>
      </c>
      <c r="D116" s="54">
        <f>'CRI-M'!P116</f>
        <v>0</v>
      </c>
      <c r="E116" s="55"/>
      <c r="F116" s="55">
        <f t="shared" si="3"/>
        <v>0</v>
      </c>
    </row>
    <row r="117" spans="1:6" x14ac:dyDescent="0.25">
      <c r="A117" s="581">
        <v>8108</v>
      </c>
      <c r="B117" s="582"/>
      <c r="C117" s="17" t="s">
        <v>2199</v>
      </c>
      <c r="D117" s="54">
        <f>'CRI-M'!P117</f>
        <v>0</v>
      </c>
      <c r="E117" s="55"/>
      <c r="F117" s="55">
        <f t="shared" si="3"/>
        <v>0</v>
      </c>
    </row>
    <row r="118" spans="1:6" x14ac:dyDescent="0.25">
      <c r="A118" s="581">
        <v>8109</v>
      </c>
      <c r="B118" s="582"/>
      <c r="C118" s="17" t="s">
        <v>2200</v>
      </c>
      <c r="D118" s="54">
        <f>'CRI-M'!P118</f>
        <v>1228095</v>
      </c>
      <c r="E118" s="55"/>
      <c r="F118" s="55">
        <f t="shared" si="3"/>
        <v>1228095</v>
      </c>
    </row>
    <row r="119" spans="1:6" x14ac:dyDescent="0.25">
      <c r="A119" s="581">
        <v>8110</v>
      </c>
      <c r="B119" s="582"/>
      <c r="C119" s="17" t="s">
        <v>2201</v>
      </c>
      <c r="D119" s="54">
        <f>'CRI-M'!P119</f>
        <v>2410844</v>
      </c>
      <c r="E119" s="55"/>
      <c r="F119" s="55">
        <f t="shared" si="3"/>
        <v>2410844</v>
      </c>
    </row>
    <row r="120" spans="1:6" ht="30" x14ac:dyDescent="0.25">
      <c r="A120" s="581">
        <v>8111</v>
      </c>
      <c r="B120" s="582"/>
      <c r="C120" s="17" t="s">
        <v>2202</v>
      </c>
      <c r="D120" s="54">
        <f>'CRI-M'!P120</f>
        <v>0</v>
      </c>
      <c r="E120" s="55"/>
      <c r="F120" s="55">
        <f t="shared" si="3"/>
        <v>0</v>
      </c>
    </row>
    <row r="121" spans="1:6" x14ac:dyDescent="0.25">
      <c r="A121" s="581">
        <v>8112</v>
      </c>
      <c r="B121" s="582"/>
      <c r="C121" s="17" t="s">
        <v>580</v>
      </c>
      <c r="D121" s="54">
        <f>'CRI-M'!P121</f>
        <v>26254</v>
      </c>
      <c r="E121" s="55"/>
      <c r="F121" s="55">
        <f t="shared" si="3"/>
        <v>26254</v>
      </c>
    </row>
    <row r="122" spans="1:6" x14ac:dyDescent="0.25">
      <c r="A122" s="53">
        <v>8200</v>
      </c>
      <c r="B122" s="592" t="s">
        <v>581</v>
      </c>
      <c r="C122" s="593"/>
      <c r="D122" s="38">
        <f>SUM(D123:D124)</f>
        <v>0</v>
      </c>
      <c r="E122" s="38">
        <f>SUM(E123:E124)</f>
        <v>7572710</v>
      </c>
      <c r="F122" s="38">
        <f t="shared" si="3"/>
        <v>7572710</v>
      </c>
    </row>
    <row r="123" spans="1:6" x14ac:dyDescent="0.25">
      <c r="A123" s="581">
        <v>8201</v>
      </c>
      <c r="B123" s="582"/>
      <c r="C123" s="17" t="s">
        <v>582</v>
      </c>
      <c r="D123" s="55"/>
      <c r="E123" s="54">
        <f>'CRI-M'!P123</f>
        <v>4803977</v>
      </c>
      <c r="F123" s="55">
        <f t="shared" si="3"/>
        <v>4803977</v>
      </c>
    </row>
    <row r="124" spans="1:6" x14ac:dyDescent="0.25">
      <c r="A124" s="581">
        <v>8202</v>
      </c>
      <c r="B124" s="582"/>
      <c r="C124" s="17" t="s">
        <v>583</v>
      </c>
      <c r="D124" s="55"/>
      <c r="E124" s="54">
        <f>'CRI-M'!P124</f>
        <v>2768733</v>
      </c>
      <c r="F124" s="55">
        <f t="shared" si="3"/>
        <v>2768733</v>
      </c>
    </row>
    <row r="125" spans="1:6" x14ac:dyDescent="0.25">
      <c r="A125" s="53">
        <v>8300</v>
      </c>
      <c r="B125" s="592" t="s">
        <v>584</v>
      </c>
      <c r="C125" s="593"/>
      <c r="D125" s="38">
        <f>SUM(D126:D129)</f>
        <v>0</v>
      </c>
      <c r="E125" s="38">
        <f>SUM(E126:E129)</f>
        <v>5000000</v>
      </c>
      <c r="F125" s="38">
        <f t="shared" si="3"/>
        <v>5000000</v>
      </c>
    </row>
    <row r="126" spans="1:6" ht="15" customHeight="1" x14ac:dyDescent="0.25">
      <c r="A126" s="581">
        <v>8301</v>
      </c>
      <c r="B126" s="582"/>
      <c r="C126" s="21" t="s">
        <v>585</v>
      </c>
      <c r="D126" s="55"/>
      <c r="E126" s="54">
        <f>'CRI-M'!P126</f>
        <v>0</v>
      </c>
      <c r="F126" s="55">
        <f t="shared" si="3"/>
        <v>0</v>
      </c>
    </row>
    <row r="127" spans="1:6" ht="15" customHeight="1" x14ac:dyDescent="0.25">
      <c r="A127" s="581">
        <v>8302</v>
      </c>
      <c r="B127" s="582"/>
      <c r="C127" s="21" t="s">
        <v>586</v>
      </c>
      <c r="D127" s="55"/>
      <c r="E127" s="54">
        <f>'CRI-M'!P127</f>
        <v>0</v>
      </c>
      <c r="F127" s="55">
        <f t="shared" si="3"/>
        <v>0</v>
      </c>
    </row>
    <row r="128" spans="1:6" ht="15" customHeight="1" x14ac:dyDescent="0.25">
      <c r="A128" s="581">
        <v>8303</v>
      </c>
      <c r="B128" s="582"/>
      <c r="C128" s="21" t="s">
        <v>587</v>
      </c>
      <c r="D128" s="55"/>
      <c r="E128" s="54">
        <f>'CRI-M'!P128</f>
        <v>0</v>
      </c>
      <c r="F128" s="55">
        <f t="shared" si="3"/>
        <v>0</v>
      </c>
    </row>
    <row r="129" spans="1:6" ht="15" customHeight="1" x14ac:dyDescent="0.25">
      <c r="A129" s="581">
        <v>8304</v>
      </c>
      <c r="B129" s="582"/>
      <c r="C129" s="21" t="s">
        <v>2420</v>
      </c>
      <c r="D129" s="54">
        <f>'CRI-M'!P129</f>
        <v>0</v>
      </c>
      <c r="E129" s="54">
        <f>'CRI-M'!P130+'CRI-M'!P131</f>
        <v>5000000</v>
      </c>
      <c r="F129" s="55">
        <f t="shared" si="3"/>
        <v>5000000</v>
      </c>
    </row>
    <row r="130" spans="1:6" x14ac:dyDescent="0.25">
      <c r="A130" s="53">
        <v>8400</v>
      </c>
      <c r="B130" s="592" t="s">
        <v>444</v>
      </c>
      <c r="C130" s="593"/>
      <c r="D130" s="38">
        <f>SUM(D131:D135)</f>
        <v>905665</v>
      </c>
      <c r="E130" s="38">
        <f>SUM(E131:E135)</f>
        <v>0</v>
      </c>
      <c r="F130" s="38">
        <f t="shared" si="3"/>
        <v>905665</v>
      </c>
    </row>
    <row r="131" spans="1:6" x14ac:dyDescent="0.25">
      <c r="A131" s="581">
        <v>8401</v>
      </c>
      <c r="B131" s="582"/>
      <c r="C131" s="21" t="s">
        <v>588</v>
      </c>
      <c r="D131" s="54">
        <f>'CRI-M'!P133</f>
        <v>11</v>
      </c>
      <c r="E131" s="55"/>
      <c r="F131" s="55">
        <f t="shared" si="3"/>
        <v>11</v>
      </c>
    </row>
    <row r="132" spans="1:6" x14ac:dyDescent="0.25">
      <c r="A132" s="581">
        <v>8402</v>
      </c>
      <c r="B132" s="582"/>
      <c r="C132" s="21" t="s">
        <v>589</v>
      </c>
      <c r="D132" s="54">
        <f>'CRI-M'!P134</f>
        <v>114936</v>
      </c>
      <c r="E132" s="55"/>
      <c r="F132" s="55">
        <f t="shared" si="3"/>
        <v>114936</v>
      </c>
    </row>
    <row r="133" spans="1:6" x14ac:dyDescent="0.25">
      <c r="A133" s="581">
        <v>8403</v>
      </c>
      <c r="B133" s="582"/>
      <c r="C133" s="21" t="s">
        <v>590</v>
      </c>
      <c r="D133" s="54">
        <f>'CRI-M'!P135</f>
        <v>790718</v>
      </c>
      <c r="E133" s="55"/>
      <c r="F133" s="55">
        <f t="shared" si="3"/>
        <v>790718</v>
      </c>
    </row>
    <row r="134" spans="1:6" x14ac:dyDescent="0.25">
      <c r="A134" s="581">
        <v>8404</v>
      </c>
      <c r="B134" s="582"/>
      <c r="C134" s="21" t="s">
        <v>591</v>
      </c>
      <c r="D134" s="54">
        <f>'CRI-M'!P136</f>
        <v>0</v>
      </c>
      <c r="E134" s="55"/>
      <c r="F134" s="55">
        <f t="shared" si="3"/>
        <v>0</v>
      </c>
    </row>
    <row r="135" spans="1:6" x14ac:dyDescent="0.25">
      <c r="A135" s="581">
        <v>8405</v>
      </c>
      <c r="B135" s="582"/>
      <c r="C135" s="21" t="s">
        <v>592</v>
      </c>
      <c r="D135" s="54">
        <f>'CRI-M'!P137</f>
        <v>0</v>
      </c>
      <c r="E135" s="55"/>
      <c r="F135" s="55">
        <f t="shared" si="3"/>
        <v>0</v>
      </c>
    </row>
    <row r="136" spans="1:6" x14ac:dyDescent="0.25">
      <c r="A136" s="53">
        <v>8500</v>
      </c>
      <c r="B136" s="592" t="s">
        <v>593</v>
      </c>
      <c r="C136" s="593"/>
      <c r="D136" s="38">
        <f>SUM(D137:D138)</f>
        <v>0</v>
      </c>
      <c r="E136" s="38">
        <f>SUM(E137:E138)</f>
        <v>0</v>
      </c>
      <c r="F136" s="38">
        <f t="shared" si="3"/>
        <v>0</v>
      </c>
    </row>
    <row r="137" spans="1:6" ht="30" x14ac:dyDescent="0.25">
      <c r="A137" s="581">
        <v>8501</v>
      </c>
      <c r="B137" s="582"/>
      <c r="C137" s="21" t="s">
        <v>594</v>
      </c>
      <c r="D137" s="55"/>
      <c r="E137" s="54">
        <f>'CRI-M'!P139</f>
        <v>0</v>
      </c>
      <c r="F137" s="55">
        <f t="shared" si="3"/>
        <v>0</v>
      </c>
    </row>
    <row r="138" spans="1:6" x14ac:dyDescent="0.25">
      <c r="A138" s="581">
        <v>8502</v>
      </c>
      <c r="B138" s="582"/>
      <c r="C138" s="21" t="s">
        <v>595</v>
      </c>
      <c r="D138" s="55"/>
      <c r="E138" s="54">
        <f>'CRI-M'!P140</f>
        <v>0</v>
      </c>
      <c r="F138" s="55">
        <f t="shared" si="3"/>
        <v>0</v>
      </c>
    </row>
    <row r="139" spans="1:6" ht="30" customHeight="1" x14ac:dyDescent="0.25">
      <c r="A139" s="51">
        <v>9000</v>
      </c>
      <c r="B139" s="594" t="s">
        <v>2421</v>
      </c>
      <c r="C139" s="595"/>
      <c r="D139" s="52">
        <f>D140+D142+D143+D145+D146+D148+D149</f>
        <v>0</v>
      </c>
      <c r="E139" s="52">
        <f>E140+E142+E143+E145+E146+E148+E149</f>
        <v>0</v>
      </c>
      <c r="F139" s="52">
        <f t="shared" si="3"/>
        <v>0</v>
      </c>
    </row>
    <row r="140" spans="1:6" x14ac:dyDescent="0.25">
      <c r="A140" s="58">
        <v>9100</v>
      </c>
      <c r="B140" s="592" t="s">
        <v>597</v>
      </c>
      <c r="C140" s="593"/>
      <c r="D140" s="38">
        <f>SUM(D141)</f>
        <v>0</v>
      </c>
      <c r="E140" s="38">
        <f>SUM(E141)</f>
        <v>0</v>
      </c>
      <c r="F140" s="38">
        <f t="shared" si="3"/>
        <v>0</v>
      </c>
    </row>
    <row r="141" spans="1:6" x14ac:dyDescent="0.25">
      <c r="A141" s="581">
        <v>9101</v>
      </c>
      <c r="B141" s="582"/>
      <c r="C141" s="17" t="s">
        <v>597</v>
      </c>
      <c r="D141" s="54">
        <f>'CRI-M'!P143</f>
        <v>0</v>
      </c>
      <c r="E141" s="54">
        <f>'CRI-M'!P144+'CRI-M'!P145</f>
        <v>0</v>
      </c>
      <c r="F141" s="55">
        <f t="shared" si="3"/>
        <v>0</v>
      </c>
    </row>
    <row r="142" spans="1:6" x14ac:dyDescent="0.25">
      <c r="A142" s="53">
        <v>9200</v>
      </c>
      <c r="B142" s="592" t="s">
        <v>2422</v>
      </c>
      <c r="C142" s="593"/>
      <c r="D142" s="38"/>
      <c r="E142" s="38"/>
      <c r="F142" s="38">
        <f t="shared" si="3"/>
        <v>0</v>
      </c>
    </row>
    <row r="143" spans="1:6" x14ac:dyDescent="0.25">
      <c r="A143" s="53">
        <v>9300</v>
      </c>
      <c r="B143" s="592" t="s">
        <v>599</v>
      </c>
      <c r="C143" s="593"/>
      <c r="D143" s="38">
        <f>SUM(D144)</f>
        <v>0</v>
      </c>
      <c r="E143" s="38">
        <f>SUM(E144)</f>
        <v>0</v>
      </c>
      <c r="F143" s="38">
        <f t="shared" si="3"/>
        <v>0</v>
      </c>
    </row>
    <row r="144" spans="1:6" x14ac:dyDescent="0.25">
      <c r="A144" s="581">
        <v>9301</v>
      </c>
      <c r="B144" s="582"/>
      <c r="C144" s="17" t="s">
        <v>599</v>
      </c>
      <c r="D144" s="54">
        <f>'CRI-M'!P148</f>
        <v>0</v>
      </c>
      <c r="E144" s="54">
        <f>'CRI-M'!P149+'CRI-M'!P150</f>
        <v>0</v>
      </c>
      <c r="F144" s="55">
        <f t="shared" si="3"/>
        <v>0</v>
      </c>
    </row>
    <row r="145" spans="1:6" x14ac:dyDescent="0.25">
      <c r="A145" s="53">
        <v>9400</v>
      </c>
      <c r="B145" s="592" t="s">
        <v>2423</v>
      </c>
      <c r="C145" s="593"/>
      <c r="D145" s="38"/>
      <c r="E145" s="38"/>
      <c r="F145" s="38">
        <f t="shared" si="3"/>
        <v>0</v>
      </c>
    </row>
    <row r="146" spans="1:6" x14ac:dyDescent="0.25">
      <c r="A146" s="53">
        <v>9500</v>
      </c>
      <c r="B146" s="592" t="s">
        <v>601</v>
      </c>
      <c r="C146" s="593"/>
      <c r="D146" s="38">
        <f>SUM(D147)</f>
        <v>0</v>
      </c>
      <c r="E146" s="38">
        <f>SUM(E147)</f>
        <v>0</v>
      </c>
      <c r="F146" s="38">
        <f t="shared" ref="F146:F155" si="4">D146+E146</f>
        <v>0</v>
      </c>
    </row>
    <row r="147" spans="1:6" x14ac:dyDescent="0.25">
      <c r="A147" s="581">
        <v>9501</v>
      </c>
      <c r="B147" s="582"/>
      <c r="C147" s="17" t="s">
        <v>601</v>
      </c>
      <c r="D147" s="54">
        <f>'CRI-M'!P153</f>
        <v>0</v>
      </c>
      <c r="E147" s="55"/>
      <c r="F147" s="55">
        <f t="shared" si="4"/>
        <v>0</v>
      </c>
    </row>
    <row r="148" spans="1:6" x14ac:dyDescent="0.25">
      <c r="A148" s="53">
        <v>9600</v>
      </c>
      <c r="B148" s="592" t="s">
        <v>2424</v>
      </c>
      <c r="C148" s="593"/>
      <c r="D148" s="38"/>
      <c r="E148" s="38"/>
      <c r="F148" s="38">
        <f t="shared" si="4"/>
        <v>0</v>
      </c>
    </row>
    <row r="149" spans="1:6" ht="30" customHeight="1" x14ac:dyDescent="0.25">
      <c r="A149" s="53">
        <v>9700</v>
      </c>
      <c r="B149" s="592" t="s">
        <v>603</v>
      </c>
      <c r="C149" s="593"/>
      <c r="D149" s="38">
        <f>SUM(D150)</f>
        <v>0</v>
      </c>
      <c r="E149" s="38">
        <f>SUM(E150)</f>
        <v>0</v>
      </c>
      <c r="F149" s="38">
        <f t="shared" si="4"/>
        <v>0</v>
      </c>
    </row>
    <row r="150" spans="1:6" ht="30" x14ac:dyDescent="0.25">
      <c r="A150" s="581" t="s">
        <v>610</v>
      </c>
      <c r="B150" s="582"/>
      <c r="C150" s="17" t="s">
        <v>603</v>
      </c>
      <c r="D150" s="54">
        <f>'CRI-M'!P156</f>
        <v>0</v>
      </c>
      <c r="E150" s="55"/>
      <c r="F150" s="55">
        <f t="shared" si="4"/>
        <v>0</v>
      </c>
    </row>
    <row r="151" spans="1:6" x14ac:dyDescent="0.25">
      <c r="A151" s="51">
        <v>0</v>
      </c>
      <c r="B151" s="594" t="s">
        <v>503</v>
      </c>
      <c r="C151" s="595"/>
      <c r="D151" s="52">
        <f>D152+D153+D154</f>
        <v>0</v>
      </c>
      <c r="E151" s="52">
        <f>E152+E153+E154</f>
        <v>0</v>
      </c>
      <c r="F151" s="52">
        <f t="shared" si="4"/>
        <v>0</v>
      </c>
    </row>
    <row r="152" spans="1:6" x14ac:dyDescent="0.25">
      <c r="A152" s="53">
        <v>100</v>
      </c>
      <c r="B152" s="592" t="s">
        <v>604</v>
      </c>
      <c r="C152" s="593"/>
      <c r="D152" s="38"/>
      <c r="E152" s="38"/>
      <c r="F152" s="38">
        <f t="shared" si="4"/>
        <v>0</v>
      </c>
    </row>
    <row r="153" spans="1:6" x14ac:dyDescent="0.25">
      <c r="A153" s="53">
        <v>200</v>
      </c>
      <c r="B153" s="592" t="s">
        <v>605</v>
      </c>
      <c r="C153" s="593"/>
      <c r="D153" s="38"/>
      <c r="E153" s="38"/>
      <c r="F153" s="38">
        <f t="shared" si="4"/>
        <v>0</v>
      </c>
    </row>
    <row r="154" spans="1:6" x14ac:dyDescent="0.25">
      <c r="A154" s="53">
        <v>300</v>
      </c>
      <c r="B154" s="592" t="s">
        <v>606</v>
      </c>
      <c r="C154" s="593"/>
      <c r="D154" s="38">
        <f>SUM(D155)</f>
        <v>0</v>
      </c>
      <c r="E154" s="38">
        <f>SUM(E155)</f>
        <v>0</v>
      </c>
      <c r="F154" s="38">
        <f t="shared" si="4"/>
        <v>0</v>
      </c>
    </row>
    <row r="155" spans="1:6" x14ac:dyDescent="0.25">
      <c r="A155" s="598">
        <v>301</v>
      </c>
      <c r="B155" s="599"/>
      <c r="C155" s="17" t="s">
        <v>606</v>
      </c>
      <c r="D155" s="55"/>
      <c r="E155" s="54">
        <f>'CRI-M'!P161</f>
        <v>0</v>
      </c>
      <c r="F155" s="55">
        <f t="shared" si="4"/>
        <v>0</v>
      </c>
    </row>
    <row r="156" spans="1:6" ht="15.75" x14ac:dyDescent="0.25">
      <c r="A156" s="528" t="s">
        <v>2204</v>
      </c>
      <c r="B156" s="580"/>
      <c r="C156" s="529"/>
      <c r="D156" s="59">
        <f>D7+D28+D34+D39+D71+D78+D94+D108+D139+D151</f>
        <v>66538693</v>
      </c>
      <c r="E156" s="59">
        <f>E7+E28+E34+E39+E71+E78+E94+E108+E139+E151</f>
        <v>12572710</v>
      </c>
      <c r="F156" s="59">
        <f>F7+F28+F34+F39+F71+F78+F94+F108+F139+F151</f>
        <v>79111403</v>
      </c>
    </row>
    <row r="157" spans="1:6" ht="15.75" x14ac:dyDescent="0.25">
      <c r="A157" s="528" t="s">
        <v>2365</v>
      </c>
      <c r="B157" s="580"/>
      <c r="C157" s="529"/>
      <c r="D157" s="59">
        <f>SUM('CRI-M'!P163:P168)</f>
        <v>0</v>
      </c>
      <c r="E157" s="59">
        <f>SUM('CRI-M'!P169:P171)</f>
        <v>0</v>
      </c>
      <c r="F157" s="59">
        <f>D157+E157</f>
        <v>0</v>
      </c>
    </row>
    <row r="158" spans="1:6" ht="15.75" x14ac:dyDescent="0.25">
      <c r="A158" s="528" t="s">
        <v>2425</v>
      </c>
      <c r="B158" s="580"/>
      <c r="C158" s="529"/>
      <c r="D158" s="59">
        <f>D156+D157</f>
        <v>66538693</v>
      </c>
      <c r="E158" s="59">
        <f>E156+E157</f>
        <v>12572710</v>
      </c>
      <c r="F158" s="59">
        <f>F156+F157</f>
        <v>79111403</v>
      </c>
    </row>
    <row r="159" spans="1:6" ht="6.75" customHeight="1" x14ac:dyDescent="0.25"/>
    <row r="160" spans="1:6" ht="9.75" hidden="1" customHeight="1" x14ac:dyDescent="0.25"/>
    <row r="161" ht="12" hidden="1" customHeight="1" x14ac:dyDescent="0.25"/>
  </sheetData>
  <sheetProtection algorithmName="SHA-512" hashValue="h0wh/pi3+NmOslk7+2r7rtJIqke/LGI8xcsiZVNGdYzDSTAnQ2t9gFLMVPtFsBhbe2ysNbrGriFzmhpLtCQZgw==" saltValue="Dx5xziWLpdT+Pphd8K6HiQ=="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4"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pageSetUpPr fitToPage="1"/>
  </sheetPr>
  <dimension ref="A1:N435"/>
  <sheetViews>
    <sheetView showGridLines="0" zoomScale="110" zoomScaleNormal="110" workbookViewId="0">
      <pane xSplit="2" ySplit="7" topLeftCell="C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2541</v>
      </c>
    </row>
    <row r="3" spans="1:13" ht="21" x14ac:dyDescent="0.35">
      <c r="A3" s="300" t="str">
        <f>Inconsistencias!$B$6&amp;IF(LOOKUP(Inconsistencias!$B$6,EF!$C$2:$C$1001,EF!$I$2:I$1001)="Dependencia",", Jalisco","")</f>
        <v>San Cristóbal de la Barranca, Jalisco</v>
      </c>
    </row>
    <row r="4" spans="1:13" ht="18.75" x14ac:dyDescent="0.3">
      <c r="A4" s="301" t="str">
        <f>"Ejercicio Fiscal "&amp;Inconsistencias!U2</f>
        <v>Ejercicio Fiscal 2025</v>
      </c>
    </row>
    <row r="5" spans="1:13" x14ac:dyDescent="0.25"/>
    <row r="6" spans="1:13" ht="15.75" customHeight="1" x14ac:dyDescent="0.25">
      <c r="A6" s="600" t="s">
        <v>626</v>
      </c>
      <c r="B6" s="602" t="s">
        <v>2167</v>
      </c>
      <c r="C6" s="604" t="s">
        <v>2426</v>
      </c>
      <c r="D6" s="605"/>
      <c r="E6" s="605"/>
      <c r="F6" s="605"/>
      <c r="G6" s="605"/>
      <c r="H6" s="605"/>
      <c r="I6" s="605"/>
      <c r="J6" s="606" t="s">
        <v>2427</v>
      </c>
      <c r="K6" s="606"/>
      <c r="L6" s="606"/>
      <c r="M6" s="607" t="s">
        <v>2243</v>
      </c>
    </row>
    <row r="7" spans="1:13" ht="51" x14ac:dyDescent="0.25">
      <c r="A7" s="601"/>
      <c r="B7" s="603"/>
      <c r="C7" s="259" t="s">
        <v>2256</v>
      </c>
      <c r="D7" s="85" t="s">
        <v>2257</v>
      </c>
      <c r="E7" s="85" t="s">
        <v>2258</v>
      </c>
      <c r="F7" s="85" t="s">
        <v>2259</v>
      </c>
      <c r="G7" s="85" t="s">
        <v>2260</v>
      </c>
      <c r="H7" s="85" t="s">
        <v>2261</v>
      </c>
      <c r="I7" s="85" t="s">
        <v>2262</v>
      </c>
      <c r="J7" s="86" t="s">
        <v>2263</v>
      </c>
      <c r="K7" s="86" t="s">
        <v>2264</v>
      </c>
      <c r="L7" s="86" t="s">
        <v>2265</v>
      </c>
      <c r="M7" s="608"/>
    </row>
    <row r="8" spans="1:13" ht="15" customHeight="1" x14ac:dyDescent="0.25">
      <c r="A8" s="111">
        <v>1000</v>
      </c>
      <c r="B8" s="112" t="s">
        <v>2371</v>
      </c>
      <c r="C8" s="61">
        <f t="shared" ref="C8:L8" si="0">C9+C14+C19+C28+C33+C40+C42</f>
        <v>794015</v>
      </c>
      <c r="D8" s="83">
        <f t="shared" si="0"/>
        <v>0</v>
      </c>
      <c r="E8" s="83">
        <f t="shared" si="0"/>
        <v>0</v>
      </c>
      <c r="F8" s="83">
        <f t="shared" si="0"/>
        <v>0</v>
      </c>
      <c r="G8" s="83">
        <f t="shared" si="0"/>
        <v>30052623</v>
      </c>
      <c r="H8" s="83">
        <f t="shared" si="0"/>
        <v>0</v>
      </c>
      <c r="I8" s="83">
        <f t="shared" si="0"/>
        <v>0</v>
      </c>
      <c r="J8" s="83">
        <f t="shared" si="0"/>
        <v>52461</v>
      </c>
      <c r="K8" s="83">
        <f t="shared" si="0"/>
        <v>0</v>
      </c>
      <c r="L8" s="83">
        <f t="shared" si="0"/>
        <v>0</v>
      </c>
      <c r="M8" s="52">
        <f>M9+M14+M19+M28+M33+M40+M42</f>
        <v>30899099</v>
      </c>
    </row>
    <row r="9" spans="1:13" ht="15" customHeight="1" x14ac:dyDescent="0.25">
      <c r="A9" s="113">
        <v>1100</v>
      </c>
      <c r="B9" s="114" t="s">
        <v>2277</v>
      </c>
      <c r="C9" s="63">
        <f t="shared" ref="C9:I9" si="1">SUM(C10:C13)</f>
        <v>0</v>
      </c>
      <c r="D9" s="38">
        <f t="shared" si="1"/>
        <v>0</v>
      </c>
      <c r="E9" s="38">
        <f t="shared" si="1"/>
        <v>0</v>
      </c>
      <c r="F9" s="38">
        <f t="shared" si="1"/>
        <v>0</v>
      </c>
      <c r="G9" s="38">
        <f t="shared" si="1"/>
        <v>23020980</v>
      </c>
      <c r="H9" s="38">
        <f t="shared" si="1"/>
        <v>0</v>
      </c>
      <c r="I9" s="38">
        <f t="shared" si="1"/>
        <v>0</v>
      </c>
      <c r="J9" s="38">
        <f>SUM(J10:J13)</f>
        <v>0</v>
      </c>
      <c r="K9" s="38">
        <f>SUM(K10:K13)</f>
        <v>0</v>
      </c>
      <c r="L9" s="38">
        <f>SUM(L10:L13)</f>
        <v>0</v>
      </c>
      <c r="M9" s="38">
        <f>SUM(M10:M13)</f>
        <v>23020980</v>
      </c>
    </row>
    <row r="10" spans="1:13" ht="15" customHeight="1" x14ac:dyDescent="0.25">
      <c r="A10" s="115">
        <v>111</v>
      </c>
      <c r="B10" s="88" t="s">
        <v>2278</v>
      </c>
      <c r="C10" s="116">
        <f>'COG-M'!P9</f>
        <v>0</v>
      </c>
      <c r="D10" s="116">
        <f>'COG-M'!P10</f>
        <v>0</v>
      </c>
      <c r="E10" s="116">
        <f>'COG-M'!P11</f>
        <v>0</v>
      </c>
      <c r="F10" s="116">
        <f>'COG-M'!P12</f>
        <v>0</v>
      </c>
      <c r="G10" s="116">
        <f>'COG-M'!P13</f>
        <v>2507832</v>
      </c>
      <c r="H10" s="116">
        <f>'COG-M'!P14</f>
        <v>0</v>
      </c>
      <c r="I10" s="116">
        <f>'COG-M'!P15</f>
        <v>0</v>
      </c>
      <c r="J10" s="116">
        <f>'COG-M'!P16</f>
        <v>0</v>
      </c>
      <c r="K10" s="116">
        <f>'COG-M'!P17</f>
        <v>0</v>
      </c>
      <c r="L10" s="116">
        <f>'COG-M'!P18</f>
        <v>0</v>
      </c>
      <c r="M10" s="54">
        <f>SUM(C10:L10)</f>
        <v>2507832</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20513148</v>
      </c>
      <c r="H12" s="116">
        <f>'COG-M'!P25</f>
        <v>0</v>
      </c>
      <c r="I12" s="116">
        <f>'COG-M'!P26</f>
        <v>0</v>
      </c>
      <c r="J12" s="116">
        <f>'COG-M'!P27</f>
        <v>0</v>
      </c>
      <c r="K12" s="116">
        <f>'COG-M'!P28</f>
        <v>0</v>
      </c>
      <c r="L12" s="116">
        <f>'COG-M'!P29</f>
        <v>0</v>
      </c>
      <c r="M12" s="54">
        <f>SUM(C12:L12)</f>
        <v>20513148</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2279</v>
      </c>
      <c r="C14" s="63">
        <f>SUM(C15:C18)</f>
        <v>648650</v>
      </c>
      <c r="D14" s="38">
        <f t="shared" ref="D14:M14" si="2">SUM(D15:D18)</f>
        <v>0</v>
      </c>
      <c r="E14" s="38">
        <f t="shared" si="2"/>
        <v>0</v>
      </c>
      <c r="F14" s="38">
        <f t="shared" si="2"/>
        <v>0</v>
      </c>
      <c r="G14" s="38">
        <f t="shared" si="2"/>
        <v>1826903</v>
      </c>
      <c r="H14" s="38">
        <f t="shared" si="2"/>
        <v>0</v>
      </c>
      <c r="I14" s="38">
        <f t="shared" si="2"/>
        <v>0</v>
      </c>
      <c r="J14" s="38">
        <f t="shared" si="2"/>
        <v>0</v>
      </c>
      <c r="K14" s="38">
        <f t="shared" si="2"/>
        <v>0</v>
      </c>
      <c r="L14" s="38">
        <f t="shared" si="2"/>
        <v>0</v>
      </c>
      <c r="M14" s="38">
        <f t="shared" si="2"/>
        <v>2475553</v>
      </c>
    </row>
    <row r="15" spans="1:13" x14ac:dyDescent="0.2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5">
        <v>122</v>
      </c>
      <c r="B16" s="88" t="s">
        <v>26</v>
      </c>
      <c r="C16" s="116">
        <f>'COG-M'!P51</f>
        <v>648650</v>
      </c>
      <c r="D16" s="116">
        <f>'COG-M'!P52</f>
        <v>0</v>
      </c>
      <c r="E16" s="116">
        <f>'COG-M'!P53</f>
        <v>0</v>
      </c>
      <c r="F16" s="54">
        <f>'COG-M'!P54</f>
        <v>0</v>
      </c>
      <c r="G16" s="54">
        <f>'COG-M'!P55</f>
        <v>1826903</v>
      </c>
      <c r="H16" s="54">
        <f>'COG-M'!P56</f>
        <v>0</v>
      </c>
      <c r="I16" s="54">
        <f>'COG-M'!P57</f>
        <v>0</v>
      </c>
      <c r="J16" s="54">
        <f>'COG-M'!P58</f>
        <v>0</v>
      </c>
      <c r="K16" s="54">
        <f>'COG-M'!P59</f>
        <v>0</v>
      </c>
      <c r="L16" s="54">
        <f>'COG-M'!P60</f>
        <v>0</v>
      </c>
      <c r="M16" s="54">
        <f>SUM(C16:L16)</f>
        <v>2475553</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2280</v>
      </c>
      <c r="C19" s="63">
        <f t="shared" ref="C19:M19" si="3">SUM(C20:C27)</f>
        <v>0</v>
      </c>
      <c r="D19" s="38">
        <f t="shared" si="3"/>
        <v>0</v>
      </c>
      <c r="E19" s="38">
        <f t="shared" si="3"/>
        <v>0</v>
      </c>
      <c r="F19" s="38">
        <f t="shared" si="3"/>
        <v>0</v>
      </c>
      <c r="G19" s="38">
        <f t="shared" si="3"/>
        <v>3997175</v>
      </c>
      <c r="H19" s="38">
        <f t="shared" si="3"/>
        <v>0</v>
      </c>
      <c r="I19" s="38">
        <f t="shared" si="3"/>
        <v>0</v>
      </c>
      <c r="J19" s="38">
        <f t="shared" si="3"/>
        <v>0</v>
      </c>
      <c r="K19" s="38">
        <f t="shared" si="3"/>
        <v>0</v>
      </c>
      <c r="L19" s="38">
        <f t="shared" si="3"/>
        <v>0</v>
      </c>
      <c r="M19" s="38">
        <f t="shared" si="3"/>
        <v>3997175</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0</v>
      </c>
      <c r="D21" s="54">
        <f>'COG-M'!P84</f>
        <v>0</v>
      </c>
      <c r="E21" s="54">
        <f>'COG-M'!P85</f>
        <v>0</v>
      </c>
      <c r="F21" s="54">
        <f>'COG-M'!P86</f>
        <v>0</v>
      </c>
      <c r="G21" s="54">
        <f>'COG-M'!P87</f>
        <v>3824236</v>
      </c>
      <c r="H21" s="54">
        <f>'COG-M'!P88</f>
        <v>0</v>
      </c>
      <c r="I21" s="54">
        <f>'COG-M'!P89</f>
        <v>0</v>
      </c>
      <c r="J21" s="54">
        <f>'COG-M'!P90</f>
        <v>0</v>
      </c>
      <c r="K21" s="54">
        <f>'COG-M'!P91</f>
        <v>0</v>
      </c>
      <c r="L21" s="54">
        <f>'COG-M'!P92</f>
        <v>0</v>
      </c>
      <c r="M21" s="54">
        <f t="shared" si="4"/>
        <v>3824236</v>
      </c>
    </row>
    <row r="22" spans="1:13" x14ac:dyDescent="0.25">
      <c r="A22" s="115">
        <v>133</v>
      </c>
      <c r="B22" s="88" t="s">
        <v>32</v>
      </c>
      <c r="C22" s="116">
        <f>'COG-M'!P93</f>
        <v>0</v>
      </c>
      <c r="D22" s="54">
        <f>'COG-M'!P94</f>
        <v>0</v>
      </c>
      <c r="E22" s="54">
        <f>'COG-M'!P95</f>
        <v>0</v>
      </c>
      <c r="F22" s="54">
        <f>'COG-M'!P96</f>
        <v>0</v>
      </c>
      <c r="G22" s="54">
        <f>'COG-M'!P97</f>
        <v>172939</v>
      </c>
      <c r="H22" s="54">
        <f>'COG-M'!P98</f>
        <v>0</v>
      </c>
      <c r="I22" s="54">
        <f>'COG-M'!P99</f>
        <v>0</v>
      </c>
      <c r="J22" s="54">
        <f>'COG-M'!P100</f>
        <v>0</v>
      </c>
      <c r="K22" s="54">
        <f>'COG-M'!P101</f>
        <v>0</v>
      </c>
      <c r="L22" s="54">
        <f>'COG-M'!P102</f>
        <v>0</v>
      </c>
      <c r="M22" s="54">
        <f t="shared" si="4"/>
        <v>172939</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2281</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145365</v>
      </c>
      <c r="D33" s="38">
        <f t="shared" si="6"/>
        <v>0</v>
      </c>
      <c r="E33" s="38">
        <f t="shared" si="6"/>
        <v>0</v>
      </c>
      <c r="F33" s="38">
        <f t="shared" si="6"/>
        <v>0</v>
      </c>
      <c r="G33" s="38">
        <f t="shared" si="6"/>
        <v>1207565</v>
      </c>
      <c r="H33" s="38">
        <f t="shared" si="6"/>
        <v>0</v>
      </c>
      <c r="I33" s="38">
        <f t="shared" si="6"/>
        <v>0</v>
      </c>
      <c r="J33" s="38">
        <f t="shared" si="6"/>
        <v>52461</v>
      </c>
      <c r="K33" s="38">
        <f t="shared" si="6"/>
        <v>0</v>
      </c>
      <c r="L33" s="38">
        <f t="shared" si="6"/>
        <v>0</v>
      </c>
      <c r="M33" s="38">
        <f t="shared" si="6"/>
        <v>1405391</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107470</v>
      </c>
      <c r="D35" s="54">
        <f>'COG-M'!P188</f>
        <v>0</v>
      </c>
      <c r="E35" s="54">
        <f>'COG-M'!P189</f>
        <v>0</v>
      </c>
      <c r="F35" s="54">
        <f>'COG-M'!P190</f>
        <v>0</v>
      </c>
      <c r="G35" s="54">
        <f>'COG-M'!P191</f>
        <v>611292</v>
      </c>
      <c r="H35" s="54">
        <f>'COG-M'!P192</f>
        <v>0</v>
      </c>
      <c r="I35" s="54">
        <f>'COG-M'!P193</f>
        <v>0</v>
      </c>
      <c r="J35" s="54">
        <f>'COG-M'!P194</f>
        <v>0</v>
      </c>
      <c r="K35" s="54">
        <f>'COG-M'!P195</f>
        <v>0</v>
      </c>
      <c r="L35" s="54">
        <f>'COG-M'!P196</f>
        <v>0</v>
      </c>
      <c r="M35" s="54">
        <f t="shared" si="7"/>
        <v>718762</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37895</v>
      </c>
      <c r="D39" s="54">
        <f>'COG-M'!P228</f>
        <v>0</v>
      </c>
      <c r="E39" s="54">
        <f>'COG-M'!P229</f>
        <v>0</v>
      </c>
      <c r="F39" s="54">
        <f>'COG-M'!P230</f>
        <v>0</v>
      </c>
      <c r="G39" s="54">
        <f>'COG-M'!P231</f>
        <v>596273</v>
      </c>
      <c r="H39" s="54">
        <f>'COG-M'!P232</f>
        <v>0</v>
      </c>
      <c r="I39" s="54">
        <f>'COG-M'!P233</f>
        <v>0</v>
      </c>
      <c r="J39" s="54">
        <f>'COG-M'!P234</f>
        <v>52461</v>
      </c>
      <c r="K39" s="54">
        <f>'COG-M'!P235</f>
        <v>0</v>
      </c>
      <c r="L39" s="54">
        <f>'COG-M'!P236</f>
        <v>0</v>
      </c>
      <c r="M39" s="54">
        <f t="shared" si="7"/>
        <v>686629</v>
      </c>
    </row>
    <row r="40" spans="1:13" x14ac:dyDescent="0.25">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2282</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2429</v>
      </c>
      <c r="C45" s="67">
        <f t="shared" ref="C45:I45" si="10">C46+C55+C59+C69+C79+C87+C90+C96+C100</f>
        <v>2849338</v>
      </c>
      <c r="D45" s="68">
        <f t="shared" si="10"/>
        <v>0</v>
      </c>
      <c r="E45" s="68">
        <f t="shared" si="10"/>
        <v>0</v>
      </c>
      <c r="F45" s="68">
        <f t="shared" si="10"/>
        <v>0</v>
      </c>
      <c r="G45" s="68">
        <f t="shared" si="10"/>
        <v>10669599</v>
      </c>
      <c r="H45" s="68">
        <f t="shared" si="10"/>
        <v>26254</v>
      </c>
      <c r="I45" s="68">
        <f t="shared" si="10"/>
        <v>0</v>
      </c>
      <c r="J45" s="68">
        <f>J46+J55+J59+J69+J79+J87+J90+J96+J100</f>
        <v>2410870</v>
      </c>
      <c r="K45" s="68">
        <f>K46+K55+K59+K69+K79+K87+K90+K96+K100</f>
        <v>0</v>
      </c>
      <c r="L45" s="68">
        <f>L46+L55+L59+L69+L79+L87+L90+L96+L100</f>
        <v>0</v>
      </c>
      <c r="M45" s="69">
        <f>M46+M55+M59+M69+M79+M87+M90+M96+M100</f>
        <v>15956061</v>
      </c>
    </row>
    <row r="46" spans="1:13" ht="30" x14ac:dyDescent="0.25">
      <c r="A46" s="113">
        <v>2100</v>
      </c>
      <c r="B46" s="114" t="s">
        <v>2430</v>
      </c>
      <c r="C46" s="70">
        <f t="shared" ref="C46:I46" si="11">SUM(C47:C54)</f>
        <v>353249</v>
      </c>
      <c r="D46" s="71">
        <f t="shared" si="11"/>
        <v>0</v>
      </c>
      <c r="E46" s="71">
        <f t="shared" si="11"/>
        <v>0</v>
      </c>
      <c r="F46" s="71">
        <f t="shared" si="11"/>
        <v>0</v>
      </c>
      <c r="G46" s="71">
        <f t="shared" si="11"/>
        <v>995050</v>
      </c>
      <c r="H46" s="71">
        <f t="shared" si="11"/>
        <v>26254</v>
      </c>
      <c r="I46" s="71">
        <f t="shared" si="11"/>
        <v>0</v>
      </c>
      <c r="J46" s="71">
        <f>SUM(J47:J54)</f>
        <v>0</v>
      </c>
      <c r="K46" s="71">
        <f>SUM(K47:K54)</f>
        <v>0</v>
      </c>
      <c r="L46" s="71">
        <f>SUM(L47:L54)</f>
        <v>0</v>
      </c>
      <c r="M46" s="71">
        <f>SUM(M47:M54)</f>
        <v>1374553</v>
      </c>
    </row>
    <row r="47" spans="1:13" x14ac:dyDescent="0.25">
      <c r="A47" s="115">
        <v>211</v>
      </c>
      <c r="B47" s="88" t="s">
        <v>57</v>
      </c>
      <c r="C47" s="116">
        <f>'COG-M'!P271</f>
        <v>159086</v>
      </c>
      <c r="D47" s="54">
        <f>'COG-M'!P272</f>
        <v>0</v>
      </c>
      <c r="E47" s="54">
        <f>'COG-M'!P273</f>
        <v>0</v>
      </c>
      <c r="F47" s="54">
        <f>'COG-M'!P274</f>
        <v>0</v>
      </c>
      <c r="G47" s="54">
        <f>'COG-M'!P275</f>
        <v>346625</v>
      </c>
      <c r="H47" s="54">
        <f>'COG-M'!P276</f>
        <v>26254</v>
      </c>
      <c r="I47" s="54">
        <f>'COG-M'!P277</f>
        <v>0</v>
      </c>
      <c r="J47" s="54">
        <f>'COG-M'!P278</f>
        <v>0</v>
      </c>
      <c r="K47" s="54">
        <f>'COG-M'!P279</f>
        <v>0</v>
      </c>
      <c r="L47" s="54">
        <f>'COG-M'!P280</f>
        <v>0</v>
      </c>
      <c r="M47" s="55">
        <f t="shared" ref="M47:M54" si="12">SUM(C47:L47)</f>
        <v>531965</v>
      </c>
    </row>
    <row r="48" spans="1:13" x14ac:dyDescent="0.25">
      <c r="A48" s="115">
        <v>212</v>
      </c>
      <c r="B48" s="88" t="s">
        <v>58</v>
      </c>
      <c r="C48" s="116">
        <f>'COG-M'!P281</f>
        <v>22540</v>
      </c>
      <c r="D48" s="54">
        <f>'COG-M'!P282</f>
        <v>0</v>
      </c>
      <c r="E48" s="54">
        <f>'COG-M'!P282</f>
        <v>0</v>
      </c>
      <c r="F48" s="54">
        <f>'COG-M'!P284</f>
        <v>0</v>
      </c>
      <c r="G48" s="54">
        <f>'COG-M'!P285</f>
        <v>13450</v>
      </c>
      <c r="H48" s="54">
        <f>'COG-M'!P286</f>
        <v>0</v>
      </c>
      <c r="I48" s="54">
        <f>'COG-M'!P287</f>
        <v>0</v>
      </c>
      <c r="J48" s="54">
        <f>'COG-M'!P288</f>
        <v>0</v>
      </c>
      <c r="K48" s="54">
        <f>'COG-M'!P289</f>
        <v>0</v>
      </c>
      <c r="L48" s="54">
        <f>'COG-M'!P290</f>
        <v>0</v>
      </c>
      <c r="M48" s="55">
        <f t="shared" si="12"/>
        <v>35990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42238</v>
      </c>
      <c r="D50" s="54">
        <f>'COG-M'!P302</f>
        <v>0</v>
      </c>
      <c r="E50" s="54">
        <f>'COG-M'!P303</f>
        <v>0</v>
      </c>
      <c r="F50" s="54">
        <f>'COG-M'!P304</f>
        <v>0</v>
      </c>
      <c r="G50" s="54">
        <f>'COG-M'!P305</f>
        <v>276305</v>
      </c>
      <c r="H50" s="54">
        <f>'COG-M'!P306</f>
        <v>0</v>
      </c>
      <c r="I50" s="54">
        <f>'COG-M'!P307</f>
        <v>0</v>
      </c>
      <c r="J50" s="54">
        <f>'COG-M'!P308</f>
        <v>0</v>
      </c>
      <c r="K50" s="54">
        <f>'COG-M'!P309</f>
        <v>0</v>
      </c>
      <c r="L50" s="54">
        <f>'COG-M'!P310</f>
        <v>0</v>
      </c>
      <c r="M50" s="55">
        <f t="shared" si="12"/>
        <v>318543</v>
      </c>
    </row>
    <row r="51" spans="1:13" x14ac:dyDescent="0.25">
      <c r="A51" s="115">
        <v>215</v>
      </c>
      <c r="B51" s="88" t="s">
        <v>61</v>
      </c>
      <c r="C51" s="116">
        <f>'COG-M'!P311</f>
        <v>2562</v>
      </c>
      <c r="D51" s="54">
        <f>'COG-M'!P312</f>
        <v>0</v>
      </c>
      <c r="E51" s="54">
        <f>'COG-M'!P313</f>
        <v>0</v>
      </c>
      <c r="F51" s="54">
        <f>'COG-M'!P314</f>
        <v>0</v>
      </c>
      <c r="G51" s="54">
        <f>'COG-M'!P315</f>
        <v>2560</v>
      </c>
      <c r="H51" s="54">
        <f>'COG-M'!P316</f>
        <v>0</v>
      </c>
      <c r="I51" s="54">
        <f>'COG-M'!P317</f>
        <v>0</v>
      </c>
      <c r="J51" s="54">
        <f>'COG-M'!P318</f>
        <v>0</v>
      </c>
      <c r="K51" s="54">
        <f>'COG-M'!P319</f>
        <v>0</v>
      </c>
      <c r="L51" s="54">
        <f>'COG-M'!P320</f>
        <v>0</v>
      </c>
      <c r="M51" s="55">
        <f t="shared" si="12"/>
        <v>5122</v>
      </c>
    </row>
    <row r="52" spans="1:13" x14ac:dyDescent="0.25">
      <c r="A52" s="115">
        <v>216</v>
      </c>
      <c r="B52" s="88" t="s">
        <v>62</v>
      </c>
      <c r="C52" s="116">
        <f>'COG-M'!P321</f>
        <v>116665</v>
      </c>
      <c r="D52" s="54">
        <f>'COG-M'!P322</f>
        <v>0</v>
      </c>
      <c r="E52" s="54">
        <f>'COG-M'!P323</f>
        <v>0</v>
      </c>
      <c r="F52" s="54">
        <f>'COG-M'!P324</f>
        <v>0</v>
      </c>
      <c r="G52" s="54">
        <f>'COG-M'!P325</f>
        <v>306833</v>
      </c>
      <c r="H52" s="54">
        <f>'COG-M'!P326</f>
        <v>0</v>
      </c>
      <c r="I52" s="54">
        <f>'COG-M'!P327</f>
        <v>0</v>
      </c>
      <c r="J52" s="54">
        <f>'COG-M'!P328</f>
        <v>0</v>
      </c>
      <c r="K52" s="54">
        <f>'COG-M'!P329</f>
        <v>0</v>
      </c>
      <c r="L52" s="54">
        <f>'COG-M'!P330</f>
        <v>0</v>
      </c>
      <c r="M52" s="55">
        <f t="shared" si="12"/>
        <v>423498</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10158</v>
      </c>
      <c r="D54" s="54">
        <f>'COG-M'!P342</f>
        <v>0</v>
      </c>
      <c r="E54" s="54">
        <f>'COG-M'!P343</f>
        <v>0</v>
      </c>
      <c r="F54" s="54">
        <f>'COG-M'!P344</f>
        <v>0</v>
      </c>
      <c r="G54" s="54">
        <f>'COG-M'!P345</f>
        <v>49277</v>
      </c>
      <c r="H54" s="54">
        <f>'COG-M'!P346</f>
        <v>0</v>
      </c>
      <c r="I54" s="54">
        <f>'COG-M'!P347</f>
        <v>0</v>
      </c>
      <c r="J54" s="54">
        <f>'COG-M'!P348</f>
        <v>0</v>
      </c>
      <c r="K54" s="54">
        <f>'COG-M'!P349</f>
        <v>0</v>
      </c>
      <c r="L54" s="54">
        <f>'COG-M'!P350</f>
        <v>0</v>
      </c>
      <c r="M54" s="55">
        <f t="shared" si="12"/>
        <v>59435</v>
      </c>
    </row>
    <row r="55" spans="1:13" x14ac:dyDescent="0.25">
      <c r="A55" s="113">
        <v>2200</v>
      </c>
      <c r="B55" s="114" t="s">
        <v>2285</v>
      </c>
      <c r="C55" s="72">
        <f t="shared" ref="C55:I55" si="13">SUM(C56:C58)</f>
        <v>160855</v>
      </c>
      <c r="D55" s="73">
        <f t="shared" si="13"/>
        <v>0</v>
      </c>
      <c r="E55" s="73">
        <f t="shared" si="13"/>
        <v>0</v>
      </c>
      <c r="F55" s="73">
        <f t="shared" si="13"/>
        <v>0</v>
      </c>
      <c r="G55" s="73">
        <f t="shared" si="13"/>
        <v>761825</v>
      </c>
      <c r="H55" s="73">
        <f t="shared" si="13"/>
        <v>0</v>
      </c>
      <c r="I55" s="73">
        <f t="shared" si="13"/>
        <v>0</v>
      </c>
      <c r="J55" s="73">
        <f>SUM(J56:J58)</f>
        <v>0</v>
      </c>
      <c r="K55" s="73">
        <f>SUM(K56:K58)</f>
        <v>0</v>
      </c>
      <c r="L55" s="73">
        <f>SUM(L56:L58)</f>
        <v>0</v>
      </c>
      <c r="M55" s="73">
        <f>SUM(M56:M58)</f>
        <v>922680</v>
      </c>
    </row>
    <row r="56" spans="1:13" x14ac:dyDescent="0.25">
      <c r="A56" s="115">
        <v>221</v>
      </c>
      <c r="B56" s="88" t="s">
        <v>66</v>
      </c>
      <c r="C56" s="116">
        <f>'COG-M'!P352</f>
        <v>141707</v>
      </c>
      <c r="D56" s="54">
        <f>'COG-M'!P353</f>
        <v>0</v>
      </c>
      <c r="E56" s="54">
        <f>'COG-M'!P354</f>
        <v>0</v>
      </c>
      <c r="F56" s="54">
        <f>'COG-M'!P355</f>
        <v>0</v>
      </c>
      <c r="G56" s="54">
        <f>'COG-M'!P356</f>
        <v>751975</v>
      </c>
      <c r="H56" s="54">
        <f>'COG-M'!P357</f>
        <v>0</v>
      </c>
      <c r="I56" s="54">
        <f>'COG-M'!P358</f>
        <v>0</v>
      </c>
      <c r="J56" s="54">
        <f>'COG-M'!P359</f>
        <v>0</v>
      </c>
      <c r="K56" s="54">
        <f>'COG-M'!P360</f>
        <v>0</v>
      </c>
      <c r="L56" s="54">
        <f>'COG-M'!P361</f>
        <v>0</v>
      </c>
      <c r="M56" s="55">
        <f>SUM(C56:L56)</f>
        <v>893682</v>
      </c>
    </row>
    <row r="57" spans="1:13" x14ac:dyDescent="0.25">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25">
      <c r="A58" s="115">
        <v>223</v>
      </c>
      <c r="B58" s="88" t="s">
        <v>68</v>
      </c>
      <c r="C58" s="116">
        <f>'COG-M'!P372</f>
        <v>19148</v>
      </c>
      <c r="D58" s="54">
        <f>'COG-M'!P373</f>
        <v>0</v>
      </c>
      <c r="E58" s="54">
        <f>'COG-M'!P374</f>
        <v>0</v>
      </c>
      <c r="F58" s="54">
        <f>'COG-M'!P375</f>
        <v>0</v>
      </c>
      <c r="G58" s="54">
        <f>'COG-M'!P376</f>
        <v>9850</v>
      </c>
      <c r="H58" s="54">
        <f>'COG-M'!P377</f>
        <v>0</v>
      </c>
      <c r="I58" s="54">
        <f>'COG-M'!P378</f>
        <v>0</v>
      </c>
      <c r="J58" s="54">
        <f>'COG-M'!P379</f>
        <v>0</v>
      </c>
      <c r="K58" s="54">
        <f>'COG-M'!P380</f>
        <v>0</v>
      </c>
      <c r="L58" s="54">
        <f>'COG-M'!P381</f>
        <v>0</v>
      </c>
      <c r="M58" s="55">
        <f>SUM(C58:L58)</f>
        <v>28998</v>
      </c>
    </row>
    <row r="59" spans="1:13" x14ac:dyDescent="0.25">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2431</v>
      </c>
      <c r="C69" s="72">
        <f t="shared" ref="C69:I69" si="16">SUM(C70:C78)</f>
        <v>675025</v>
      </c>
      <c r="D69" s="73">
        <f t="shared" si="16"/>
        <v>0</v>
      </c>
      <c r="E69" s="73">
        <f t="shared" si="16"/>
        <v>0</v>
      </c>
      <c r="F69" s="73">
        <f t="shared" si="16"/>
        <v>0</v>
      </c>
      <c r="G69" s="73">
        <f t="shared" si="16"/>
        <v>1588772</v>
      </c>
      <c r="H69" s="73">
        <f t="shared" si="16"/>
        <v>0</v>
      </c>
      <c r="I69" s="73">
        <f t="shared" si="16"/>
        <v>0</v>
      </c>
      <c r="J69" s="73">
        <f>SUM(J70:J78)</f>
        <v>0</v>
      </c>
      <c r="K69" s="73">
        <f>SUM(K70:K78)</f>
        <v>0</v>
      </c>
      <c r="L69" s="73">
        <f>SUM(L70:L78)</f>
        <v>0</v>
      </c>
      <c r="M69" s="73">
        <f>SUM(M70:M78)</f>
        <v>2263797</v>
      </c>
    </row>
    <row r="70" spans="1:13" x14ac:dyDescent="0.25">
      <c r="A70" s="115">
        <v>241</v>
      </c>
      <c r="B70" s="88" t="s">
        <v>80</v>
      </c>
      <c r="C70" s="116">
        <f>'COG-M'!P393</f>
        <v>27433</v>
      </c>
      <c r="D70" s="54">
        <f>'COG-M'!P394</f>
        <v>0</v>
      </c>
      <c r="E70" s="54">
        <f>'COG-M'!P395</f>
        <v>0</v>
      </c>
      <c r="F70" s="54">
        <f>'COG-M'!P396</f>
        <v>0</v>
      </c>
      <c r="G70" s="54">
        <f>'COG-M'!P397</f>
        <v>141251</v>
      </c>
      <c r="H70" s="54">
        <f>'COG-M'!P398</f>
        <v>0</v>
      </c>
      <c r="I70" s="54">
        <f>'COG-M'!P399</f>
        <v>0</v>
      </c>
      <c r="J70" s="54">
        <f>'COG-M'!P400</f>
        <v>0</v>
      </c>
      <c r="K70" s="54">
        <f>'COG-M'!P401</f>
        <v>0</v>
      </c>
      <c r="L70" s="54">
        <f>'COG-M'!P402</f>
        <v>0</v>
      </c>
      <c r="M70" s="55">
        <f t="shared" ref="M70:M78" si="17">SUM(C70:L70)</f>
        <v>168684</v>
      </c>
    </row>
    <row r="71" spans="1:13" x14ac:dyDescent="0.25">
      <c r="A71" s="115">
        <v>242</v>
      </c>
      <c r="B71" s="88" t="s">
        <v>81</v>
      </c>
      <c r="C71" s="116">
        <f>'COG-M'!P403</f>
        <v>222699</v>
      </c>
      <c r="D71" s="54">
        <f>'COG-M'!P404</f>
        <v>0</v>
      </c>
      <c r="E71" s="54">
        <f>'COG-M'!P405</f>
        <v>0</v>
      </c>
      <c r="F71" s="54">
        <f>'COG-M'!P406</f>
        <v>0</v>
      </c>
      <c r="G71" s="54">
        <f>'COG-M'!P407</f>
        <v>286707</v>
      </c>
      <c r="H71" s="54">
        <f>'COG-M'!P408</f>
        <v>0</v>
      </c>
      <c r="I71" s="54">
        <f>'COG-M'!P409</f>
        <v>0</v>
      </c>
      <c r="J71" s="54">
        <f>'COG-M'!P410</f>
        <v>0</v>
      </c>
      <c r="K71" s="54">
        <f>'COG-M'!P411</f>
        <v>0</v>
      </c>
      <c r="L71" s="54">
        <f>'COG-M'!P412</f>
        <v>0</v>
      </c>
      <c r="M71" s="55">
        <f t="shared" si="17"/>
        <v>509406</v>
      </c>
    </row>
    <row r="72" spans="1:13" x14ac:dyDescent="0.25">
      <c r="A72" s="115">
        <v>243</v>
      </c>
      <c r="B72" s="88" t="s">
        <v>82</v>
      </c>
      <c r="C72" s="116">
        <f>'COG-M'!P413</f>
        <v>23715</v>
      </c>
      <c r="D72" s="54">
        <f>'COG-M'!P414</f>
        <v>0</v>
      </c>
      <c r="E72" s="54">
        <f>'COG-M'!P415</f>
        <v>0</v>
      </c>
      <c r="F72" s="54">
        <f>'COG-M'!P416</f>
        <v>0</v>
      </c>
      <c r="G72" s="54">
        <f>'COG-M'!P417</f>
        <v>33448</v>
      </c>
      <c r="H72" s="54">
        <f>'COG-M'!P418</f>
        <v>0</v>
      </c>
      <c r="I72" s="54">
        <f>'COG-M'!P419</f>
        <v>0</v>
      </c>
      <c r="J72" s="54">
        <f>'COG-M'!P420</f>
        <v>0</v>
      </c>
      <c r="K72" s="54">
        <f>'COG-M'!P421</f>
        <v>0</v>
      </c>
      <c r="L72" s="54">
        <f>'COG-M'!P422</f>
        <v>0</v>
      </c>
      <c r="M72" s="55">
        <f t="shared" si="17"/>
        <v>57163</v>
      </c>
    </row>
    <row r="73" spans="1:13" x14ac:dyDescent="0.25">
      <c r="A73" s="115">
        <v>244</v>
      </c>
      <c r="B73" s="88" t="s">
        <v>83</v>
      </c>
      <c r="C73" s="116">
        <f>'COG-M'!P423</f>
        <v>4560</v>
      </c>
      <c r="D73" s="54">
        <f>'COG-M'!P424</f>
        <v>0</v>
      </c>
      <c r="E73" s="54">
        <f>'COG-M'!P425</f>
        <v>0</v>
      </c>
      <c r="F73" s="54">
        <f>'COG-M'!P426</f>
        <v>0</v>
      </c>
      <c r="G73" s="54">
        <f>'COG-M'!P427</f>
        <v>5890</v>
      </c>
      <c r="H73" s="54">
        <f>'COG-M'!P428</f>
        <v>0</v>
      </c>
      <c r="I73" s="54">
        <f>'COG-M'!P429</f>
        <v>0</v>
      </c>
      <c r="J73" s="54">
        <f>'COG-M'!P430</f>
        <v>0</v>
      </c>
      <c r="K73" s="54">
        <f>'COG-M'!P431</f>
        <v>0</v>
      </c>
      <c r="L73" s="54">
        <f>'COG-M'!P432</f>
        <v>0</v>
      </c>
      <c r="M73" s="55">
        <f t="shared" si="17"/>
        <v>10450</v>
      </c>
    </row>
    <row r="74" spans="1:13" x14ac:dyDescent="0.25">
      <c r="A74" s="115">
        <v>245</v>
      </c>
      <c r="B74" s="88" t="s">
        <v>84</v>
      </c>
      <c r="C74" s="116">
        <f>'COG-M'!P433</f>
        <v>2690</v>
      </c>
      <c r="D74" s="54">
        <f>'COG-M'!P434</f>
        <v>0</v>
      </c>
      <c r="E74" s="54">
        <f>'COG-M'!P435</f>
        <v>0</v>
      </c>
      <c r="F74" s="54">
        <f>'COG-M'!P436</f>
        <v>0</v>
      </c>
      <c r="G74" s="54">
        <f>'COG-M'!P437</f>
        <v>1890</v>
      </c>
      <c r="H74" s="54">
        <f>'COG-M'!P438</f>
        <v>0</v>
      </c>
      <c r="I74" s="54">
        <f>'COG-M'!P439</f>
        <v>0</v>
      </c>
      <c r="J74" s="54">
        <f>'COG-M'!P440</f>
        <v>0</v>
      </c>
      <c r="K74" s="54">
        <f>'COG-M'!P441</f>
        <v>0</v>
      </c>
      <c r="L74" s="54">
        <f>'COG-M'!P442</f>
        <v>0</v>
      </c>
      <c r="M74" s="55">
        <f t="shared" si="17"/>
        <v>4580</v>
      </c>
    </row>
    <row r="75" spans="1:13" x14ac:dyDescent="0.25">
      <c r="A75" s="115">
        <v>246</v>
      </c>
      <c r="B75" s="88" t="s">
        <v>85</v>
      </c>
      <c r="C75" s="116">
        <f>'COG-M'!P443</f>
        <v>166600</v>
      </c>
      <c r="D75" s="54">
        <f>'COG-M'!P444</f>
        <v>0</v>
      </c>
      <c r="E75" s="54">
        <f>'COG-M'!P445</f>
        <v>0</v>
      </c>
      <c r="F75" s="54">
        <f>'COG-M'!P446</f>
        <v>0</v>
      </c>
      <c r="G75" s="54">
        <f>'COG-M'!P447</f>
        <v>331715</v>
      </c>
      <c r="H75" s="54">
        <f>'COG-M'!P448</f>
        <v>0</v>
      </c>
      <c r="I75" s="54">
        <f>'COG-M'!P449</f>
        <v>0</v>
      </c>
      <c r="J75" s="54">
        <f>'COG-M'!P450</f>
        <v>0</v>
      </c>
      <c r="K75" s="54">
        <f>'COG-M'!P451</f>
        <v>0</v>
      </c>
      <c r="L75" s="54">
        <f>'COG-M'!P452</f>
        <v>0</v>
      </c>
      <c r="M75" s="55">
        <f t="shared" si="17"/>
        <v>498315</v>
      </c>
    </row>
    <row r="76" spans="1:13" x14ac:dyDescent="0.25">
      <c r="A76" s="115">
        <v>247</v>
      </c>
      <c r="B76" s="88" t="s">
        <v>86</v>
      </c>
      <c r="C76" s="116">
        <f>'COG-M'!P453</f>
        <v>59738</v>
      </c>
      <c r="D76" s="54">
        <f>'COG-M'!P454</f>
        <v>0</v>
      </c>
      <c r="E76" s="54">
        <f>'COG-M'!P455</f>
        <v>0</v>
      </c>
      <c r="F76" s="54">
        <f>'COG-M'!P456</f>
        <v>0</v>
      </c>
      <c r="G76" s="54">
        <f>'COG-M'!P457</f>
        <v>280745</v>
      </c>
      <c r="H76" s="54">
        <f>'COG-M'!P458</f>
        <v>0</v>
      </c>
      <c r="I76" s="54">
        <f>'COG-M'!P459</f>
        <v>0</v>
      </c>
      <c r="J76" s="54">
        <f>'COG-M'!P460</f>
        <v>0</v>
      </c>
      <c r="K76" s="54">
        <f>'COG-M'!P461</f>
        <v>0</v>
      </c>
      <c r="L76" s="54">
        <f>'COG-M'!P462</f>
        <v>0</v>
      </c>
      <c r="M76" s="55">
        <f t="shared" si="17"/>
        <v>340483</v>
      </c>
    </row>
    <row r="77" spans="1:13" x14ac:dyDescent="0.25">
      <c r="A77" s="115">
        <v>248</v>
      </c>
      <c r="B77" s="88" t="s">
        <v>87</v>
      </c>
      <c r="C77" s="116">
        <f>'COG-M'!P463</f>
        <v>16895</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16895</v>
      </c>
    </row>
    <row r="78" spans="1:13" x14ac:dyDescent="0.25">
      <c r="A78" s="115">
        <v>249</v>
      </c>
      <c r="B78" s="88" t="s">
        <v>88</v>
      </c>
      <c r="C78" s="116">
        <f>'COG-M'!P473</f>
        <v>150695</v>
      </c>
      <c r="D78" s="54">
        <f>'COG-M'!P474</f>
        <v>0</v>
      </c>
      <c r="E78" s="54">
        <f>'COG-M'!P475</f>
        <v>0</v>
      </c>
      <c r="F78" s="54">
        <f>'COG-M'!P476</f>
        <v>0</v>
      </c>
      <c r="G78" s="54">
        <f>'COG-M'!P477</f>
        <v>507126</v>
      </c>
      <c r="H78" s="54">
        <f>'COG-M'!P478</f>
        <v>0</v>
      </c>
      <c r="I78" s="54">
        <f>'COG-M'!P479</f>
        <v>0</v>
      </c>
      <c r="J78" s="54">
        <f>'COG-M'!P480</f>
        <v>0</v>
      </c>
      <c r="K78" s="54">
        <f>'COG-M'!P481</f>
        <v>0</v>
      </c>
      <c r="L78" s="54">
        <f>'COG-M'!P482</f>
        <v>0</v>
      </c>
      <c r="M78" s="55">
        <f t="shared" si="17"/>
        <v>657821</v>
      </c>
    </row>
    <row r="79" spans="1:13" x14ac:dyDescent="0.25">
      <c r="A79" s="121">
        <v>2500</v>
      </c>
      <c r="B79" s="122" t="s">
        <v>2432</v>
      </c>
      <c r="C79" s="72">
        <f t="shared" ref="C79:I79" si="18">SUM(C80:C86)</f>
        <v>198225</v>
      </c>
      <c r="D79" s="73">
        <f t="shared" si="18"/>
        <v>0</v>
      </c>
      <c r="E79" s="73">
        <f t="shared" si="18"/>
        <v>0</v>
      </c>
      <c r="F79" s="73">
        <f t="shared" si="18"/>
        <v>0</v>
      </c>
      <c r="G79" s="73">
        <f t="shared" si="18"/>
        <v>786128</v>
      </c>
      <c r="H79" s="73">
        <f t="shared" si="18"/>
        <v>0</v>
      </c>
      <c r="I79" s="73">
        <f t="shared" si="18"/>
        <v>0</v>
      </c>
      <c r="J79" s="73">
        <f>SUM(J80:J86)</f>
        <v>0</v>
      </c>
      <c r="K79" s="73">
        <f>SUM(K80:K86)</f>
        <v>0</v>
      </c>
      <c r="L79" s="73">
        <f>SUM(L80:L86)</f>
        <v>0</v>
      </c>
      <c r="M79" s="73">
        <f>SUM(M80:M86)</f>
        <v>984353</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17700</v>
      </c>
      <c r="D81" s="54">
        <f>'COG-M'!P495</f>
        <v>0</v>
      </c>
      <c r="E81" s="54">
        <f>'COG-M'!P496</f>
        <v>0</v>
      </c>
      <c r="F81" s="54">
        <f>'COG-M'!P497</f>
        <v>0</v>
      </c>
      <c r="G81" s="54">
        <f>'COG-M'!P498</f>
        <v>54710</v>
      </c>
      <c r="H81" s="54">
        <f>'COG-M'!P499</f>
        <v>0</v>
      </c>
      <c r="I81" s="54">
        <f>'COG-M'!P500</f>
        <v>0</v>
      </c>
      <c r="J81" s="54">
        <f>'COG-M'!P501</f>
        <v>0</v>
      </c>
      <c r="K81" s="54">
        <f>'COG-M'!P502</f>
        <v>0</v>
      </c>
      <c r="L81" s="54">
        <f>'COG-M'!P503</f>
        <v>0</v>
      </c>
      <c r="M81" s="55">
        <f t="shared" si="19"/>
        <v>72410</v>
      </c>
    </row>
    <row r="82" spans="1:13" x14ac:dyDescent="0.25">
      <c r="A82" s="115">
        <v>253</v>
      </c>
      <c r="B82" s="88" t="s">
        <v>92</v>
      </c>
      <c r="C82" s="116">
        <f>'COG-M'!P504</f>
        <v>86580</v>
      </c>
      <c r="D82" s="54">
        <f>'COG-M'!P505</f>
        <v>0</v>
      </c>
      <c r="E82" s="54">
        <f>'COG-M'!P506</f>
        <v>0</v>
      </c>
      <c r="F82" s="54">
        <f>'COG-M'!P507</f>
        <v>0</v>
      </c>
      <c r="G82" s="54">
        <f>'COG-M'!P508</f>
        <v>542439</v>
      </c>
      <c r="H82" s="54">
        <f>'COG-M'!P509</f>
        <v>0</v>
      </c>
      <c r="I82" s="54">
        <f>'COG-M'!P510</f>
        <v>0</v>
      </c>
      <c r="J82" s="54">
        <f>'COG-M'!P511</f>
        <v>0</v>
      </c>
      <c r="K82" s="54">
        <f>'COG-M'!P512</f>
        <v>0</v>
      </c>
      <c r="L82" s="54">
        <f>'COG-M'!P513</f>
        <v>0</v>
      </c>
      <c r="M82" s="55">
        <f t="shared" si="19"/>
        <v>629019</v>
      </c>
    </row>
    <row r="83" spans="1:13" x14ac:dyDescent="0.25">
      <c r="A83" s="115">
        <v>254</v>
      </c>
      <c r="B83" s="88" t="s">
        <v>93</v>
      </c>
      <c r="C83" s="116">
        <f>'COG-M'!P514</f>
        <v>38975</v>
      </c>
      <c r="D83" s="54">
        <f>'COG-M'!P515</f>
        <v>0</v>
      </c>
      <c r="E83" s="54">
        <f>'COG-M'!P516</f>
        <v>0</v>
      </c>
      <c r="F83" s="54">
        <f>'COG-M'!P517</f>
        <v>0</v>
      </c>
      <c r="G83" s="54">
        <f>'COG-M'!P518</f>
        <v>56312</v>
      </c>
      <c r="H83" s="54">
        <f>'COG-M'!P519</f>
        <v>0</v>
      </c>
      <c r="I83" s="54">
        <f>'COG-M'!P520</f>
        <v>0</v>
      </c>
      <c r="J83" s="54">
        <f>'COG-M'!P521</f>
        <v>0</v>
      </c>
      <c r="K83" s="54">
        <f>'COG-M'!P522</f>
        <v>0</v>
      </c>
      <c r="L83" s="54">
        <f>'COG-M'!P523</f>
        <v>0</v>
      </c>
      <c r="M83" s="55">
        <f t="shared" si="19"/>
        <v>95287</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21426</v>
      </c>
      <c r="D85" s="54">
        <f>'COG-M'!P535</f>
        <v>0</v>
      </c>
      <c r="E85" s="54">
        <f>'COG-M'!P536</f>
        <v>0</v>
      </c>
      <c r="F85" s="54">
        <f>'COG-M'!P537</f>
        <v>0</v>
      </c>
      <c r="G85" s="54">
        <f>'COG-M'!P538</f>
        <v>44423</v>
      </c>
      <c r="H85" s="54">
        <f>'COG-M'!P539</f>
        <v>0</v>
      </c>
      <c r="I85" s="54">
        <f>'COG-M'!P540</f>
        <v>0</v>
      </c>
      <c r="J85" s="54">
        <f>'COG-M'!P541</f>
        <v>0</v>
      </c>
      <c r="K85" s="54">
        <f>'COG-M'!P542</f>
        <v>0</v>
      </c>
      <c r="L85" s="54">
        <f>'COG-M'!P543</f>
        <v>0</v>
      </c>
      <c r="M85" s="55">
        <f t="shared" si="19"/>
        <v>65849</v>
      </c>
    </row>
    <row r="86" spans="1:13" x14ac:dyDescent="0.25">
      <c r="A86" s="115">
        <v>259</v>
      </c>
      <c r="B86" s="88" t="s">
        <v>96</v>
      </c>
      <c r="C86" s="116">
        <f>'COG-M'!P544</f>
        <v>33544</v>
      </c>
      <c r="D86" s="54">
        <f>'COG-M'!P545</f>
        <v>0</v>
      </c>
      <c r="E86" s="54">
        <f>'COG-M'!P546</f>
        <v>0</v>
      </c>
      <c r="F86" s="54">
        <f>'COG-M'!P547</f>
        <v>0</v>
      </c>
      <c r="G86" s="54">
        <f>'COG-M'!P548</f>
        <v>88244</v>
      </c>
      <c r="H86" s="54">
        <f>'COG-M'!P549</f>
        <v>0</v>
      </c>
      <c r="I86" s="54">
        <f>'COG-M'!P550</f>
        <v>0</v>
      </c>
      <c r="J86" s="54">
        <f>'COG-M'!P551</f>
        <v>0</v>
      </c>
      <c r="K86" s="54">
        <f>'COG-M'!P552</f>
        <v>0</v>
      </c>
      <c r="L86" s="54">
        <f>'COG-M'!P553</f>
        <v>0</v>
      </c>
      <c r="M86" s="55">
        <f t="shared" si="19"/>
        <v>121788</v>
      </c>
    </row>
    <row r="87" spans="1:13" x14ac:dyDescent="0.25">
      <c r="A87" s="121">
        <v>2600</v>
      </c>
      <c r="B87" s="122" t="s">
        <v>2433</v>
      </c>
      <c r="C87" s="72">
        <f t="shared" ref="C87:I87" si="20">SUM(C88:C89)</f>
        <v>979111</v>
      </c>
      <c r="D87" s="73">
        <f t="shared" si="20"/>
        <v>0</v>
      </c>
      <c r="E87" s="73">
        <f t="shared" si="20"/>
        <v>0</v>
      </c>
      <c r="F87" s="73">
        <f t="shared" si="20"/>
        <v>0</v>
      </c>
      <c r="G87" s="73">
        <f t="shared" si="20"/>
        <v>5002664</v>
      </c>
      <c r="H87" s="73">
        <f t="shared" si="20"/>
        <v>0</v>
      </c>
      <c r="I87" s="73">
        <f t="shared" si="20"/>
        <v>0</v>
      </c>
      <c r="J87" s="73">
        <f>SUM(J88:J89)</f>
        <v>2074770</v>
      </c>
      <c r="K87" s="73">
        <f>SUM(K88:K89)</f>
        <v>0</v>
      </c>
      <c r="L87" s="73">
        <f>SUM(L88:L89)</f>
        <v>0</v>
      </c>
      <c r="M87" s="73">
        <f>SUM(M88:M89)</f>
        <v>8056545</v>
      </c>
    </row>
    <row r="88" spans="1:13" x14ac:dyDescent="0.25">
      <c r="A88" s="115">
        <v>261</v>
      </c>
      <c r="B88" s="88" t="s">
        <v>98</v>
      </c>
      <c r="C88" s="116">
        <f>'COG-M'!P555</f>
        <v>979111</v>
      </c>
      <c r="D88" s="54">
        <f>'COG-M'!P556</f>
        <v>0</v>
      </c>
      <c r="E88" s="54">
        <f>'COG-M'!P557</f>
        <v>0</v>
      </c>
      <c r="F88" s="54">
        <f>'COG-M'!P558</f>
        <v>0</v>
      </c>
      <c r="G88" s="54">
        <f>'COG-M'!P559</f>
        <v>5002664</v>
      </c>
      <c r="H88" s="54">
        <f>'COG-M'!P560</f>
        <v>0</v>
      </c>
      <c r="I88" s="54">
        <f>'COG-M'!P561</f>
        <v>0</v>
      </c>
      <c r="J88" s="54">
        <f>'COG-M'!P562</f>
        <v>2074770</v>
      </c>
      <c r="K88" s="54">
        <f>'COG-M'!P563</f>
        <v>0</v>
      </c>
      <c r="L88" s="54">
        <f>'COG-M'!P564</f>
        <v>0</v>
      </c>
      <c r="M88" s="55">
        <f>SUM(C88:L88)</f>
        <v>8056545</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2434</v>
      </c>
      <c r="C90" s="72">
        <f t="shared" ref="C90:I90" si="21">SUM(C91:C95)</f>
        <v>44005</v>
      </c>
      <c r="D90" s="73">
        <f t="shared" si="21"/>
        <v>0</v>
      </c>
      <c r="E90" s="73">
        <f t="shared" si="21"/>
        <v>0</v>
      </c>
      <c r="F90" s="73">
        <f t="shared" si="21"/>
        <v>0</v>
      </c>
      <c r="G90" s="73">
        <f t="shared" si="21"/>
        <v>268675</v>
      </c>
      <c r="H90" s="73">
        <f t="shared" si="21"/>
        <v>0</v>
      </c>
      <c r="I90" s="73">
        <f t="shared" si="21"/>
        <v>0</v>
      </c>
      <c r="J90" s="73">
        <f>SUM(J91:J95)</f>
        <v>174460</v>
      </c>
      <c r="K90" s="73">
        <f>SUM(K91:K95)</f>
        <v>0</v>
      </c>
      <c r="L90" s="73">
        <f>SUM(L91:L95)</f>
        <v>0</v>
      </c>
      <c r="M90" s="73">
        <f>SUM(M91:M95)</f>
        <v>487140</v>
      </c>
    </row>
    <row r="91" spans="1:13" x14ac:dyDescent="0.25">
      <c r="A91" s="115">
        <v>271</v>
      </c>
      <c r="B91" s="88" t="s">
        <v>101</v>
      </c>
      <c r="C91" s="116">
        <f>'COG-M'!P576</f>
        <v>15690</v>
      </c>
      <c r="D91" s="54">
        <f>'COG-M'!P577</f>
        <v>0</v>
      </c>
      <c r="E91" s="54">
        <f>'COG-M'!P578</f>
        <v>0</v>
      </c>
      <c r="F91" s="54">
        <f>'COG-M'!P579</f>
        <v>0</v>
      </c>
      <c r="G91" s="54">
        <f>'COG-M'!P580</f>
        <v>164072</v>
      </c>
      <c r="H91" s="54">
        <f>'COG-M'!P581</f>
        <v>0</v>
      </c>
      <c r="I91" s="54">
        <f>'COG-M'!P582</f>
        <v>0</v>
      </c>
      <c r="J91" s="54">
        <f>'COG-M'!P583</f>
        <v>127592</v>
      </c>
      <c r="K91" s="54">
        <f>'COG-M'!P584</f>
        <v>0</v>
      </c>
      <c r="L91" s="54">
        <f>'COG-M'!P585</f>
        <v>0</v>
      </c>
      <c r="M91" s="55">
        <f>SUM(C91:L91)</f>
        <v>307354</v>
      </c>
    </row>
    <row r="92" spans="1:13" x14ac:dyDescent="0.25">
      <c r="A92" s="115">
        <v>272</v>
      </c>
      <c r="B92" s="88" t="s">
        <v>102</v>
      </c>
      <c r="C92" s="116">
        <f>'COG-M'!P586</f>
        <v>0</v>
      </c>
      <c r="D92" s="54">
        <f>'COG-M'!P587</f>
        <v>0</v>
      </c>
      <c r="E92" s="54">
        <f>'COG-M'!P588</f>
        <v>0</v>
      </c>
      <c r="F92" s="54">
        <f>'COG-M'!P589</f>
        <v>0</v>
      </c>
      <c r="G92" s="54">
        <f>'COG-M'!P590</f>
        <v>53192</v>
      </c>
      <c r="H92" s="54">
        <f>'COG-M'!P591</f>
        <v>0</v>
      </c>
      <c r="I92" s="54">
        <f>'COG-M'!P592</f>
        <v>0</v>
      </c>
      <c r="J92" s="54">
        <f>'COG-M'!P593</f>
        <v>46868</v>
      </c>
      <c r="K92" s="54">
        <f>'COG-M'!P594</f>
        <v>0</v>
      </c>
      <c r="L92" s="54">
        <f>'COG-M'!P595</f>
        <v>0</v>
      </c>
      <c r="M92" s="55">
        <f>SUM(C92:L92)</f>
        <v>100060</v>
      </c>
    </row>
    <row r="93" spans="1:13" x14ac:dyDescent="0.25">
      <c r="A93" s="115">
        <v>273</v>
      </c>
      <c r="B93" s="88" t="s">
        <v>103</v>
      </c>
      <c r="C93" s="116">
        <f>'COG-M'!P596</f>
        <v>19430</v>
      </c>
      <c r="D93" s="54">
        <f>'COG-M'!P597</f>
        <v>0</v>
      </c>
      <c r="E93" s="54">
        <f>'COG-M'!P598</f>
        <v>0</v>
      </c>
      <c r="F93" s="54">
        <f>'COG-M'!P599</f>
        <v>0</v>
      </c>
      <c r="G93" s="54">
        <f>'COG-M'!P600</f>
        <v>30729</v>
      </c>
      <c r="H93" s="54">
        <f>'COG-M'!P601</f>
        <v>0</v>
      </c>
      <c r="I93" s="54">
        <f>'COG-M'!P602</f>
        <v>0</v>
      </c>
      <c r="J93" s="54">
        <f>'COG-M'!P603</f>
        <v>0</v>
      </c>
      <c r="K93" s="54">
        <f>'COG-M'!P604</f>
        <v>0</v>
      </c>
      <c r="L93" s="54">
        <f>'COG-M'!P605</f>
        <v>0</v>
      </c>
      <c r="M93" s="55">
        <f>SUM(C93:L93)</f>
        <v>50159</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8885</v>
      </c>
      <c r="D95" s="54">
        <f>'COG-M'!P617</f>
        <v>0</v>
      </c>
      <c r="E95" s="54">
        <f>'COG-M'!P618</f>
        <v>0</v>
      </c>
      <c r="F95" s="54">
        <f>'COG-M'!P619</f>
        <v>0</v>
      </c>
      <c r="G95" s="54">
        <f>'COG-M'!P620</f>
        <v>20682</v>
      </c>
      <c r="H95" s="54">
        <f>'COG-M'!P621</f>
        <v>0</v>
      </c>
      <c r="I95" s="54">
        <f>'COG-M'!P622</f>
        <v>0</v>
      </c>
      <c r="J95" s="54">
        <f>'COG-M'!P623</f>
        <v>0</v>
      </c>
      <c r="K95" s="54">
        <f>'COG-M'!P624</f>
        <v>0</v>
      </c>
      <c r="L95" s="54">
        <f>'COG-M'!P625</f>
        <v>0</v>
      </c>
      <c r="M95" s="55">
        <f>SUM(C95:L95)</f>
        <v>29567</v>
      </c>
    </row>
    <row r="96" spans="1:13" x14ac:dyDescent="0.25">
      <c r="A96" s="121">
        <v>2800</v>
      </c>
      <c r="B96" s="122" t="s">
        <v>2435</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2436</v>
      </c>
      <c r="C100" s="72">
        <f t="shared" ref="C100:I100" si="23">SUM(C101:C109)</f>
        <v>438868</v>
      </c>
      <c r="D100" s="73">
        <f t="shared" si="23"/>
        <v>0</v>
      </c>
      <c r="E100" s="73">
        <f t="shared" si="23"/>
        <v>0</v>
      </c>
      <c r="F100" s="73">
        <f t="shared" si="23"/>
        <v>0</v>
      </c>
      <c r="G100" s="73">
        <f t="shared" si="23"/>
        <v>1266485</v>
      </c>
      <c r="H100" s="73">
        <f t="shared" si="23"/>
        <v>0</v>
      </c>
      <c r="I100" s="73">
        <f t="shared" si="23"/>
        <v>0</v>
      </c>
      <c r="J100" s="73">
        <f>SUM(J101:J109)</f>
        <v>161640</v>
      </c>
      <c r="K100" s="73">
        <f>SUM(K101:K109)</f>
        <v>0</v>
      </c>
      <c r="L100" s="73">
        <f>SUM(L101:L109)</f>
        <v>0</v>
      </c>
      <c r="M100" s="73">
        <f>SUM(M101:M109)</f>
        <v>1866993</v>
      </c>
    </row>
    <row r="101" spans="1:13" x14ac:dyDescent="0.25">
      <c r="A101" s="115">
        <v>291</v>
      </c>
      <c r="B101" s="88" t="s">
        <v>111</v>
      </c>
      <c r="C101" s="116">
        <f>'COG-M'!P658</f>
        <v>6259</v>
      </c>
      <c r="D101" s="54">
        <f>'COG-M'!P659</f>
        <v>0</v>
      </c>
      <c r="E101" s="54">
        <f>'COG-M'!P660</f>
        <v>0</v>
      </c>
      <c r="F101" s="54">
        <f>'COG-M'!P661</f>
        <v>0</v>
      </c>
      <c r="G101" s="54">
        <f>'COG-M'!P662</f>
        <v>26363</v>
      </c>
      <c r="H101" s="54">
        <f>'COG-M'!P663</f>
        <v>0</v>
      </c>
      <c r="I101" s="54">
        <f>'COG-M'!P664</f>
        <v>0</v>
      </c>
      <c r="J101" s="54">
        <f>'COG-M'!P665</f>
        <v>0</v>
      </c>
      <c r="K101" s="54">
        <f>'COG-M'!P666</f>
        <v>0</v>
      </c>
      <c r="L101" s="54">
        <f>'COG-M'!P667</f>
        <v>0</v>
      </c>
      <c r="M101" s="55">
        <f t="shared" ref="M101:M109" si="24">SUM(C101:L101)</f>
        <v>32622</v>
      </c>
    </row>
    <row r="102" spans="1:13" x14ac:dyDescent="0.25">
      <c r="A102" s="115">
        <v>292</v>
      </c>
      <c r="B102" s="88" t="s">
        <v>112</v>
      </c>
      <c r="C102" s="116">
        <f>'COG-M'!P668</f>
        <v>983</v>
      </c>
      <c r="D102" s="54">
        <f>'COG-M'!P669</f>
        <v>0</v>
      </c>
      <c r="E102" s="54">
        <f>'COG-M'!P670</f>
        <v>0</v>
      </c>
      <c r="F102" s="54">
        <f>'COG-M'!P671</f>
        <v>0</v>
      </c>
      <c r="G102" s="54">
        <f>'COG-M'!P672</f>
        <v>2096</v>
      </c>
      <c r="H102" s="54">
        <f>'COG-M'!P673</f>
        <v>0</v>
      </c>
      <c r="I102" s="54">
        <f>'COG-M'!P674</f>
        <v>0</v>
      </c>
      <c r="J102" s="54">
        <f>'COG-M'!P675</f>
        <v>0</v>
      </c>
      <c r="K102" s="54">
        <f>'COG-M'!P676</f>
        <v>0</v>
      </c>
      <c r="L102" s="54">
        <f>'COG-M'!P677</f>
        <v>0</v>
      </c>
      <c r="M102" s="55">
        <f t="shared" si="24"/>
        <v>3079</v>
      </c>
    </row>
    <row r="103" spans="1:13" ht="30" x14ac:dyDescent="0.25">
      <c r="A103" s="115">
        <v>293</v>
      </c>
      <c r="B103" s="88" t="s">
        <v>113</v>
      </c>
      <c r="C103" s="116">
        <f>'COG-M'!P678</f>
        <v>41036</v>
      </c>
      <c r="D103" s="54">
        <f>'COG-M'!P679</f>
        <v>0</v>
      </c>
      <c r="E103" s="54">
        <f>'COG-M'!P680</f>
        <v>0</v>
      </c>
      <c r="F103" s="54">
        <f>'COG-M'!P681</f>
        <v>0</v>
      </c>
      <c r="G103" s="54">
        <f>'COG-M'!P682</f>
        <v>54190</v>
      </c>
      <c r="H103" s="54">
        <f>'COG-M'!P683</f>
        <v>0</v>
      </c>
      <c r="I103" s="54">
        <f>'COG-M'!P684</f>
        <v>0</v>
      </c>
      <c r="J103" s="54">
        <f>'COG-M'!P685</f>
        <v>0</v>
      </c>
      <c r="K103" s="54">
        <f>'COG-M'!P686</f>
        <v>0</v>
      </c>
      <c r="L103" s="54">
        <f>'COG-M'!P687</f>
        <v>0</v>
      </c>
      <c r="M103" s="55">
        <f t="shared" si="24"/>
        <v>95226</v>
      </c>
    </row>
    <row r="104" spans="1:13" ht="30" x14ac:dyDescent="0.25">
      <c r="A104" s="115">
        <v>294</v>
      </c>
      <c r="B104" s="88" t="s">
        <v>114</v>
      </c>
      <c r="C104" s="116">
        <f>'COG-M'!P688</f>
        <v>11108</v>
      </c>
      <c r="D104" s="54">
        <f>'COG-M'!P689</f>
        <v>0</v>
      </c>
      <c r="E104" s="54">
        <f>'COG-M'!P690</f>
        <v>0</v>
      </c>
      <c r="F104" s="54">
        <f>'COG-M'!P691</f>
        <v>0</v>
      </c>
      <c r="G104" s="54">
        <f>'COG-M'!P692</f>
        <v>20702</v>
      </c>
      <c r="H104" s="54">
        <f>'COG-M'!P693</f>
        <v>0</v>
      </c>
      <c r="I104" s="54">
        <f>'COG-M'!P694</f>
        <v>0</v>
      </c>
      <c r="J104" s="54">
        <f>'COG-M'!P695</f>
        <v>0</v>
      </c>
      <c r="K104" s="54">
        <f>'COG-M'!P696</f>
        <v>0</v>
      </c>
      <c r="L104" s="54">
        <f>'COG-M'!P697</f>
        <v>0</v>
      </c>
      <c r="M104" s="55">
        <f t="shared" si="24"/>
        <v>31810</v>
      </c>
    </row>
    <row r="105" spans="1:13" ht="30" x14ac:dyDescent="0.25">
      <c r="A105" s="115">
        <v>295</v>
      </c>
      <c r="B105" s="88" t="s">
        <v>115</v>
      </c>
      <c r="C105" s="116">
        <f>'COG-M'!P698</f>
        <v>0</v>
      </c>
      <c r="D105" s="54">
        <f>'COG-M'!P699</f>
        <v>0</v>
      </c>
      <c r="E105" s="54">
        <f>'COG-M'!P700</f>
        <v>0</v>
      </c>
      <c r="F105" s="54">
        <f>'COG-M'!P701</f>
        <v>0</v>
      </c>
      <c r="G105" s="54">
        <f>'COG-M'!P702</f>
        <v>12256</v>
      </c>
      <c r="H105" s="54">
        <f>'COG-M'!P703</f>
        <v>0</v>
      </c>
      <c r="I105" s="54">
        <f>'COG-M'!P704</f>
        <v>0</v>
      </c>
      <c r="J105" s="54">
        <f>'COG-M'!P705</f>
        <v>0</v>
      </c>
      <c r="K105" s="54">
        <f>'COG-M'!P706</f>
        <v>0</v>
      </c>
      <c r="L105" s="54">
        <f>'COG-M'!P707</f>
        <v>0</v>
      </c>
      <c r="M105" s="55">
        <f t="shared" si="24"/>
        <v>12256</v>
      </c>
    </row>
    <row r="106" spans="1:13" x14ac:dyDescent="0.25">
      <c r="A106" s="115">
        <v>296</v>
      </c>
      <c r="B106" s="88" t="s">
        <v>116</v>
      </c>
      <c r="C106" s="116">
        <f>'COG-M'!P708</f>
        <v>191959</v>
      </c>
      <c r="D106" s="54">
        <f>'COG-M'!P709</f>
        <v>0</v>
      </c>
      <c r="E106" s="54">
        <f>'COG-M'!P710</f>
        <v>0</v>
      </c>
      <c r="F106" s="54">
        <f>'COG-M'!P711</f>
        <v>0</v>
      </c>
      <c r="G106" s="54">
        <f>'COG-M'!P712</f>
        <v>530136</v>
      </c>
      <c r="H106" s="54">
        <f>'COG-M'!P713</f>
        <v>0</v>
      </c>
      <c r="I106" s="54">
        <f>'COG-M'!P714</f>
        <v>0</v>
      </c>
      <c r="J106" s="54">
        <f>'COG-M'!P715</f>
        <v>161640</v>
      </c>
      <c r="K106" s="54">
        <f>'COG-M'!P716</f>
        <v>0</v>
      </c>
      <c r="L106" s="54">
        <f>'COG-M'!P717</f>
        <v>0</v>
      </c>
      <c r="M106" s="55">
        <f t="shared" si="24"/>
        <v>883735</v>
      </c>
    </row>
    <row r="107" spans="1:13" x14ac:dyDescent="0.25">
      <c r="A107" s="115">
        <v>297</v>
      </c>
      <c r="B107" s="88" t="s">
        <v>117</v>
      </c>
      <c r="C107" s="116">
        <f>'COG-M'!P718</f>
        <v>16856</v>
      </c>
      <c r="D107" s="54">
        <f>'COG-M'!P719</f>
        <v>0</v>
      </c>
      <c r="E107" s="54">
        <f>'COG-M'!P720</f>
        <v>0</v>
      </c>
      <c r="F107" s="54">
        <f>'COG-M'!P721</f>
        <v>0</v>
      </c>
      <c r="G107" s="54">
        <f>'COG-M'!P722</f>
        <v>12789</v>
      </c>
      <c r="H107" s="54">
        <f>'COG-M'!P723</f>
        <v>0</v>
      </c>
      <c r="I107" s="54">
        <f>'COG-M'!P724</f>
        <v>0</v>
      </c>
      <c r="J107" s="54">
        <f>'COG-M'!P725</f>
        <v>0</v>
      </c>
      <c r="K107" s="54">
        <f>'COG-M'!P726</f>
        <v>0</v>
      </c>
      <c r="L107" s="54">
        <f>'COG-M'!P727</f>
        <v>0</v>
      </c>
      <c r="M107" s="55">
        <f t="shared" si="24"/>
        <v>29645</v>
      </c>
    </row>
    <row r="108" spans="1:13" x14ac:dyDescent="0.25">
      <c r="A108" s="115">
        <v>298</v>
      </c>
      <c r="B108" s="88" t="s">
        <v>118</v>
      </c>
      <c r="C108" s="116">
        <f>'COG-M'!P728</f>
        <v>170667</v>
      </c>
      <c r="D108" s="54">
        <f>'COG-M'!P729</f>
        <v>0</v>
      </c>
      <c r="E108" s="54">
        <f>'COG-M'!P730</f>
        <v>0</v>
      </c>
      <c r="F108" s="54">
        <f>'COG-M'!P731</f>
        <v>0</v>
      </c>
      <c r="G108" s="54">
        <f>'COG-M'!P732</f>
        <v>607953</v>
      </c>
      <c r="H108" s="54">
        <f>'COG-M'!P733</f>
        <v>0</v>
      </c>
      <c r="I108" s="54">
        <f>'COG-M'!P734</f>
        <v>0</v>
      </c>
      <c r="J108" s="54">
        <f>'COG-M'!P735</f>
        <v>0</v>
      </c>
      <c r="K108" s="54">
        <f>'COG-M'!P736</f>
        <v>0</v>
      </c>
      <c r="L108" s="54">
        <f>'COG-M'!P737</f>
        <v>0</v>
      </c>
      <c r="M108" s="55">
        <f t="shared" si="24"/>
        <v>778620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2292</v>
      </c>
      <c r="C110" s="76">
        <f>C111+C121+C131+C141+C151+C161+C169+C179+C185</f>
        <v>1248686</v>
      </c>
      <c r="D110" s="77">
        <f t="shared" ref="D110:M110" si="25">D111+D121+D131+D141+D151+D161+D169+D179+D185</f>
        <v>0</v>
      </c>
      <c r="E110" s="77">
        <f t="shared" si="25"/>
        <v>0</v>
      </c>
      <c r="F110" s="77">
        <f t="shared" si="25"/>
        <v>0</v>
      </c>
      <c r="G110" s="77">
        <f t="shared" si="25"/>
        <v>11117082</v>
      </c>
      <c r="H110" s="77">
        <f t="shared" si="25"/>
        <v>0</v>
      </c>
      <c r="I110" s="77">
        <f t="shared" si="25"/>
        <v>0</v>
      </c>
      <c r="J110" s="77">
        <f t="shared" si="25"/>
        <v>305752</v>
      </c>
      <c r="K110" s="77">
        <f t="shared" si="25"/>
        <v>0</v>
      </c>
      <c r="L110" s="77">
        <f t="shared" si="25"/>
        <v>0</v>
      </c>
      <c r="M110" s="77">
        <f t="shared" si="25"/>
        <v>12671520</v>
      </c>
    </row>
    <row r="111" spans="1:13" x14ac:dyDescent="0.25">
      <c r="A111" s="121">
        <v>3100</v>
      </c>
      <c r="B111" s="122" t="s">
        <v>2293</v>
      </c>
      <c r="C111" s="72">
        <f>SUM(C112:C120)</f>
        <v>396336</v>
      </c>
      <c r="D111" s="73">
        <f t="shared" ref="D111:M111" si="26">SUM(D112:D120)</f>
        <v>0</v>
      </c>
      <c r="E111" s="73">
        <f t="shared" si="26"/>
        <v>0</v>
      </c>
      <c r="F111" s="73">
        <f t="shared" si="26"/>
        <v>0</v>
      </c>
      <c r="G111" s="73">
        <f t="shared" si="26"/>
        <v>1699683</v>
      </c>
      <c r="H111" s="73">
        <f t="shared" si="26"/>
        <v>0</v>
      </c>
      <c r="I111" s="73">
        <f t="shared" si="26"/>
        <v>0</v>
      </c>
      <c r="J111" s="73">
        <f t="shared" si="26"/>
        <v>0</v>
      </c>
      <c r="K111" s="73">
        <f t="shared" si="26"/>
        <v>0</v>
      </c>
      <c r="L111" s="73">
        <f t="shared" si="26"/>
        <v>0</v>
      </c>
      <c r="M111" s="73">
        <f t="shared" si="26"/>
        <v>2096019</v>
      </c>
    </row>
    <row r="112" spans="1:13" x14ac:dyDescent="0.25">
      <c r="A112" s="115">
        <v>311</v>
      </c>
      <c r="B112" s="88" t="s">
        <v>122</v>
      </c>
      <c r="C112" s="116">
        <f>'COG-M'!P750</f>
        <v>378166</v>
      </c>
      <c r="D112" s="54">
        <f>'COG-M'!P751</f>
        <v>0</v>
      </c>
      <c r="E112" s="54">
        <f>'COG-M'!P752</f>
        <v>0</v>
      </c>
      <c r="F112" s="54">
        <f>'COG-M'!P753</f>
        <v>0</v>
      </c>
      <c r="G112" s="54">
        <f>'COG-M'!P754</f>
        <v>1510972</v>
      </c>
      <c r="H112" s="54">
        <f>'COG-M'!P755</f>
        <v>0</v>
      </c>
      <c r="I112" s="54">
        <f>'COG-M'!P756</f>
        <v>0</v>
      </c>
      <c r="J112" s="54">
        <f>'COG-M'!P757</f>
        <v>0</v>
      </c>
      <c r="K112" s="54">
        <f>'COG-M'!P758</f>
        <v>0</v>
      </c>
      <c r="L112" s="54">
        <f>'COG-M'!P759</f>
        <v>0</v>
      </c>
      <c r="M112" s="55">
        <f t="shared" ref="M112:M120" si="27">SUM(C112:L112)</f>
        <v>1889138</v>
      </c>
    </row>
    <row r="113" spans="1:13" x14ac:dyDescent="0.25">
      <c r="A113" s="115">
        <v>312</v>
      </c>
      <c r="B113" s="88" t="s">
        <v>2294</v>
      </c>
      <c r="C113" s="116">
        <f>'COG-M'!P760</f>
        <v>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0</v>
      </c>
    </row>
    <row r="114" spans="1:13" x14ac:dyDescent="0.25">
      <c r="A114" s="115">
        <v>313</v>
      </c>
      <c r="B114" s="88" t="s">
        <v>124</v>
      </c>
      <c r="C114" s="116">
        <f>'COG-M'!P770</f>
        <v>0</v>
      </c>
      <c r="D114" s="54">
        <f>'COG-M'!P771</f>
        <v>0</v>
      </c>
      <c r="E114" s="54">
        <f>'COG-M'!P772</f>
        <v>0</v>
      </c>
      <c r="F114" s="54">
        <f>'COG-M'!P773</f>
        <v>0</v>
      </c>
      <c r="G114" s="54">
        <f>'COG-M'!P774</f>
        <v>47321</v>
      </c>
      <c r="H114" s="54">
        <f>'COG-M'!P775</f>
        <v>0</v>
      </c>
      <c r="I114" s="54">
        <f>'COG-M'!P776</f>
        <v>0</v>
      </c>
      <c r="J114" s="54">
        <f>'COG-M'!P777</f>
        <v>0</v>
      </c>
      <c r="K114" s="54">
        <f>'COG-M'!P778</f>
        <v>0</v>
      </c>
      <c r="L114" s="54">
        <f>'COG-M'!P779</f>
        <v>0</v>
      </c>
      <c r="M114" s="55">
        <f t="shared" si="27"/>
        <v>47321</v>
      </c>
    </row>
    <row r="115" spans="1:13" x14ac:dyDescent="0.25">
      <c r="A115" s="115">
        <v>314</v>
      </c>
      <c r="B115" s="88" t="s">
        <v>125</v>
      </c>
      <c r="C115" s="116">
        <f>'COG-M'!P780</f>
        <v>4450</v>
      </c>
      <c r="D115" s="54">
        <f>'COG-M'!P781</f>
        <v>0</v>
      </c>
      <c r="E115" s="54">
        <f>'COG-M'!P782</f>
        <v>0</v>
      </c>
      <c r="F115" s="54">
        <f>'COG-M'!P783</f>
        <v>0</v>
      </c>
      <c r="G115" s="54">
        <f>'COG-M'!P784</f>
        <v>22677</v>
      </c>
      <c r="H115" s="54">
        <f>'COG-M'!P785</f>
        <v>0</v>
      </c>
      <c r="I115" s="54">
        <f>'COG-M'!P786</f>
        <v>0</v>
      </c>
      <c r="J115" s="54">
        <f>'COG-M'!P787</f>
        <v>0</v>
      </c>
      <c r="K115" s="54">
        <f>'COG-M'!P788</f>
        <v>0</v>
      </c>
      <c r="L115" s="54">
        <f>'COG-M'!P789</f>
        <v>0</v>
      </c>
      <c r="M115" s="55">
        <f t="shared" si="27"/>
        <v>27127</v>
      </c>
    </row>
    <row r="116" spans="1:13" x14ac:dyDescent="0.25">
      <c r="A116" s="115">
        <v>315</v>
      </c>
      <c r="B116" s="88" t="s">
        <v>126</v>
      </c>
      <c r="C116" s="116">
        <f>'COG-M'!P790</f>
        <v>0</v>
      </c>
      <c r="D116" s="54">
        <f>'COG-M'!P791</f>
        <v>0</v>
      </c>
      <c r="E116" s="54">
        <f>'COG-M'!P792</f>
        <v>0</v>
      </c>
      <c r="F116" s="54">
        <f>'COG-M'!P793</f>
        <v>0</v>
      </c>
      <c r="G116" s="54">
        <f>'COG-M'!P794</f>
        <v>50103</v>
      </c>
      <c r="H116" s="54">
        <f>'COG-M'!P795</f>
        <v>0</v>
      </c>
      <c r="I116" s="54">
        <f>'COG-M'!P796</f>
        <v>0</v>
      </c>
      <c r="J116" s="54">
        <f>'COG-M'!P797</f>
        <v>0</v>
      </c>
      <c r="K116" s="54">
        <f>'COG-M'!P798</f>
        <v>0</v>
      </c>
      <c r="L116" s="54">
        <f>'COG-M'!P799</f>
        <v>0</v>
      </c>
      <c r="M116" s="55">
        <f t="shared" si="27"/>
        <v>50103</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12650</v>
      </c>
      <c r="D118" s="54">
        <f>'COG-M'!P811</f>
        <v>0</v>
      </c>
      <c r="E118" s="54">
        <f>'COG-M'!P812</f>
        <v>0</v>
      </c>
      <c r="F118" s="54">
        <f>'COG-M'!P813</f>
        <v>0</v>
      </c>
      <c r="G118" s="54">
        <f>'COG-M'!P814</f>
        <v>68610</v>
      </c>
      <c r="H118" s="54">
        <f>'COG-M'!P815</f>
        <v>0</v>
      </c>
      <c r="I118" s="54">
        <f>'COG-M'!P816</f>
        <v>0</v>
      </c>
      <c r="J118" s="54">
        <f>'COG-M'!P817</f>
        <v>0</v>
      </c>
      <c r="K118" s="54">
        <f>'COG-M'!P818</f>
        <v>0</v>
      </c>
      <c r="L118" s="54">
        <f>'COG-M'!P819</f>
        <v>0</v>
      </c>
      <c r="M118" s="55">
        <f t="shared" si="27"/>
        <v>81260</v>
      </c>
    </row>
    <row r="119" spans="1:13" x14ac:dyDescent="0.25">
      <c r="A119" s="115">
        <v>318</v>
      </c>
      <c r="B119" s="88" t="s">
        <v>129</v>
      </c>
      <c r="C119" s="116">
        <f>'COG-M'!P820</f>
        <v>1070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1070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2295</v>
      </c>
      <c r="C121" s="72">
        <f>SUM(C122:C130)</f>
        <v>42650</v>
      </c>
      <c r="D121" s="73">
        <f t="shared" ref="D121:M121" si="28">SUM(D122:D130)</f>
        <v>0</v>
      </c>
      <c r="E121" s="73">
        <f t="shared" si="28"/>
        <v>0</v>
      </c>
      <c r="F121" s="73">
        <f t="shared" si="28"/>
        <v>0</v>
      </c>
      <c r="G121" s="73">
        <f t="shared" si="28"/>
        <v>3377636</v>
      </c>
      <c r="H121" s="73">
        <f t="shared" si="28"/>
        <v>0</v>
      </c>
      <c r="I121" s="73">
        <f t="shared" si="28"/>
        <v>0</v>
      </c>
      <c r="J121" s="73">
        <f t="shared" si="28"/>
        <v>0</v>
      </c>
      <c r="K121" s="73">
        <f t="shared" si="28"/>
        <v>0</v>
      </c>
      <c r="L121" s="73">
        <f t="shared" si="28"/>
        <v>0</v>
      </c>
      <c r="M121" s="73">
        <f t="shared" si="28"/>
        <v>3420286</v>
      </c>
    </row>
    <row r="122" spans="1:13" x14ac:dyDescent="0.25">
      <c r="A122" s="115">
        <v>321</v>
      </c>
      <c r="B122" s="88" t="s">
        <v>132</v>
      </c>
      <c r="C122" s="116">
        <f>'COG-M'!P841</f>
        <v>0</v>
      </c>
      <c r="D122" s="54">
        <f>'COG-M'!P842</f>
        <v>0</v>
      </c>
      <c r="E122" s="54">
        <f>'COG-M'!P843</f>
        <v>0</v>
      </c>
      <c r="F122" s="54">
        <f>'COG-M'!P844</f>
        <v>0</v>
      </c>
      <c r="G122" s="54">
        <f>'COG-M'!P845</f>
        <v>30000</v>
      </c>
      <c r="H122" s="54">
        <f>'COG-M'!P846</f>
        <v>0</v>
      </c>
      <c r="I122" s="54">
        <f>'COG-M'!P847</f>
        <v>0</v>
      </c>
      <c r="J122" s="54">
        <f>'COG-M'!P848</f>
        <v>0</v>
      </c>
      <c r="K122" s="54">
        <f>'COG-M'!P849</f>
        <v>0</v>
      </c>
      <c r="L122" s="54">
        <f>'COG-M'!P850</f>
        <v>0</v>
      </c>
      <c r="M122" s="55">
        <f t="shared" ref="M122:M130" si="29">SUM(C122:L122)</f>
        <v>30000</v>
      </c>
    </row>
    <row r="123" spans="1:13" x14ac:dyDescent="0.25">
      <c r="A123" s="115">
        <v>322</v>
      </c>
      <c r="B123" s="88" t="s">
        <v>133</v>
      </c>
      <c r="C123" s="116">
        <f>'COG-M'!P851</f>
        <v>9000</v>
      </c>
      <c r="D123" s="54">
        <f>'COG-M'!P852</f>
        <v>0</v>
      </c>
      <c r="E123" s="54">
        <f>'COG-M'!P853</f>
        <v>0</v>
      </c>
      <c r="F123" s="54">
        <f>'COG-M'!P854</f>
        <v>0</v>
      </c>
      <c r="G123" s="54">
        <f>'COG-M'!P855</f>
        <v>36000</v>
      </c>
      <c r="H123" s="54">
        <f>'COG-M'!P856</f>
        <v>0</v>
      </c>
      <c r="I123" s="54">
        <f>'COG-M'!P857</f>
        <v>0</v>
      </c>
      <c r="J123" s="54">
        <f>'COG-M'!P858</f>
        <v>0</v>
      </c>
      <c r="K123" s="54">
        <f>'COG-M'!P859</f>
        <v>0</v>
      </c>
      <c r="L123" s="54">
        <f>'COG-M'!P860</f>
        <v>0</v>
      </c>
      <c r="M123" s="55">
        <f t="shared" si="29"/>
        <v>45000</v>
      </c>
    </row>
    <row r="124" spans="1:13" ht="30" x14ac:dyDescent="0.25">
      <c r="A124" s="115">
        <v>323</v>
      </c>
      <c r="B124" s="88" t="s">
        <v>134</v>
      </c>
      <c r="C124" s="116">
        <f>'COG-M'!P861</f>
        <v>33650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33650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0</v>
      </c>
      <c r="D127" s="54">
        <f>'COG-M'!P892</f>
        <v>0</v>
      </c>
      <c r="E127" s="54">
        <f>'COG-M'!P893</f>
        <v>0</v>
      </c>
      <c r="F127" s="54">
        <f>'COG-M'!P894</f>
        <v>0</v>
      </c>
      <c r="G127" s="54">
        <f>'COG-M'!P895</f>
        <v>3306000</v>
      </c>
      <c r="H127" s="54">
        <f>'COG-M'!P896</f>
        <v>0</v>
      </c>
      <c r="I127" s="54">
        <f>'COG-M'!P897</f>
        <v>0</v>
      </c>
      <c r="J127" s="54">
        <f>'COG-M'!P898</f>
        <v>0</v>
      </c>
      <c r="K127" s="54">
        <f>'COG-M'!P899</f>
        <v>0</v>
      </c>
      <c r="L127" s="54">
        <f>'COG-M'!P900</f>
        <v>0</v>
      </c>
      <c r="M127" s="55">
        <f t="shared" si="29"/>
        <v>3306000</v>
      </c>
    </row>
    <row r="128" spans="1:13" x14ac:dyDescent="0.25">
      <c r="A128" s="115">
        <v>327</v>
      </c>
      <c r="B128" s="88" t="s">
        <v>138</v>
      </c>
      <c r="C128" s="116">
        <f>'COG-M'!P901</f>
        <v>0</v>
      </c>
      <c r="D128" s="54">
        <f>'COG-M'!P902</f>
        <v>0</v>
      </c>
      <c r="E128" s="54">
        <f>'COG-M'!P903</f>
        <v>0</v>
      </c>
      <c r="F128" s="54">
        <f>'COG-M'!P904</f>
        <v>0</v>
      </c>
      <c r="G128" s="54">
        <f>'COG-M'!P905</f>
        <v>5636</v>
      </c>
      <c r="H128" s="54">
        <f>'COG-M'!P906</f>
        <v>0</v>
      </c>
      <c r="I128" s="54">
        <f>'COG-M'!P907</f>
        <v>0</v>
      </c>
      <c r="J128" s="54">
        <f>'COG-M'!P908</f>
        <v>0</v>
      </c>
      <c r="K128" s="54">
        <f>'COG-M'!P909</f>
        <v>0</v>
      </c>
      <c r="L128" s="54">
        <f>'COG-M'!P910</f>
        <v>0</v>
      </c>
      <c r="M128" s="55">
        <f t="shared" si="29"/>
        <v>5636</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25">
      <c r="A131" s="121">
        <v>3300</v>
      </c>
      <c r="B131" s="122" t="s">
        <v>2437</v>
      </c>
      <c r="C131" s="72">
        <f>SUM(C132:C140)</f>
        <v>0</v>
      </c>
      <c r="D131" s="73">
        <f t="shared" ref="D131:M131" si="30">SUM(D132:D140)</f>
        <v>0</v>
      </c>
      <c r="E131" s="73">
        <f t="shared" si="30"/>
        <v>0</v>
      </c>
      <c r="F131" s="73">
        <f t="shared" si="30"/>
        <v>0</v>
      </c>
      <c r="G131" s="73">
        <f t="shared" si="30"/>
        <v>794137</v>
      </c>
      <c r="H131" s="73">
        <f t="shared" si="30"/>
        <v>0</v>
      </c>
      <c r="I131" s="73">
        <f t="shared" si="30"/>
        <v>0</v>
      </c>
      <c r="J131" s="73">
        <f t="shared" si="30"/>
        <v>0</v>
      </c>
      <c r="K131" s="73">
        <f t="shared" si="30"/>
        <v>0</v>
      </c>
      <c r="L131" s="73">
        <f t="shared" si="30"/>
        <v>0</v>
      </c>
      <c r="M131" s="73">
        <f t="shared" si="30"/>
        <v>794137</v>
      </c>
    </row>
    <row r="132" spans="1:13" x14ac:dyDescent="0.25">
      <c r="A132" s="115">
        <v>331</v>
      </c>
      <c r="B132" s="88" t="s">
        <v>142</v>
      </c>
      <c r="C132" s="116">
        <f>'COG-M'!P932</f>
        <v>0</v>
      </c>
      <c r="D132" s="54">
        <f>'COG-M'!P933</f>
        <v>0</v>
      </c>
      <c r="E132" s="54">
        <f>'COG-M'!P934</f>
        <v>0</v>
      </c>
      <c r="F132" s="54">
        <f>'COG-M'!P935</f>
        <v>0</v>
      </c>
      <c r="G132" s="54">
        <f>'COG-M'!P936</f>
        <v>330557</v>
      </c>
      <c r="H132" s="54">
        <f>'COG-M'!P937</f>
        <v>0</v>
      </c>
      <c r="I132" s="54">
        <f>'COG-M'!P938</f>
        <v>0</v>
      </c>
      <c r="J132" s="54">
        <f>'COG-M'!P939</f>
        <v>0</v>
      </c>
      <c r="K132" s="54">
        <f>'COG-M'!P940</f>
        <v>0</v>
      </c>
      <c r="L132" s="54">
        <f>'COG-M'!P941</f>
        <v>0</v>
      </c>
      <c r="M132" s="55">
        <f t="shared" ref="M132:M140" si="31">SUM(C132:L132)</f>
        <v>330557</v>
      </c>
    </row>
    <row r="133" spans="1:13" x14ac:dyDescent="0.25">
      <c r="A133" s="115">
        <v>332</v>
      </c>
      <c r="B133" s="88" t="s">
        <v>143</v>
      </c>
      <c r="C133" s="116">
        <f>'COG-M'!P942</f>
        <v>0</v>
      </c>
      <c r="D133" s="54">
        <f>'COG-M'!P943</f>
        <v>0</v>
      </c>
      <c r="E133" s="54">
        <f>'COG-M'!P944</f>
        <v>0</v>
      </c>
      <c r="F133" s="54">
        <f>'COG-M'!P945</f>
        <v>0</v>
      </c>
      <c r="G133" s="54">
        <f>'COG-M'!P946</f>
        <v>45980</v>
      </c>
      <c r="H133" s="54">
        <f>'COG-M'!P947</f>
        <v>0</v>
      </c>
      <c r="I133" s="54">
        <f>'COG-M'!P948</f>
        <v>0</v>
      </c>
      <c r="J133" s="54">
        <f>'COG-M'!P949</f>
        <v>0</v>
      </c>
      <c r="K133" s="54">
        <f>'COG-M'!P950</f>
        <v>0</v>
      </c>
      <c r="L133" s="54">
        <f>'COG-M'!P951</f>
        <v>0</v>
      </c>
      <c r="M133" s="55">
        <f t="shared" si="31"/>
        <v>45980</v>
      </c>
    </row>
    <row r="134" spans="1:13" ht="30" x14ac:dyDescent="0.25">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5">
        <v>334</v>
      </c>
      <c r="B135" s="88" t="s">
        <v>145</v>
      </c>
      <c r="C135" s="116">
        <f>'COG-M'!P962</f>
        <v>0</v>
      </c>
      <c r="D135" s="54">
        <f>'COG-M'!P963</f>
        <v>0</v>
      </c>
      <c r="E135" s="54">
        <f>'COG-M'!P964</f>
        <v>0</v>
      </c>
      <c r="F135" s="54">
        <f>'COG-M'!P965</f>
        <v>0</v>
      </c>
      <c r="G135" s="54">
        <f>'COG-M'!P966</f>
        <v>417600</v>
      </c>
      <c r="H135" s="54">
        <f>'COG-M'!P967</f>
        <v>0</v>
      </c>
      <c r="I135" s="54">
        <f>'COG-M'!P968</f>
        <v>0</v>
      </c>
      <c r="J135" s="54">
        <f>'COG-M'!P969</f>
        <v>0</v>
      </c>
      <c r="K135" s="54">
        <f>'COG-M'!P970</f>
        <v>0</v>
      </c>
      <c r="L135" s="54">
        <f>'COG-M'!P971</f>
        <v>0</v>
      </c>
      <c r="M135" s="55">
        <f t="shared" si="31"/>
        <v>417600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2438</v>
      </c>
      <c r="C141" s="72">
        <f>SUM(C142:C150)</f>
        <v>16682</v>
      </c>
      <c r="D141" s="73">
        <f t="shared" ref="D141:M141" si="32">SUM(D142:D150)</f>
        <v>0</v>
      </c>
      <c r="E141" s="73">
        <f t="shared" si="32"/>
        <v>0</v>
      </c>
      <c r="F141" s="73">
        <f t="shared" si="32"/>
        <v>0</v>
      </c>
      <c r="G141" s="73">
        <f t="shared" si="32"/>
        <v>494579</v>
      </c>
      <c r="H141" s="73">
        <f t="shared" si="32"/>
        <v>0</v>
      </c>
      <c r="I141" s="73">
        <f t="shared" si="32"/>
        <v>0</v>
      </c>
      <c r="J141" s="73">
        <f t="shared" si="32"/>
        <v>680</v>
      </c>
      <c r="K141" s="73">
        <f t="shared" si="32"/>
        <v>0</v>
      </c>
      <c r="L141" s="73">
        <f t="shared" si="32"/>
        <v>0</v>
      </c>
      <c r="M141" s="73">
        <f t="shared" si="32"/>
        <v>511941</v>
      </c>
    </row>
    <row r="142" spans="1:13" x14ac:dyDescent="0.25">
      <c r="A142" s="115">
        <v>341</v>
      </c>
      <c r="B142" s="88" t="s">
        <v>152</v>
      </c>
      <c r="C142" s="116">
        <f>'COG-M'!P1023</f>
        <v>477</v>
      </c>
      <c r="D142" s="54">
        <f>'COG-M'!P1024</f>
        <v>0</v>
      </c>
      <c r="E142" s="54">
        <f>'COG-M'!P1025</f>
        <v>0</v>
      </c>
      <c r="F142" s="54">
        <f>'COG-M'!P1026</f>
        <v>0</v>
      </c>
      <c r="G142" s="54">
        <f>'COG-M'!P1027</f>
        <v>70309</v>
      </c>
      <c r="H142" s="54">
        <f>'COG-M'!P1028</f>
        <v>0</v>
      </c>
      <c r="I142" s="54">
        <f>'COG-M'!P1029</f>
        <v>0</v>
      </c>
      <c r="J142" s="54">
        <f>'COG-M'!P1030</f>
        <v>680</v>
      </c>
      <c r="K142" s="54">
        <f>'COG-M'!P1031</f>
        <v>0</v>
      </c>
      <c r="L142" s="54">
        <f>'COG-M'!P1032</f>
        <v>0</v>
      </c>
      <c r="M142" s="55">
        <f t="shared" ref="M142:M150" si="33">SUM(C142:L142)</f>
        <v>71466</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0</v>
      </c>
      <c r="D145" s="54">
        <f>'COG-M'!P1054</f>
        <v>0</v>
      </c>
      <c r="E145" s="54">
        <f>'COG-M'!P1055</f>
        <v>0</v>
      </c>
      <c r="F145" s="54">
        <f>'COG-M'!P1056</f>
        <v>0</v>
      </c>
      <c r="G145" s="54">
        <f>'COG-M'!P1057</f>
        <v>27500</v>
      </c>
      <c r="H145" s="54">
        <f>'COG-M'!P1058</f>
        <v>0</v>
      </c>
      <c r="I145" s="54">
        <f>'COG-M'!P1059</f>
        <v>0</v>
      </c>
      <c r="J145" s="54">
        <f>'COG-M'!P1060</f>
        <v>0</v>
      </c>
      <c r="K145" s="54">
        <f>'COG-M'!P1061</f>
        <v>0</v>
      </c>
      <c r="L145" s="54">
        <f>'COG-M'!P1062</f>
        <v>0</v>
      </c>
      <c r="M145" s="55">
        <f t="shared" si="33"/>
        <v>27500</v>
      </c>
    </row>
    <row r="146" spans="1:13" x14ac:dyDescent="0.25">
      <c r="A146" s="115">
        <v>345</v>
      </c>
      <c r="B146" s="88" t="s">
        <v>156</v>
      </c>
      <c r="C146" s="116">
        <f>'COG-M'!P1063</f>
        <v>0</v>
      </c>
      <c r="D146" s="54">
        <f>'COG-M'!P1064</f>
        <v>0</v>
      </c>
      <c r="E146" s="54">
        <f>'COG-M'!P1065</f>
        <v>0</v>
      </c>
      <c r="F146" s="54">
        <f>'COG-M'!P1066</f>
        <v>0</v>
      </c>
      <c r="G146" s="54">
        <f>'COG-M'!P1067</f>
        <v>334701</v>
      </c>
      <c r="H146" s="54">
        <f>'COG-M'!P1068</f>
        <v>0</v>
      </c>
      <c r="I146" s="54">
        <f>'COG-M'!P1069</f>
        <v>0</v>
      </c>
      <c r="J146" s="54">
        <f>'COG-M'!P1070</f>
        <v>0</v>
      </c>
      <c r="K146" s="54">
        <f>'COG-M'!P1071</f>
        <v>0</v>
      </c>
      <c r="L146" s="54">
        <f>'COG-M'!P1072</f>
        <v>0</v>
      </c>
      <c r="M146" s="55">
        <f t="shared" si="33"/>
        <v>334701</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16205</v>
      </c>
      <c r="D148" s="54">
        <f>'COG-M'!P1084</f>
        <v>0</v>
      </c>
      <c r="E148" s="54">
        <f>'COG-M'!P1085</f>
        <v>0</v>
      </c>
      <c r="F148" s="54">
        <f>'COG-M'!P1086</f>
        <v>0</v>
      </c>
      <c r="G148" s="54">
        <f>'COG-M'!P1087</f>
        <v>62069</v>
      </c>
      <c r="H148" s="54">
        <f>'COG-M'!P1088</f>
        <v>0</v>
      </c>
      <c r="I148" s="54">
        <f>'COG-M'!P1089</f>
        <v>0</v>
      </c>
      <c r="J148" s="54">
        <f>'COG-M'!P1090</f>
        <v>0</v>
      </c>
      <c r="K148" s="54">
        <f>'COG-M'!P1091</f>
        <v>0</v>
      </c>
      <c r="L148" s="54">
        <f>'COG-M'!P1092</f>
        <v>0</v>
      </c>
      <c r="M148" s="55">
        <f t="shared" si="33"/>
        <v>78274</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2439</v>
      </c>
      <c r="C151" s="72">
        <f>SUM(C152:C160)</f>
        <v>251806</v>
      </c>
      <c r="D151" s="73">
        <f t="shared" ref="D151:M151" si="34">SUM(D152:D160)</f>
        <v>0</v>
      </c>
      <c r="E151" s="73">
        <f t="shared" si="34"/>
        <v>0</v>
      </c>
      <c r="F151" s="73">
        <f t="shared" si="34"/>
        <v>0</v>
      </c>
      <c r="G151" s="73">
        <f t="shared" si="34"/>
        <v>1943199</v>
      </c>
      <c r="H151" s="73">
        <f t="shared" si="34"/>
        <v>0</v>
      </c>
      <c r="I151" s="73">
        <f t="shared" si="34"/>
        <v>0</v>
      </c>
      <c r="J151" s="73">
        <f t="shared" si="34"/>
        <v>305072</v>
      </c>
      <c r="K151" s="73">
        <f t="shared" si="34"/>
        <v>0</v>
      </c>
      <c r="L151" s="73">
        <f t="shared" si="34"/>
        <v>0</v>
      </c>
      <c r="M151" s="73">
        <f t="shared" si="34"/>
        <v>2500077</v>
      </c>
    </row>
    <row r="152" spans="1:13" x14ac:dyDescent="0.25">
      <c r="A152" s="115">
        <v>351</v>
      </c>
      <c r="B152" s="88" t="s">
        <v>162</v>
      </c>
      <c r="C152" s="116">
        <f>'COG-M'!P1114</f>
        <v>0</v>
      </c>
      <c r="D152" s="54">
        <f>'COG-M'!P1115</f>
        <v>0</v>
      </c>
      <c r="E152" s="54">
        <f>'COG-M'!P1116</f>
        <v>0</v>
      </c>
      <c r="F152" s="54">
        <f>'COG-M'!P1117</f>
        <v>0</v>
      </c>
      <c r="G152" s="54">
        <f>'COG-M'!P1118</f>
        <v>279471</v>
      </c>
      <c r="H152" s="54">
        <f>'COG-M'!P1119</f>
        <v>0</v>
      </c>
      <c r="I152" s="54">
        <f>'COG-M'!P1120</f>
        <v>0</v>
      </c>
      <c r="J152" s="54">
        <f>'COG-M'!P1121</f>
        <v>0</v>
      </c>
      <c r="K152" s="54">
        <f>'COG-M'!P1122</f>
        <v>0</v>
      </c>
      <c r="L152" s="54">
        <f>'COG-M'!P1123</f>
        <v>0</v>
      </c>
      <c r="M152" s="55">
        <f t="shared" ref="M152:M160" si="35">SUM(C152:L152)</f>
        <v>279471</v>
      </c>
    </row>
    <row r="153" spans="1:13" ht="30" x14ac:dyDescent="0.25">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x14ac:dyDescent="0.25">
      <c r="A154" s="115">
        <v>353</v>
      </c>
      <c r="B154" s="88" t="s">
        <v>164</v>
      </c>
      <c r="C154" s="116">
        <f>'COG-M'!P1134</f>
        <v>13298</v>
      </c>
      <c r="D154" s="54">
        <f>'COG-M'!P1135</f>
        <v>0</v>
      </c>
      <c r="E154" s="54">
        <f>'COG-M'!P1136</f>
        <v>0</v>
      </c>
      <c r="F154" s="54">
        <f>'COG-M'!P1137</f>
        <v>0</v>
      </c>
      <c r="G154" s="54">
        <f>'COG-M'!P1138</f>
        <v>187570</v>
      </c>
      <c r="H154" s="54">
        <f>'COG-M'!P1139</f>
        <v>0</v>
      </c>
      <c r="I154" s="54">
        <f>'COG-M'!P1140</f>
        <v>0</v>
      </c>
      <c r="J154" s="54">
        <f>'COG-M'!P1141</f>
        <v>0</v>
      </c>
      <c r="K154" s="54">
        <f>'COG-M'!P1142</f>
        <v>0</v>
      </c>
      <c r="L154" s="54">
        <f>'COG-M'!P1143</f>
        <v>0</v>
      </c>
      <c r="M154" s="55">
        <f t="shared" si="35"/>
        <v>200868</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70043</v>
      </c>
      <c r="D156" s="54">
        <f>'COG-M'!P1155</f>
        <v>0</v>
      </c>
      <c r="E156" s="54">
        <f>'COG-M'!P1156</f>
        <v>0</v>
      </c>
      <c r="F156" s="54">
        <f>'COG-M'!P1157</f>
        <v>0</v>
      </c>
      <c r="G156" s="54">
        <f>'COG-M'!P1158</f>
        <v>718660</v>
      </c>
      <c r="H156" s="54">
        <f>'COG-M'!P1159</f>
        <v>0</v>
      </c>
      <c r="I156" s="54">
        <f>'COG-M'!P1160</f>
        <v>0</v>
      </c>
      <c r="J156" s="54">
        <f>'COG-M'!P1161</f>
        <v>305072</v>
      </c>
      <c r="K156" s="54">
        <f>'COG-M'!P1162</f>
        <v>0</v>
      </c>
      <c r="L156" s="54">
        <f>'COG-M'!P1163</f>
        <v>0</v>
      </c>
      <c r="M156" s="55">
        <f t="shared" si="35"/>
        <v>1093775</v>
      </c>
    </row>
    <row r="157" spans="1:13" x14ac:dyDescent="0.25">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5">
        <v>357</v>
      </c>
      <c r="B158" s="88" t="s">
        <v>168</v>
      </c>
      <c r="C158" s="116">
        <f>'COG-M'!P1174</f>
        <v>168465</v>
      </c>
      <c r="D158" s="54">
        <f>'COG-M'!P1175</f>
        <v>0</v>
      </c>
      <c r="E158" s="54">
        <f>'COG-M'!P1176</f>
        <v>0</v>
      </c>
      <c r="F158" s="54">
        <f>'COG-M'!P1177</f>
        <v>0</v>
      </c>
      <c r="G158" s="54">
        <f>'COG-M'!P1178</f>
        <v>757498</v>
      </c>
      <c r="H158" s="54">
        <f>'COG-M'!P1179</f>
        <v>0</v>
      </c>
      <c r="I158" s="54">
        <f>'COG-M'!P1180</f>
        <v>0</v>
      </c>
      <c r="J158" s="54">
        <f>'COG-M'!P1181</f>
        <v>0</v>
      </c>
      <c r="K158" s="54">
        <f>'COG-M'!P1182</f>
        <v>0</v>
      </c>
      <c r="L158" s="54">
        <f>'COG-M'!P1183</f>
        <v>0</v>
      </c>
      <c r="M158" s="55">
        <f t="shared" si="35"/>
        <v>925963</v>
      </c>
    </row>
    <row r="159" spans="1:13" x14ac:dyDescent="0.25">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5">
        <v>359</v>
      </c>
      <c r="B160" s="88" t="s">
        <v>170</v>
      </c>
      <c r="C160" s="116">
        <f>'COG-M'!P1194</f>
        <v>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0</v>
      </c>
    </row>
    <row r="161" spans="1:13" x14ac:dyDescent="0.25">
      <c r="A161" s="121">
        <v>3600</v>
      </c>
      <c r="B161" s="122" t="s">
        <v>2440</v>
      </c>
      <c r="C161" s="72">
        <f>SUM(C162:C168)</f>
        <v>7900</v>
      </c>
      <c r="D161" s="73">
        <f t="shared" ref="D161:M161" si="36">SUM(D162:D168)</f>
        <v>0</v>
      </c>
      <c r="E161" s="73">
        <f t="shared" si="36"/>
        <v>0</v>
      </c>
      <c r="F161" s="73">
        <f t="shared" si="36"/>
        <v>0</v>
      </c>
      <c r="G161" s="73">
        <f t="shared" si="36"/>
        <v>17400</v>
      </c>
      <c r="H161" s="73">
        <f t="shared" si="36"/>
        <v>0</v>
      </c>
      <c r="I161" s="73">
        <f t="shared" si="36"/>
        <v>0</v>
      </c>
      <c r="J161" s="73">
        <f t="shared" si="36"/>
        <v>0</v>
      </c>
      <c r="K161" s="73">
        <f t="shared" si="36"/>
        <v>0</v>
      </c>
      <c r="L161" s="73">
        <f t="shared" si="36"/>
        <v>0</v>
      </c>
      <c r="M161" s="73">
        <f t="shared" si="36"/>
        <v>25300</v>
      </c>
    </row>
    <row r="162" spans="1:13" ht="30" x14ac:dyDescent="0.25">
      <c r="A162" s="115">
        <v>361</v>
      </c>
      <c r="B162" s="88" t="s">
        <v>172</v>
      </c>
      <c r="C162" s="116">
        <f>'COG-M'!P1205</f>
        <v>7900</v>
      </c>
      <c r="D162" s="54">
        <f>'COG-M'!P1206</f>
        <v>0</v>
      </c>
      <c r="E162" s="54">
        <f>'COG-M'!P1207</f>
        <v>0</v>
      </c>
      <c r="F162" s="54">
        <f>'COG-M'!P1208</f>
        <v>0</v>
      </c>
      <c r="G162" s="54">
        <f>'COG-M'!P1209</f>
        <v>17400</v>
      </c>
      <c r="H162" s="54">
        <f>'COG-M'!P1210</f>
        <v>0</v>
      </c>
      <c r="I162" s="54">
        <f>'COG-M'!P1211</f>
        <v>0</v>
      </c>
      <c r="J162" s="54">
        <f>'COG-M'!P1212</f>
        <v>0</v>
      </c>
      <c r="K162" s="54">
        <f>'COG-M'!P1213</f>
        <v>0</v>
      </c>
      <c r="L162" s="54">
        <f>'COG-M'!P1214</f>
        <v>0</v>
      </c>
      <c r="M162" s="55">
        <f t="shared" ref="M162:M168" si="37">SUM(C162:L162)</f>
        <v>25300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2299</v>
      </c>
      <c r="C169" s="72">
        <f>SUM(C170:C178)</f>
        <v>25840</v>
      </c>
      <c r="D169" s="73">
        <f t="shared" ref="D169:L169" si="38">SUM(D170:D178)</f>
        <v>0</v>
      </c>
      <c r="E169" s="73">
        <f t="shared" si="38"/>
        <v>0</v>
      </c>
      <c r="F169" s="73">
        <f t="shared" si="38"/>
        <v>0</v>
      </c>
      <c r="G169" s="73">
        <f t="shared" si="38"/>
        <v>59896</v>
      </c>
      <c r="H169" s="73">
        <f t="shared" si="38"/>
        <v>0</v>
      </c>
      <c r="I169" s="73">
        <f t="shared" si="38"/>
        <v>0</v>
      </c>
      <c r="J169" s="73">
        <f t="shared" si="38"/>
        <v>0</v>
      </c>
      <c r="K169" s="73">
        <f t="shared" si="38"/>
        <v>0</v>
      </c>
      <c r="L169" s="73">
        <f t="shared" si="38"/>
        <v>0</v>
      </c>
      <c r="M169" s="73">
        <f>SUM(M170:M178)</f>
        <v>85736</v>
      </c>
    </row>
    <row r="170" spans="1:13" x14ac:dyDescent="0.25">
      <c r="A170" s="115">
        <v>371</v>
      </c>
      <c r="B170" s="88" t="s">
        <v>179</v>
      </c>
      <c r="C170" s="116">
        <f>'COG-M'!P1276</f>
        <v>22150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22150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3690</v>
      </c>
      <c r="D174" s="54">
        <f>'COG-M'!P1317</f>
        <v>0</v>
      </c>
      <c r="E174" s="54">
        <f>'COG-M'!P1318</f>
        <v>0</v>
      </c>
      <c r="F174" s="54">
        <f>'COG-M'!P1319</f>
        <v>0</v>
      </c>
      <c r="G174" s="54">
        <f>'COG-M'!P1320</f>
        <v>59896</v>
      </c>
      <c r="H174" s="54">
        <f>'COG-M'!P1321</f>
        <v>0</v>
      </c>
      <c r="I174" s="54">
        <f>'COG-M'!P1322</f>
        <v>0</v>
      </c>
      <c r="J174" s="54">
        <f>'COG-M'!P1323</f>
        <v>0</v>
      </c>
      <c r="K174" s="54">
        <f>'COG-M'!P1324</f>
        <v>0</v>
      </c>
      <c r="L174" s="54">
        <f>'COG-M'!P1325</f>
        <v>0</v>
      </c>
      <c r="M174" s="55">
        <f t="shared" si="39"/>
        <v>63586</v>
      </c>
    </row>
    <row r="175" spans="1:13" x14ac:dyDescent="0.25">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25">
      <c r="A179" s="121">
        <v>3800</v>
      </c>
      <c r="B179" s="122" t="s">
        <v>2301</v>
      </c>
      <c r="C179" s="72">
        <f>SUM(C180:C184)</f>
        <v>507472</v>
      </c>
      <c r="D179" s="73">
        <f t="shared" ref="D179:M179" si="40">SUM(D180:D184)</f>
        <v>0</v>
      </c>
      <c r="E179" s="73">
        <f t="shared" si="40"/>
        <v>0</v>
      </c>
      <c r="F179" s="73">
        <f t="shared" si="40"/>
        <v>0</v>
      </c>
      <c r="G179" s="73">
        <f t="shared" si="40"/>
        <v>2084106</v>
      </c>
      <c r="H179" s="73">
        <f t="shared" si="40"/>
        <v>0</v>
      </c>
      <c r="I179" s="73">
        <f t="shared" si="40"/>
        <v>0</v>
      </c>
      <c r="J179" s="73">
        <f t="shared" si="40"/>
        <v>0</v>
      </c>
      <c r="K179" s="73">
        <f t="shared" si="40"/>
        <v>0</v>
      </c>
      <c r="L179" s="73">
        <f t="shared" si="40"/>
        <v>0</v>
      </c>
      <c r="M179" s="73">
        <f t="shared" si="40"/>
        <v>2591578</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507472</v>
      </c>
      <c r="D181" s="54">
        <f>'COG-M'!P1378</f>
        <v>0</v>
      </c>
      <c r="E181" s="54">
        <f>'COG-M'!P1379</f>
        <v>0</v>
      </c>
      <c r="F181" s="54">
        <f>'COG-M'!P1380</f>
        <v>0</v>
      </c>
      <c r="G181" s="54">
        <f>'COG-M'!P1381</f>
        <v>2084106</v>
      </c>
      <c r="H181" s="54">
        <f>'COG-M'!P1382</f>
        <v>0</v>
      </c>
      <c r="I181" s="54">
        <f>'COG-M'!P1383</f>
        <v>0</v>
      </c>
      <c r="J181" s="54">
        <f>'COG-M'!P1384</f>
        <v>0</v>
      </c>
      <c r="K181" s="54">
        <f>'COG-M'!P1385</f>
        <v>0</v>
      </c>
      <c r="L181" s="54">
        <f>'COG-M'!P1386</f>
        <v>0</v>
      </c>
      <c r="M181" s="55">
        <f>SUM(C181:L181)</f>
        <v>2591578</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0</v>
      </c>
      <c r="D185" s="73">
        <f t="shared" ref="D185:M185" si="41">SUM(D186:D194)</f>
        <v>0</v>
      </c>
      <c r="E185" s="73">
        <f t="shared" si="41"/>
        <v>0</v>
      </c>
      <c r="F185" s="73">
        <f t="shared" si="41"/>
        <v>0</v>
      </c>
      <c r="G185" s="73">
        <f t="shared" si="41"/>
        <v>646446</v>
      </c>
      <c r="H185" s="73">
        <f t="shared" si="41"/>
        <v>0</v>
      </c>
      <c r="I185" s="73">
        <f t="shared" si="41"/>
        <v>0</v>
      </c>
      <c r="J185" s="73">
        <f t="shared" si="41"/>
        <v>0</v>
      </c>
      <c r="K185" s="73">
        <f t="shared" si="41"/>
        <v>0</v>
      </c>
      <c r="L185" s="73">
        <f t="shared" si="41"/>
        <v>0</v>
      </c>
      <c r="M185" s="73">
        <f t="shared" si="41"/>
        <v>646446</v>
      </c>
    </row>
    <row r="186" spans="1:13" x14ac:dyDescent="0.25">
      <c r="A186" s="115">
        <v>391</v>
      </c>
      <c r="B186" s="88" t="s">
        <v>195</v>
      </c>
      <c r="C186" s="116">
        <f>'COG-M'!P1418</f>
        <v>0</v>
      </c>
      <c r="D186" s="54">
        <f>'COG-M'!P1419</f>
        <v>0</v>
      </c>
      <c r="E186" s="54">
        <f>'COG-M'!P1420</f>
        <v>0</v>
      </c>
      <c r="F186" s="54">
        <f>'COG-M'!P1421</f>
        <v>0</v>
      </c>
      <c r="G186" s="54">
        <f>'COG-M'!P1422</f>
        <v>45800</v>
      </c>
      <c r="H186" s="54">
        <f>'COG-M'!P1423</f>
        <v>0</v>
      </c>
      <c r="I186" s="54">
        <f>'COG-M'!P1424</f>
        <v>0</v>
      </c>
      <c r="J186" s="54">
        <f>'COG-M'!P1425</f>
        <v>0</v>
      </c>
      <c r="K186" s="54">
        <f>'COG-M'!P1426</f>
        <v>0</v>
      </c>
      <c r="L186" s="54">
        <f>'COG-M'!P1427</f>
        <v>0</v>
      </c>
      <c r="M186" s="55">
        <f t="shared" ref="M186:M194" si="42">SUM(C186:L186)</f>
        <v>45800</v>
      </c>
    </row>
    <row r="187" spans="1:13" x14ac:dyDescent="0.25">
      <c r="A187" s="115">
        <v>392</v>
      </c>
      <c r="B187" s="88" t="s">
        <v>196</v>
      </c>
      <c r="C187" s="116">
        <f>'COG-M'!P1428</f>
        <v>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0</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0</v>
      </c>
      <c r="D189" s="54">
        <f>'COG-M'!P1449</f>
        <v>0</v>
      </c>
      <c r="E189" s="54">
        <f>'COG-M'!P1450</f>
        <v>0</v>
      </c>
      <c r="F189" s="54">
        <f>'COG-M'!P1451</f>
        <v>0</v>
      </c>
      <c r="G189" s="54">
        <f>'COG-M'!P1452</f>
        <v>595437</v>
      </c>
      <c r="H189" s="54">
        <f>'COG-M'!P1453</f>
        <v>0</v>
      </c>
      <c r="I189" s="54">
        <f>'COG-M'!P1454</f>
        <v>0</v>
      </c>
      <c r="J189" s="54">
        <f>'COG-M'!P1455</f>
        <v>0</v>
      </c>
      <c r="K189" s="54">
        <f>'COG-M'!P1456</f>
        <v>0</v>
      </c>
      <c r="L189" s="54">
        <f>'COG-M'!P1457</f>
        <v>0</v>
      </c>
      <c r="M189" s="55">
        <f t="shared" si="42"/>
        <v>595437</v>
      </c>
    </row>
    <row r="190" spans="1:13" x14ac:dyDescent="0.25">
      <c r="A190" s="115">
        <v>395</v>
      </c>
      <c r="B190" s="88" t="s">
        <v>199</v>
      </c>
      <c r="C190" s="116">
        <f>'COG-M'!P1458</f>
        <v>0</v>
      </c>
      <c r="D190" s="54">
        <f>'COG-M'!P1459</f>
        <v>0</v>
      </c>
      <c r="E190" s="54">
        <f>'COG-M'!P1460</f>
        <v>0</v>
      </c>
      <c r="F190" s="54">
        <f>'COG-M'!P1461</f>
        <v>0</v>
      </c>
      <c r="G190" s="54">
        <f>'COG-M'!P1462</f>
        <v>5209</v>
      </c>
      <c r="H190" s="54">
        <f>'COG-M'!P1463</f>
        <v>0</v>
      </c>
      <c r="I190" s="54">
        <f>'COG-M'!P1464</f>
        <v>0</v>
      </c>
      <c r="J190" s="54">
        <f>'COG-M'!P1465</f>
        <v>0</v>
      </c>
      <c r="K190" s="54">
        <f>'COG-M'!P1466</f>
        <v>0</v>
      </c>
      <c r="L190" s="54">
        <f>'COG-M'!P1467</f>
        <v>0</v>
      </c>
      <c r="M190" s="55">
        <f t="shared" si="42"/>
        <v>5209</v>
      </c>
    </row>
    <row r="191" spans="1:13" x14ac:dyDescent="0.2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2441</v>
      </c>
      <c r="C195" s="76">
        <f>C196+C206+C212+C222+C231+C235+C243+C245+C251</f>
        <v>0</v>
      </c>
      <c r="D195" s="77">
        <f t="shared" ref="D195:M195" si="43">D196+D206+D212+D222+D231+D235+D243+D245+D251</f>
        <v>0</v>
      </c>
      <c r="E195" s="77">
        <f t="shared" si="43"/>
        <v>0</v>
      </c>
      <c r="F195" s="77">
        <f t="shared" si="43"/>
        <v>0</v>
      </c>
      <c r="G195" s="77">
        <f t="shared" si="43"/>
        <v>4796833</v>
      </c>
      <c r="H195" s="77">
        <f t="shared" si="43"/>
        <v>0</v>
      </c>
      <c r="I195" s="77">
        <f t="shared" si="43"/>
        <v>0</v>
      </c>
      <c r="J195" s="77">
        <f t="shared" si="43"/>
        <v>0</v>
      </c>
      <c r="K195" s="77">
        <f t="shared" si="43"/>
        <v>0</v>
      </c>
      <c r="L195" s="77">
        <f t="shared" si="43"/>
        <v>0</v>
      </c>
      <c r="M195" s="77">
        <f t="shared" si="43"/>
        <v>4796833</v>
      </c>
    </row>
    <row r="196" spans="1:13" x14ac:dyDescent="0.25">
      <c r="A196" s="121">
        <v>4100</v>
      </c>
      <c r="B196" s="122"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2443</v>
      </c>
      <c r="C206" s="72">
        <f>SUM(C207:C211)</f>
        <v>0</v>
      </c>
      <c r="D206" s="73">
        <f t="shared" ref="D206:L206" si="46">SUM(D207:D211)</f>
        <v>0</v>
      </c>
      <c r="E206" s="73">
        <f t="shared" si="46"/>
        <v>0</v>
      </c>
      <c r="F206" s="73">
        <f t="shared" si="46"/>
        <v>0</v>
      </c>
      <c r="G206" s="73">
        <f t="shared" si="46"/>
        <v>2611236</v>
      </c>
      <c r="H206" s="73">
        <f t="shared" si="46"/>
        <v>0</v>
      </c>
      <c r="I206" s="73">
        <f t="shared" si="46"/>
        <v>0</v>
      </c>
      <c r="J206" s="73">
        <f t="shared" si="46"/>
        <v>0</v>
      </c>
      <c r="K206" s="73">
        <f t="shared" si="46"/>
        <v>0</v>
      </c>
      <c r="L206" s="73">
        <f t="shared" si="46"/>
        <v>0</v>
      </c>
      <c r="M206" s="73">
        <f>SUM(M207:M211)</f>
        <v>2611236</v>
      </c>
    </row>
    <row r="207" spans="1:13" ht="30" x14ac:dyDescent="0.25">
      <c r="A207" s="115">
        <v>421</v>
      </c>
      <c r="B207" s="88" t="s">
        <v>215</v>
      </c>
      <c r="C207" s="116">
        <f>'COG-M'!P1529</f>
        <v>0</v>
      </c>
      <c r="D207" s="54">
        <f>'COG-M'!P1530</f>
        <v>0</v>
      </c>
      <c r="E207" s="54">
        <f>'COG-M'!P1531</f>
        <v>0</v>
      </c>
      <c r="F207" s="54">
        <f>'COG-M'!P1532</f>
        <v>0</v>
      </c>
      <c r="G207" s="54">
        <f>'COG-M'!P1533</f>
        <v>2611236</v>
      </c>
      <c r="H207" s="54">
        <f>'COG-M'!P1534</f>
        <v>0</v>
      </c>
      <c r="I207" s="54">
        <f>'COG-M'!P1535</f>
        <v>0</v>
      </c>
      <c r="J207" s="54">
        <f>'COG-M'!P1536</f>
        <v>0</v>
      </c>
      <c r="K207" s="54">
        <f>'COG-M'!P1537</f>
        <v>0</v>
      </c>
      <c r="L207" s="54">
        <f>'COG-M'!P1538</f>
        <v>0</v>
      </c>
      <c r="M207" s="55">
        <f>SUM(C207:L207)</f>
        <v>2611236</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2307</v>
      </c>
      <c r="C222" s="72">
        <f>SUM(C223:C230)</f>
        <v>0</v>
      </c>
      <c r="D222" s="73">
        <f t="shared" ref="D222:M222" si="49">SUM(D223:D230)</f>
        <v>0</v>
      </c>
      <c r="E222" s="73">
        <f t="shared" si="49"/>
        <v>0</v>
      </c>
      <c r="F222" s="73">
        <f t="shared" si="49"/>
        <v>0</v>
      </c>
      <c r="G222" s="73">
        <f t="shared" si="49"/>
        <v>2062141</v>
      </c>
      <c r="H222" s="73">
        <f t="shared" si="49"/>
        <v>0</v>
      </c>
      <c r="I222" s="73">
        <f t="shared" si="49"/>
        <v>0</v>
      </c>
      <c r="J222" s="73">
        <f t="shared" si="49"/>
        <v>0</v>
      </c>
      <c r="K222" s="73">
        <f t="shared" si="49"/>
        <v>0</v>
      </c>
      <c r="L222" s="73">
        <f t="shared" si="49"/>
        <v>0</v>
      </c>
      <c r="M222" s="73">
        <f t="shared" si="49"/>
        <v>2062141</v>
      </c>
    </row>
    <row r="223" spans="1:13" x14ac:dyDescent="0.25">
      <c r="A223" s="115">
        <v>441</v>
      </c>
      <c r="B223" s="88" t="s">
        <v>2308</v>
      </c>
      <c r="C223" s="116">
        <f>'COG-M'!P1626</f>
        <v>0</v>
      </c>
      <c r="D223" s="54">
        <f>'COG-M'!P1627</f>
        <v>0</v>
      </c>
      <c r="E223" s="54">
        <f>'COG-M'!P1628</f>
        <v>0</v>
      </c>
      <c r="F223" s="54">
        <f>'COG-M'!P1629</f>
        <v>0</v>
      </c>
      <c r="G223" s="54">
        <f>'COG-M'!P1630</f>
        <v>1274141</v>
      </c>
      <c r="H223" s="54">
        <f>'COG-M'!P1631</f>
        <v>0</v>
      </c>
      <c r="I223" s="54">
        <f>'COG-M'!P1632</f>
        <v>0</v>
      </c>
      <c r="J223" s="54">
        <f>'COG-M'!P1633</f>
        <v>0</v>
      </c>
      <c r="K223" s="54">
        <f>'COG-M'!P1634</f>
        <v>0</v>
      </c>
      <c r="L223" s="54">
        <f>'COG-M'!P1635</f>
        <v>0</v>
      </c>
      <c r="M223" s="55">
        <f t="shared" ref="M223:M230" si="50">SUM(C223:L223)</f>
        <v>1274141</v>
      </c>
    </row>
    <row r="224" spans="1:13" x14ac:dyDescent="0.25">
      <c r="A224" s="115">
        <v>442</v>
      </c>
      <c r="B224" s="88" t="s">
        <v>232</v>
      </c>
      <c r="C224" s="116">
        <f>'COG-M'!P1636</f>
        <v>0</v>
      </c>
      <c r="D224" s="54">
        <f>'COG-M'!P1637</f>
        <v>0</v>
      </c>
      <c r="E224" s="54">
        <f>'COG-M'!P1638</f>
        <v>0</v>
      </c>
      <c r="F224" s="54">
        <f>'COG-M'!P1639</f>
        <v>0</v>
      </c>
      <c r="G224" s="54">
        <f>'COG-M'!P1640</f>
        <v>104800</v>
      </c>
      <c r="H224" s="54">
        <f>'COG-M'!P1641</f>
        <v>0</v>
      </c>
      <c r="I224" s="54">
        <f>'COG-M'!P1642</f>
        <v>0</v>
      </c>
      <c r="J224" s="54">
        <f>'COG-M'!P1643</f>
        <v>0</v>
      </c>
      <c r="K224" s="54">
        <f>'COG-M'!P1644</f>
        <v>0</v>
      </c>
      <c r="L224" s="54">
        <f>'COG-M'!P1645</f>
        <v>0</v>
      </c>
      <c r="M224" s="55">
        <f t="shared" si="50"/>
        <v>104800</v>
      </c>
    </row>
    <row r="225" spans="1:13" x14ac:dyDescent="0.25">
      <c r="A225" s="115">
        <v>443</v>
      </c>
      <c r="B225" s="88" t="s">
        <v>233</v>
      </c>
      <c r="C225" s="116">
        <f>'COG-M'!P1646</f>
        <v>0</v>
      </c>
      <c r="D225" s="54">
        <f>'COG-M'!P1647</f>
        <v>0</v>
      </c>
      <c r="E225" s="54">
        <f>'COG-M'!P1648</f>
        <v>0</v>
      </c>
      <c r="F225" s="54">
        <f>'COG-M'!P1649</f>
        <v>0</v>
      </c>
      <c r="G225" s="54">
        <f>'COG-M'!P1650</f>
        <v>287200</v>
      </c>
      <c r="H225" s="54">
        <f>'COG-M'!P1651</f>
        <v>0</v>
      </c>
      <c r="I225" s="54">
        <f>'COG-M'!P1652</f>
        <v>0</v>
      </c>
      <c r="J225" s="54">
        <f>'COG-M'!P1653</f>
        <v>0</v>
      </c>
      <c r="K225" s="54">
        <f>'COG-M'!P1654</f>
        <v>0</v>
      </c>
      <c r="L225" s="54">
        <f>'COG-M'!P1655</f>
        <v>0</v>
      </c>
      <c r="M225" s="55">
        <f t="shared" si="50"/>
        <v>287200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396000</v>
      </c>
      <c r="H227" s="54">
        <f>'COG-M'!P1671</f>
        <v>0</v>
      </c>
      <c r="I227" s="54">
        <f>'COG-M'!P1672</f>
        <v>0</v>
      </c>
      <c r="J227" s="54">
        <f>'COG-M'!P1673</f>
        <v>0</v>
      </c>
      <c r="K227" s="54">
        <f>'COG-M'!P1674</f>
        <v>0</v>
      </c>
      <c r="L227" s="54">
        <f>'COG-M'!P1675</f>
        <v>0</v>
      </c>
      <c r="M227" s="55">
        <f t="shared" si="50"/>
        <v>396000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2444</v>
      </c>
      <c r="C231" s="72">
        <f>SUM(C232:C234)</f>
        <v>0</v>
      </c>
      <c r="D231" s="73">
        <f t="shared" ref="D231:M231" si="51">SUM(D232:D234)</f>
        <v>0</v>
      </c>
      <c r="E231" s="73">
        <f t="shared" si="51"/>
        <v>0</v>
      </c>
      <c r="F231" s="73">
        <f t="shared" si="51"/>
        <v>0</v>
      </c>
      <c r="G231" s="73">
        <f t="shared" si="51"/>
        <v>123456</v>
      </c>
      <c r="H231" s="73">
        <f t="shared" si="51"/>
        <v>0</v>
      </c>
      <c r="I231" s="73">
        <f t="shared" si="51"/>
        <v>0</v>
      </c>
      <c r="J231" s="73">
        <f t="shared" si="51"/>
        <v>0</v>
      </c>
      <c r="K231" s="73">
        <f t="shared" si="51"/>
        <v>0</v>
      </c>
      <c r="L231" s="73">
        <f t="shared" si="51"/>
        <v>0</v>
      </c>
      <c r="M231" s="73">
        <f t="shared" si="51"/>
        <v>123456</v>
      </c>
    </row>
    <row r="232" spans="1:13" x14ac:dyDescent="0.25">
      <c r="A232" s="115">
        <v>451</v>
      </c>
      <c r="B232" s="88" t="s">
        <v>240</v>
      </c>
      <c r="C232" s="116">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x14ac:dyDescent="0.25">
      <c r="A233" s="115">
        <v>452</v>
      </c>
      <c r="B233" s="88" t="s">
        <v>241</v>
      </c>
      <c r="C233" s="116">
        <f>'COG-M'!P1717</f>
        <v>0</v>
      </c>
      <c r="D233" s="54">
        <f>'COG-M'!P1718</f>
        <v>0</v>
      </c>
      <c r="E233" s="54">
        <f>'COG-M'!P1719</f>
        <v>0</v>
      </c>
      <c r="F233" s="54">
        <f>'COG-M'!P1720</f>
        <v>0</v>
      </c>
      <c r="G233" s="54">
        <f>'COG-M'!P1721</f>
        <v>123456</v>
      </c>
      <c r="H233" s="54">
        <f>'COG-M'!P1722</f>
        <v>0</v>
      </c>
      <c r="I233" s="54">
        <f>'COG-M'!P1723</f>
        <v>0</v>
      </c>
      <c r="J233" s="54">
        <f>'COG-M'!P1724</f>
        <v>0</v>
      </c>
      <c r="K233" s="54">
        <f>'COG-M'!P1725</f>
        <v>0</v>
      </c>
      <c r="L233" s="54">
        <f>'COG-M'!P1726</f>
        <v>0</v>
      </c>
      <c r="M233" s="55">
        <f>SUM(C233:L233)</f>
        <v>123456</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2445</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2373</v>
      </c>
      <c r="C255" s="76">
        <f>C256+C263+C268+C271+C278+C280+C289+C299+C304</f>
        <v>43495</v>
      </c>
      <c r="D255" s="77">
        <f t="shared" ref="D255:M255" si="57">D256+D263+D268+D271+D278+D280+D289+D299+D304</f>
        <v>0</v>
      </c>
      <c r="E255" s="77">
        <f t="shared" si="57"/>
        <v>0</v>
      </c>
      <c r="F255" s="77">
        <f t="shared" si="57"/>
        <v>0</v>
      </c>
      <c r="G255" s="77">
        <f t="shared" si="57"/>
        <v>1590768</v>
      </c>
      <c r="H255" s="77">
        <f t="shared" si="57"/>
        <v>0</v>
      </c>
      <c r="I255" s="77">
        <f t="shared" si="57"/>
        <v>0</v>
      </c>
      <c r="J255" s="77">
        <f t="shared" si="57"/>
        <v>0</v>
      </c>
      <c r="K255" s="77">
        <f t="shared" si="57"/>
        <v>0</v>
      </c>
      <c r="L255" s="77">
        <f t="shared" si="57"/>
        <v>0</v>
      </c>
      <c r="M255" s="77">
        <f t="shared" si="57"/>
        <v>1634263</v>
      </c>
    </row>
    <row r="256" spans="1:13" x14ac:dyDescent="0.25">
      <c r="A256" s="121">
        <v>5100</v>
      </c>
      <c r="B256" s="122" t="s">
        <v>2448</v>
      </c>
      <c r="C256" s="72">
        <f>SUM(C257:C262)</f>
        <v>16895</v>
      </c>
      <c r="D256" s="73">
        <f t="shared" ref="D256:M256" si="58">SUM(D257:D262)</f>
        <v>0</v>
      </c>
      <c r="E256" s="73">
        <f t="shared" si="58"/>
        <v>0</v>
      </c>
      <c r="F256" s="73">
        <f t="shared" si="58"/>
        <v>0</v>
      </c>
      <c r="G256" s="73">
        <f t="shared" si="58"/>
        <v>183522</v>
      </c>
      <c r="H256" s="73">
        <f t="shared" si="58"/>
        <v>0</v>
      </c>
      <c r="I256" s="73">
        <f t="shared" si="58"/>
        <v>0</v>
      </c>
      <c r="J256" s="73">
        <f t="shared" si="58"/>
        <v>0</v>
      </c>
      <c r="K256" s="73">
        <f t="shared" si="58"/>
        <v>0</v>
      </c>
      <c r="L256" s="73">
        <f t="shared" si="58"/>
        <v>0</v>
      </c>
      <c r="M256" s="73">
        <f t="shared" si="58"/>
        <v>200417</v>
      </c>
    </row>
    <row r="257" spans="1:13" x14ac:dyDescent="0.25">
      <c r="A257" s="115">
        <v>511</v>
      </c>
      <c r="B257" s="88" t="s">
        <v>2317</v>
      </c>
      <c r="C257" s="116">
        <f>'COG-M'!P1867</f>
        <v>0</v>
      </c>
      <c r="D257" s="54">
        <f>'COG-M'!P1868</f>
        <v>0</v>
      </c>
      <c r="E257" s="54">
        <f>'COG-M'!P1869</f>
        <v>0</v>
      </c>
      <c r="F257" s="54">
        <f>'COG-M'!P1870</f>
        <v>0</v>
      </c>
      <c r="G257" s="54">
        <f>'COG-M'!P1871</f>
        <v>0</v>
      </c>
      <c r="H257" s="54">
        <f>'COG-M'!P1872</f>
        <v>0</v>
      </c>
      <c r="I257" s="54">
        <f>'COG-M'!P1873</f>
        <v>0</v>
      </c>
      <c r="J257" s="54">
        <f>'COG-M'!P1874</f>
        <v>0</v>
      </c>
      <c r="K257" s="54">
        <f>'COG-M'!P1875</f>
        <v>0</v>
      </c>
      <c r="L257" s="54">
        <f>'COG-M'!P1876</f>
        <v>0</v>
      </c>
      <c r="M257" s="55">
        <f t="shared" ref="M257:M262" si="59">SUM(C257:L257)</f>
        <v>0</v>
      </c>
    </row>
    <row r="258" spans="1:13" x14ac:dyDescent="0.25">
      <c r="A258" s="115">
        <v>512</v>
      </c>
      <c r="B258" s="88" t="s">
        <v>264</v>
      </c>
      <c r="C258" s="116">
        <f>'COG-M'!P1877</f>
        <v>0</v>
      </c>
      <c r="D258" s="54">
        <f>'COG-M'!P1878</f>
        <v>0</v>
      </c>
      <c r="E258" s="54">
        <f>'COG-M'!P1879</f>
        <v>0</v>
      </c>
      <c r="F258" s="54">
        <f>'COG-M'!P1880</f>
        <v>0</v>
      </c>
      <c r="G258" s="54">
        <f>'COG-M'!P1881</f>
        <v>23795</v>
      </c>
      <c r="H258" s="54">
        <f>'COG-M'!P1882</f>
        <v>0</v>
      </c>
      <c r="I258" s="54">
        <f>'COG-M'!P1883</f>
        <v>0</v>
      </c>
      <c r="J258" s="54">
        <f>'COG-M'!P1884</f>
        <v>0</v>
      </c>
      <c r="K258" s="54">
        <f>'COG-M'!P1885</f>
        <v>0</v>
      </c>
      <c r="L258" s="54">
        <f>'COG-M'!P1886</f>
        <v>0</v>
      </c>
      <c r="M258" s="55">
        <f t="shared" si="59"/>
        <v>23795</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16895</v>
      </c>
      <c r="D261" s="54">
        <f>'COG-M'!P1908</f>
        <v>0</v>
      </c>
      <c r="E261" s="54">
        <f>'COG-M'!P1909</f>
        <v>0</v>
      </c>
      <c r="F261" s="54">
        <f>'COG-M'!P1910</f>
        <v>0</v>
      </c>
      <c r="G261" s="54">
        <f>'COG-M'!P1911</f>
        <v>159727</v>
      </c>
      <c r="H261" s="54">
        <f>'COG-M'!P1912</f>
        <v>0</v>
      </c>
      <c r="I261" s="54">
        <f>'COG-M'!P1913</f>
        <v>0</v>
      </c>
      <c r="J261" s="54">
        <f>'COG-M'!P1914</f>
        <v>0</v>
      </c>
      <c r="K261" s="54">
        <f>'COG-M'!P1915</f>
        <v>0</v>
      </c>
      <c r="L261" s="54">
        <f>'COG-M'!P1916</f>
        <v>0</v>
      </c>
      <c r="M261" s="55">
        <f t="shared" si="59"/>
        <v>176622</v>
      </c>
    </row>
    <row r="262" spans="1:13" x14ac:dyDescent="0.25">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25">
      <c r="A263" s="121">
        <v>5200</v>
      </c>
      <c r="B263" s="122" t="s">
        <v>2318</v>
      </c>
      <c r="C263" s="72">
        <f>SUM(C264:C267)</f>
        <v>0</v>
      </c>
      <c r="D263" s="73">
        <f t="shared" ref="D263:M263" si="60">SUM(D264:D267)</f>
        <v>0</v>
      </c>
      <c r="E263" s="73">
        <f t="shared" si="60"/>
        <v>0</v>
      </c>
      <c r="F263" s="73">
        <f t="shared" si="60"/>
        <v>0</v>
      </c>
      <c r="G263" s="73">
        <f t="shared" si="60"/>
        <v>22998</v>
      </c>
      <c r="H263" s="73">
        <f t="shared" si="60"/>
        <v>0</v>
      </c>
      <c r="I263" s="73">
        <f t="shared" si="60"/>
        <v>0</v>
      </c>
      <c r="J263" s="73">
        <f t="shared" si="60"/>
        <v>0</v>
      </c>
      <c r="K263" s="73">
        <f t="shared" si="60"/>
        <v>0</v>
      </c>
      <c r="L263" s="73">
        <f t="shared" si="60"/>
        <v>0</v>
      </c>
      <c r="M263" s="73">
        <f t="shared" si="60"/>
        <v>22998</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22998</v>
      </c>
      <c r="H266" s="54">
        <f>'COG-M'!P1953</f>
        <v>0</v>
      </c>
      <c r="I266" s="54">
        <f>'COG-M'!P1954</f>
        <v>0</v>
      </c>
      <c r="J266" s="54">
        <f>'COG-M'!P1955</f>
        <v>0</v>
      </c>
      <c r="K266" s="54">
        <f>'COG-M'!P1956</f>
        <v>0</v>
      </c>
      <c r="L266" s="54">
        <f>'COG-M'!P1957</f>
        <v>0</v>
      </c>
      <c r="M266" s="55">
        <f>SUM(C266:L266)</f>
        <v>22998</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2449</v>
      </c>
      <c r="C271" s="72">
        <f>SUM(C272:C277)</f>
        <v>0</v>
      </c>
      <c r="D271" s="73">
        <f t="shared" ref="D271:M271" si="62">SUM(D272:D277)</f>
        <v>0</v>
      </c>
      <c r="E271" s="73">
        <f t="shared" si="62"/>
        <v>0</v>
      </c>
      <c r="F271" s="73">
        <f t="shared" si="62"/>
        <v>0</v>
      </c>
      <c r="G271" s="73">
        <f t="shared" si="62"/>
        <v>1238120</v>
      </c>
      <c r="H271" s="73">
        <f t="shared" si="62"/>
        <v>0</v>
      </c>
      <c r="I271" s="73">
        <f t="shared" si="62"/>
        <v>0</v>
      </c>
      <c r="J271" s="73">
        <f t="shared" si="62"/>
        <v>0</v>
      </c>
      <c r="K271" s="73">
        <f t="shared" si="62"/>
        <v>0</v>
      </c>
      <c r="L271" s="73">
        <f t="shared" si="62"/>
        <v>0</v>
      </c>
      <c r="M271" s="73">
        <f t="shared" si="62"/>
        <v>1238120</v>
      </c>
    </row>
    <row r="272" spans="1:13" x14ac:dyDescent="0.25">
      <c r="A272" s="115">
        <v>541</v>
      </c>
      <c r="B272" s="88" t="s">
        <v>621</v>
      </c>
      <c r="C272" s="116">
        <f>'COG-M'!P1990</f>
        <v>0</v>
      </c>
      <c r="D272" s="54">
        <f>'COG-M'!P1991</f>
        <v>0</v>
      </c>
      <c r="E272" s="54">
        <f>'COG-M'!P1992</f>
        <v>0</v>
      </c>
      <c r="F272" s="54">
        <f>'COG-M'!P1993</f>
        <v>0</v>
      </c>
      <c r="G272" s="54">
        <f>'COG-M'!P1994</f>
        <v>1238120</v>
      </c>
      <c r="H272" s="54">
        <f>'COG-M'!P1995</f>
        <v>0</v>
      </c>
      <c r="I272" s="54">
        <f>'COG-M'!P1996</f>
        <v>0</v>
      </c>
      <c r="J272" s="54">
        <f>'COG-M'!P1997</f>
        <v>0</v>
      </c>
      <c r="K272" s="54">
        <f>'COG-M'!P1998</f>
        <v>0</v>
      </c>
      <c r="L272" s="54">
        <f>'COG-M'!P1999</f>
        <v>0</v>
      </c>
      <c r="M272" s="55">
        <f t="shared" ref="M272:M277" si="63">SUM(C272:L272)</f>
        <v>1238120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2450</v>
      </c>
      <c r="C280" s="72">
        <f>SUM(C281:C288)</f>
        <v>26600</v>
      </c>
      <c r="D280" s="73">
        <f t="shared" ref="D280:M280" si="65">SUM(D281:D288)</f>
        <v>0</v>
      </c>
      <c r="E280" s="73">
        <f t="shared" si="65"/>
        <v>0</v>
      </c>
      <c r="F280" s="73">
        <f t="shared" si="65"/>
        <v>0</v>
      </c>
      <c r="G280" s="73">
        <f t="shared" si="65"/>
        <v>26600</v>
      </c>
      <c r="H280" s="73">
        <f t="shared" si="65"/>
        <v>0</v>
      </c>
      <c r="I280" s="73">
        <f t="shared" si="65"/>
        <v>0</v>
      </c>
      <c r="J280" s="73">
        <f t="shared" si="65"/>
        <v>0</v>
      </c>
      <c r="K280" s="73">
        <f t="shared" si="65"/>
        <v>0</v>
      </c>
      <c r="L280" s="73">
        <f t="shared" si="65"/>
        <v>0</v>
      </c>
      <c r="M280" s="73">
        <f t="shared" si="65"/>
        <v>53200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26600</v>
      </c>
      <c r="D284" s="54">
        <f>'COG-M'!P2093</f>
        <v>0</v>
      </c>
      <c r="E284" s="54">
        <f>'COG-M'!P2094</f>
        <v>0</v>
      </c>
      <c r="F284" s="54">
        <f>'COG-M'!P2095</f>
        <v>0</v>
      </c>
      <c r="G284" s="54">
        <f>'COG-M'!P2096</f>
        <v>26600</v>
      </c>
      <c r="H284" s="54">
        <f>'COG-M'!P2097</f>
        <v>0</v>
      </c>
      <c r="I284" s="54">
        <f>'COG-M'!P2098</f>
        <v>0</v>
      </c>
      <c r="J284" s="54">
        <f>'COG-M'!P2099</f>
        <v>0</v>
      </c>
      <c r="K284" s="54">
        <f>'COG-M'!P2100</f>
        <v>0</v>
      </c>
      <c r="L284" s="54">
        <f>'COG-M'!P2101</f>
        <v>0</v>
      </c>
      <c r="M284" s="55">
        <f t="shared" si="66"/>
        <v>53200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2453</v>
      </c>
      <c r="C304" s="72">
        <f>SUM(C305:C313)</f>
        <v>0</v>
      </c>
      <c r="D304" s="73">
        <f t="shared" ref="D304:M304" si="70">SUM(D305:D313)</f>
        <v>0</v>
      </c>
      <c r="E304" s="73">
        <f t="shared" si="70"/>
        <v>0</v>
      </c>
      <c r="F304" s="73">
        <f t="shared" si="70"/>
        <v>0</v>
      </c>
      <c r="G304" s="73">
        <f t="shared" si="70"/>
        <v>119528</v>
      </c>
      <c r="H304" s="73">
        <f t="shared" si="70"/>
        <v>0</v>
      </c>
      <c r="I304" s="73">
        <f t="shared" si="70"/>
        <v>0</v>
      </c>
      <c r="J304" s="73">
        <f t="shared" si="70"/>
        <v>0</v>
      </c>
      <c r="K304" s="73">
        <f t="shared" si="70"/>
        <v>0</v>
      </c>
      <c r="L304" s="73">
        <f t="shared" si="70"/>
        <v>0</v>
      </c>
      <c r="M304" s="73">
        <f t="shared" si="70"/>
        <v>119528</v>
      </c>
    </row>
    <row r="305" spans="1:13" x14ac:dyDescent="0.25">
      <c r="A305" s="115">
        <v>591</v>
      </c>
      <c r="B305" s="88" t="s">
        <v>310</v>
      </c>
      <c r="C305" s="116">
        <f>'COG-M'!P2275</f>
        <v>0</v>
      </c>
      <c r="D305" s="54">
        <f>'COG-M'!P2276</f>
        <v>0</v>
      </c>
      <c r="E305" s="54">
        <f>'COG-M'!P2277</f>
        <v>0</v>
      </c>
      <c r="F305" s="54">
        <f>'COG-M'!P2278</f>
        <v>0</v>
      </c>
      <c r="G305" s="54">
        <f>'COG-M'!P2279</f>
        <v>119528</v>
      </c>
      <c r="H305" s="54">
        <f>'COG-M'!P2280</f>
        <v>0</v>
      </c>
      <c r="I305" s="54">
        <f>'COG-M'!P2281</f>
        <v>0</v>
      </c>
      <c r="J305" s="54">
        <f>'COG-M'!P2282</f>
        <v>0</v>
      </c>
      <c r="K305" s="54">
        <f>'COG-M'!P2283</f>
        <v>0</v>
      </c>
      <c r="L305" s="54">
        <f>'COG-M'!P2284</f>
        <v>0</v>
      </c>
      <c r="M305" s="55">
        <f t="shared" ref="M305:M313" si="71">SUM(C305:L305)</f>
        <v>119528</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2328</v>
      </c>
      <c r="C314" s="76">
        <f>C315+C324+C333</f>
        <v>0</v>
      </c>
      <c r="D314" s="77">
        <f t="shared" ref="D314:M314" si="72">D315+D324+D333</f>
        <v>0</v>
      </c>
      <c r="E314" s="77">
        <f t="shared" si="72"/>
        <v>0</v>
      </c>
      <c r="F314" s="77">
        <f t="shared" si="72"/>
        <v>0</v>
      </c>
      <c r="G314" s="77">
        <f t="shared" si="72"/>
        <v>3350000</v>
      </c>
      <c r="H314" s="77">
        <f t="shared" si="72"/>
        <v>0</v>
      </c>
      <c r="I314" s="77">
        <f t="shared" si="72"/>
        <v>0</v>
      </c>
      <c r="J314" s="77">
        <f t="shared" si="72"/>
        <v>4803627</v>
      </c>
      <c r="K314" s="77">
        <f t="shared" si="72"/>
        <v>5000000</v>
      </c>
      <c r="L314" s="77">
        <f t="shared" si="72"/>
        <v>0</v>
      </c>
      <c r="M314" s="77">
        <f t="shared" si="72"/>
        <v>13153627</v>
      </c>
    </row>
    <row r="315" spans="1:13" x14ac:dyDescent="0.25">
      <c r="A315" s="121">
        <v>6100</v>
      </c>
      <c r="B315" s="122" t="s">
        <v>2454</v>
      </c>
      <c r="C315" s="72">
        <f>SUM(C316:C323)</f>
        <v>0</v>
      </c>
      <c r="D315" s="73">
        <f t="shared" ref="D315:M315" si="73">SUM(D316:D323)</f>
        <v>0</v>
      </c>
      <c r="E315" s="73">
        <f t="shared" si="73"/>
        <v>0</v>
      </c>
      <c r="F315" s="73">
        <f t="shared" si="73"/>
        <v>0</v>
      </c>
      <c r="G315" s="73">
        <f t="shared" si="73"/>
        <v>3350000</v>
      </c>
      <c r="H315" s="73">
        <f t="shared" si="73"/>
        <v>0</v>
      </c>
      <c r="I315" s="73">
        <f t="shared" si="73"/>
        <v>0</v>
      </c>
      <c r="J315" s="73">
        <f t="shared" si="73"/>
        <v>4803627</v>
      </c>
      <c r="K315" s="73">
        <f t="shared" si="73"/>
        <v>5000000</v>
      </c>
      <c r="L315" s="73">
        <f t="shared" si="73"/>
        <v>0</v>
      </c>
      <c r="M315" s="73">
        <f t="shared" si="73"/>
        <v>13153627</v>
      </c>
    </row>
    <row r="316" spans="1:13" x14ac:dyDescent="0.25">
      <c r="A316" s="115">
        <v>611</v>
      </c>
      <c r="B316" s="88" t="s">
        <v>321</v>
      </c>
      <c r="C316" s="116">
        <f>'COG-M'!P2367</f>
        <v>0</v>
      </c>
      <c r="D316" s="54">
        <f>'COG-M'!P2368</f>
        <v>0</v>
      </c>
      <c r="E316" s="54">
        <f>'COG-M'!P2369</f>
        <v>0</v>
      </c>
      <c r="F316" s="54">
        <f>'COG-M'!P2370</f>
        <v>0</v>
      </c>
      <c r="G316" s="54">
        <f>'COG-M'!P2371</f>
        <v>500000</v>
      </c>
      <c r="H316" s="54">
        <f>'COG-M'!P2372</f>
        <v>0</v>
      </c>
      <c r="I316" s="54">
        <f>'COG-M'!P2373</f>
        <v>0</v>
      </c>
      <c r="J316" s="54">
        <f>'COG-M'!P2374</f>
        <v>1000000</v>
      </c>
      <c r="K316" s="54">
        <f>'COG-M'!P2375</f>
        <v>0</v>
      </c>
      <c r="L316" s="54">
        <f>'COG-M'!P2376</f>
        <v>0</v>
      </c>
      <c r="M316" s="55">
        <f t="shared" ref="M316:M323" si="74">SUM(C316:L316)</f>
        <v>1500000</v>
      </c>
    </row>
    <row r="317" spans="1:13" x14ac:dyDescent="0.25">
      <c r="A317" s="115">
        <v>612</v>
      </c>
      <c r="B317" s="88" t="s">
        <v>322</v>
      </c>
      <c r="C317" s="116">
        <f>'COG-M'!P2377</f>
        <v>0</v>
      </c>
      <c r="D317" s="54">
        <f>'COG-M'!P2378</f>
        <v>0</v>
      </c>
      <c r="E317" s="54">
        <f>'COG-M'!P2379</f>
        <v>0</v>
      </c>
      <c r="F317" s="54">
        <f>'COG-M'!P2380</f>
        <v>0</v>
      </c>
      <c r="G317" s="54">
        <f>'COG-M'!P2381</f>
        <v>500000</v>
      </c>
      <c r="H317" s="54">
        <f>'COG-M'!P2382</f>
        <v>0</v>
      </c>
      <c r="I317" s="54">
        <f>'COG-M'!P2383</f>
        <v>0</v>
      </c>
      <c r="J317" s="54">
        <f>'COG-M'!P2384</f>
        <v>2303627</v>
      </c>
      <c r="K317" s="54">
        <f>'COG-M'!P2385</f>
        <v>0</v>
      </c>
      <c r="L317" s="54">
        <f>'COG-M'!P2386</f>
        <v>0</v>
      </c>
      <c r="M317" s="55">
        <f t="shared" si="74"/>
        <v>2803627</v>
      </c>
    </row>
    <row r="318" spans="1:13" ht="30" x14ac:dyDescent="0.25">
      <c r="A318" s="115">
        <v>613</v>
      </c>
      <c r="B318" s="88" t="s">
        <v>323</v>
      </c>
      <c r="C318" s="116">
        <f>'COG-M'!P2387</f>
        <v>0</v>
      </c>
      <c r="D318" s="54">
        <f>'COG-M'!P2388</f>
        <v>0</v>
      </c>
      <c r="E318" s="54">
        <f>'COG-M'!P2389</f>
        <v>0</v>
      </c>
      <c r="F318" s="54">
        <f>'COG-M'!P2390</f>
        <v>0</v>
      </c>
      <c r="G318" s="54">
        <f>'COG-M'!P2391</f>
        <v>500000</v>
      </c>
      <c r="H318" s="54">
        <f>'COG-M'!P2392</f>
        <v>0</v>
      </c>
      <c r="I318" s="54">
        <f>'COG-M'!P2393</f>
        <v>0</v>
      </c>
      <c r="J318" s="54">
        <f>'COG-M'!P2394</f>
        <v>500000</v>
      </c>
      <c r="K318" s="54">
        <f>'COG-M'!P2395</f>
        <v>0</v>
      </c>
      <c r="L318" s="54">
        <f>'COG-M'!P2396</f>
        <v>0</v>
      </c>
      <c r="M318" s="55">
        <f t="shared" si="74"/>
        <v>1000000</v>
      </c>
    </row>
    <row r="319" spans="1:13" x14ac:dyDescent="0.25">
      <c r="A319" s="115">
        <v>614</v>
      </c>
      <c r="B319" s="88" t="s">
        <v>324</v>
      </c>
      <c r="C319" s="116">
        <f>'COG-M'!P2397</f>
        <v>0</v>
      </c>
      <c r="D319" s="54">
        <f>'COG-M'!P2398</f>
        <v>0</v>
      </c>
      <c r="E319" s="54">
        <f>'COG-M'!P2399</f>
        <v>0</v>
      </c>
      <c r="F319" s="54">
        <f>'COG-M'!P2400</f>
        <v>0</v>
      </c>
      <c r="G319" s="54">
        <f>'COG-M'!P2401</f>
        <v>1850000</v>
      </c>
      <c r="H319" s="54">
        <f>'COG-M'!P2402</f>
        <v>0</v>
      </c>
      <c r="I319" s="54">
        <f>'COG-M'!P2403</f>
        <v>0</v>
      </c>
      <c r="J319" s="54">
        <f>'COG-M'!P2404</f>
        <v>1000000</v>
      </c>
      <c r="K319" s="54">
        <f>'COG-M'!P2405</f>
        <v>5000000</v>
      </c>
      <c r="L319" s="54">
        <f>'COG-M'!P2406</f>
        <v>0</v>
      </c>
      <c r="M319" s="55">
        <f t="shared" si="74"/>
        <v>7850000</v>
      </c>
    </row>
    <row r="320" spans="1:13" x14ac:dyDescent="0.25">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2338</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2342</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x14ac:dyDescent="0.25">
      <c r="A403" s="121">
        <v>9100</v>
      </c>
      <c r="B403" s="122" t="s">
        <v>2462</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2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2344</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2345</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2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2346</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2347</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2170</v>
      </c>
      <c r="C434" s="33">
        <f t="shared" ref="C434:J434" si="105">C8+C45+C110+C195+C255+C314+C336+C384+C402</f>
        <v>4935534</v>
      </c>
      <c r="D434" s="33">
        <f t="shared" si="105"/>
        <v>0</v>
      </c>
      <c r="E434" s="33">
        <f t="shared" si="105"/>
        <v>0</v>
      </c>
      <c r="F434" s="33">
        <f t="shared" si="105"/>
        <v>0</v>
      </c>
      <c r="G434" s="33">
        <f t="shared" si="105"/>
        <v>61576905</v>
      </c>
      <c r="H434" s="33">
        <f t="shared" si="105"/>
        <v>26254</v>
      </c>
      <c r="I434" s="33">
        <f t="shared" si="105"/>
        <v>0</v>
      </c>
      <c r="J434" s="33">
        <f t="shared" si="105"/>
        <v>7572710</v>
      </c>
      <c r="K434" s="33">
        <f>K8+K45+K110+K195+K255+K314+K336+K384+K402</f>
        <v>5000000</v>
      </c>
      <c r="L434" s="33">
        <f>L8+L45+L110+L195+L255+L314+L336+L384+L402</f>
        <v>0</v>
      </c>
      <c r="M434" s="33">
        <f>M8+M45+M110+M195+M255+M314+M336+M384+M402</f>
        <v>79111403</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scale="46" fitToHeight="0" orientation="landscape" horizontalDpi="4294967294"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pageSetUpPr fitToPage="1"/>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2542</v>
      </c>
    </row>
    <row r="3" spans="1:13" ht="21" x14ac:dyDescent="0.35">
      <c r="A3" s="300" t="str">
        <f>Inconsistencias!$B$6&amp;IF(LOOKUP(Inconsistencias!$B$6,EF!$C$2:$C$1001,EF!$I$2:I$1001)="Dependencia",", Jalisco","")</f>
        <v>San Cristóbal de la Barranca, Jalisco</v>
      </c>
    </row>
    <row r="4" spans="1:13" ht="18.75" x14ac:dyDescent="0.3">
      <c r="A4" s="301" t="str">
        <f>"Ejercicio Fiscal "&amp;Inconsistencias!U2</f>
        <v>Ejercicio Fiscal 2025</v>
      </c>
    </row>
    <row r="6" spans="1:13" ht="15.75" customHeight="1" x14ac:dyDescent="0.25">
      <c r="A6" s="600" t="s">
        <v>627</v>
      </c>
      <c r="B6" s="609" t="s">
        <v>2167</v>
      </c>
      <c r="C6" s="604" t="s">
        <v>2426</v>
      </c>
      <c r="D6" s="605"/>
      <c r="E6" s="605"/>
      <c r="F6" s="605"/>
      <c r="G6" s="605"/>
      <c r="H6" s="605"/>
      <c r="I6" s="605"/>
      <c r="J6" s="606" t="s">
        <v>2427</v>
      </c>
      <c r="K6" s="606"/>
      <c r="L6" s="606"/>
      <c r="M6" s="607" t="s">
        <v>2243</v>
      </c>
    </row>
    <row r="7" spans="1:13" ht="63.75" x14ac:dyDescent="0.25">
      <c r="A7" s="601"/>
      <c r="B7" s="610"/>
      <c r="C7" s="260" t="s">
        <v>2256</v>
      </c>
      <c r="D7" s="84" t="s">
        <v>2257</v>
      </c>
      <c r="E7" s="85" t="s">
        <v>2258</v>
      </c>
      <c r="F7" s="85" t="s">
        <v>2259</v>
      </c>
      <c r="G7" s="85" t="s">
        <v>2260</v>
      </c>
      <c r="H7" s="85" t="s">
        <v>2261</v>
      </c>
      <c r="I7" s="85" t="s">
        <v>2262</v>
      </c>
      <c r="J7" s="86" t="s">
        <v>2263</v>
      </c>
      <c r="K7" s="86" t="s">
        <v>2264</v>
      </c>
      <c r="L7" s="86" t="s">
        <v>2468</v>
      </c>
      <c r="M7" s="608"/>
    </row>
    <row r="8" spans="1:13" ht="15" customHeight="1" x14ac:dyDescent="0.25">
      <c r="A8" s="87">
        <v>1</v>
      </c>
      <c r="B8" s="88" t="s">
        <v>2469</v>
      </c>
      <c r="C8" s="54">
        <f>'COG-FF'!C8+'COG-FF'!C45+'COG-FF'!C110+'COG-FF'!C195-'COG-FF'!C231+'COG-FF'!C392+'COG-FF'!C398+'COG-FF'!C412+'COG-FF'!C421+'COG-FF'!C424+'COG-FF'!C427+'COG-FF'!C429</f>
        <v>4892039</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56512681</v>
      </c>
      <c r="H8" s="54">
        <f>'COG-FF'!H8+'COG-FF'!H45+'COG-FF'!H110+'COG-FF'!H195-'COG-FF'!H231+'COG-FF'!H392+'COG-FF'!H398+'COG-FF'!H412+'COG-FF'!H421+'COG-FF'!H424+'COG-FF'!H427+'COG-FF'!H429</f>
        <v>26254</v>
      </c>
      <c r="I8" s="54">
        <f>'COG-FF'!I8+'COG-FF'!I45+'COG-FF'!I110+'COG-FF'!I195-'COG-FF'!I231+'COG-FF'!I392+'COG-FF'!I398+'COG-FF'!I412+'COG-FF'!I421+'COG-FF'!I424+'COG-FF'!I427+'COG-FF'!I429</f>
        <v>0</v>
      </c>
      <c r="J8" s="54">
        <f>'COG-FF'!J8+'COG-FF'!J45+'COG-FF'!J110+'COG-FF'!J195-'COG-FF'!J231+'COG-FF'!J392+'COG-FF'!J398+'COG-FF'!J412+'COG-FF'!J421+'COG-FF'!J424+'COG-FF'!J427+'COG-FF'!J429</f>
        <v>2769083</v>
      </c>
      <c r="K8" s="54">
        <f>'COG-FF'!K8+'COG-FF'!K45+'COG-FF'!K110+'COG-FF'!K195-'COG-FF'!K231+'COG-FF'!K392+'COG-FF'!K398+'COG-FF'!K412+'COG-FF'!K421+'COG-FF'!K424+'COG-FF'!K427+'COG-FF'!K429</f>
        <v>0</v>
      </c>
      <c r="L8" s="54">
        <f>'COG-FF'!L8+'COG-FF'!L45+'COG-FF'!L110+'COG-FF'!L195-'COG-FF'!L231+'COG-FF'!L392+'COG-FF'!L398+'COG-FF'!L412+'COG-FF'!L421+'COG-FF'!L424+'COG-FF'!L427+'COG-FF'!L429</f>
        <v>0</v>
      </c>
      <c r="M8" s="54">
        <f>SUM(C8:L8)</f>
        <v>64200057</v>
      </c>
    </row>
    <row r="9" spans="1:13" ht="15" customHeight="1" x14ac:dyDescent="0.25">
      <c r="A9" s="87">
        <v>2</v>
      </c>
      <c r="B9" s="88" t="s">
        <v>2470</v>
      </c>
      <c r="C9" s="54">
        <f>SUM('COG-FF'!C255+'COG-FF'!C314+'COG-FF'!C336)</f>
        <v>43495</v>
      </c>
      <c r="D9" s="54">
        <f>SUM('COG-FF'!D255+'COG-FF'!D314+'COG-FF'!D336)</f>
        <v>0</v>
      </c>
      <c r="E9" s="54">
        <f>SUM('COG-FF'!E255+'COG-FF'!E314+'COG-FF'!E336)</f>
        <v>0</v>
      </c>
      <c r="F9" s="54">
        <f>SUM('COG-FF'!F255+'COG-FF'!F314+'COG-FF'!F336)</f>
        <v>0</v>
      </c>
      <c r="G9" s="54">
        <f>SUM('COG-FF'!G255+'COG-FF'!G314+'COG-FF'!G336)</f>
        <v>4940768</v>
      </c>
      <c r="H9" s="54">
        <f>SUM('COG-FF'!H255+'COG-FF'!H314+'COG-FF'!H336)</f>
        <v>0</v>
      </c>
      <c r="I9" s="54">
        <f>SUM('COG-FF'!I255+'COG-FF'!I314+'COG-FF'!I336)</f>
        <v>0</v>
      </c>
      <c r="J9" s="54">
        <f>SUM('COG-FF'!J255+'COG-FF'!J314+'COG-FF'!J336)</f>
        <v>4803627</v>
      </c>
      <c r="K9" s="54">
        <f>SUM('COG-FF'!K255+'COG-FF'!K314+'COG-FF'!K336)</f>
        <v>5000000</v>
      </c>
      <c r="L9" s="54">
        <f>SUM('COG-FF'!L255+'COG-FF'!L314+'COG-FF'!L336)</f>
        <v>0</v>
      </c>
      <c r="M9" s="54">
        <f>SUM(C9:L9)</f>
        <v>14787890</v>
      </c>
    </row>
    <row r="10" spans="1:13" ht="15" customHeight="1" x14ac:dyDescent="0.25">
      <c r="A10" s="87">
        <v>3</v>
      </c>
      <c r="B10" s="88" t="s">
        <v>2471</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x14ac:dyDescent="0.25">
      <c r="A11" s="87">
        <v>4</v>
      </c>
      <c r="B11" s="88" t="s">
        <v>601</v>
      </c>
      <c r="C11" s="54">
        <f>SUM('COG-FF'!C231)</f>
        <v>0</v>
      </c>
      <c r="D11" s="54">
        <f>SUM('COG-FF'!D231)</f>
        <v>0</v>
      </c>
      <c r="E11" s="54">
        <f>SUM('COG-FF'!E231)</f>
        <v>0</v>
      </c>
      <c r="F11" s="54">
        <f>SUM('COG-FF'!F231)</f>
        <v>0</v>
      </c>
      <c r="G11" s="54">
        <f>SUM('COG-FF'!G231)</f>
        <v>123456</v>
      </c>
      <c r="H11" s="54">
        <f>SUM('COG-FF'!H231)</f>
        <v>0</v>
      </c>
      <c r="I11" s="54">
        <f>SUM('COG-FF'!I231)</f>
        <v>0</v>
      </c>
      <c r="J11" s="54">
        <f>SUM('COG-FF'!J231)</f>
        <v>0</v>
      </c>
      <c r="K11" s="54">
        <f>SUM('COG-FF'!K231)</f>
        <v>0</v>
      </c>
      <c r="L11" s="54">
        <f>SUM('COG-FF'!L231)</f>
        <v>0</v>
      </c>
      <c r="M11" s="54">
        <f>SUM(C11:L11)</f>
        <v>123456</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2170</v>
      </c>
      <c r="C13" s="33">
        <f>SUM(C8:C12)</f>
        <v>4935534</v>
      </c>
      <c r="D13" s="33">
        <f>SUM(D8:D12)</f>
        <v>0</v>
      </c>
      <c r="E13" s="33">
        <f>SUM(E8:E12)</f>
        <v>0</v>
      </c>
      <c r="F13" s="33">
        <f t="shared" ref="F13:M13" si="0">SUM(F8:F12)</f>
        <v>0</v>
      </c>
      <c r="G13" s="33">
        <f t="shared" si="0"/>
        <v>61576905</v>
      </c>
      <c r="H13" s="33">
        <f t="shared" si="0"/>
        <v>26254</v>
      </c>
      <c r="I13" s="33">
        <f t="shared" si="0"/>
        <v>0</v>
      </c>
      <c r="J13" s="33">
        <f t="shared" si="0"/>
        <v>7572710</v>
      </c>
      <c r="K13" s="33">
        <f t="shared" si="0"/>
        <v>5000000</v>
      </c>
      <c r="L13" s="33">
        <f t="shared" si="0"/>
        <v>0</v>
      </c>
      <c r="M13" s="33">
        <f t="shared" si="0"/>
        <v>79111403</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2167</v>
      </c>
      <c r="C18" s="260" t="s">
        <v>2266</v>
      </c>
      <c r="D18" s="84" t="s">
        <v>2267</v>
      </c>
      <c r="E18" s="85" t="s">
        <v>2268</v>
      </c>
      <c r="F18" s="85" t="s">
        <v>2269</v>
      </c>
      <c r="G18" s="85" t="s">
        <v>2270</v>
      </c>
      <c r="H18" s="85" t="s">
        <v>2271</v>
      </c>
      <c r="I18" s="85" t="s">
        <v>2272</v>
      </c>
      <c r="J18" s="86" t="s">
        <v>2273</v>
      </c>
      <c r="K18" s="86" t="s">
        <v>2274</v>
      </c>
      <c r="L18" s="94" t="s">
        <v>2243</v>
      </c>
      <c r="M18" s="92"/>
    </row>
    <row r="19" spans="1:13" x14ac:dyDescent="0.25">
      <c r="A19" s="87">
        <v>1</v>
      </c>
      <c r="B19" s="88" t="s">
        <v>2469</v>
      </c>
      <c r="C19" s="54">
        <f>'COG-FF'!M8</f>
        <v>30899099</v>
      </c>
      <c r="D19" s="54">
        <f>'COG-FF'!M45</f>
        <v>15956061</v>
      </c>
      <c r="E19" s="54">
        <f>'COG-FF'!M110</f>
        <v>12671520</v>
      </c>
      <c r="F19" s="54">
        <f>SUM('COG-FF'!M195-'COG-FF'!M231)</f>
        <v>4673377</v>
      </c>
      <c r="G19" s="54"/>
      <c r="H19" s="54"/>
      <c r="I19" s="54"/>
      <c r="J19" s="54">
        <f>'COG-FF'!M392+'COG-FF'!M398</f>
        <v>0</v>
      </c>
      <c r="K19" s="54">
        <f>'COG-FF'!M412+'COG-FF'!M421+'COG-FF'!M424+'COG-FF'!M427+'COG-FF'!M429</f>
        <v>0</v>
      </c>
      <c r="L19" s="54">
        <f>SUM(C19:K19)</f>
        <v>64200057</v>
      </c>
      <c r="M19" s="92"/>
    </row>
    <row r="20" spans="1:13" x14ac:dyDescent="0.25">
      <c r="A20" s="87">
        <v>2</v>
      </c>
      <c r="B20" s="88" t="s">
        <v>2470</v>
      </c>
      <c r="C20" s="54"/>
      <c r="D20" s="54"/>
      <c r="E20" s="54"/>
      <c r="F20" s="54"/>
      <c r="G20" s="54">
        <f>'COG-FF'!M255</f>
        <v>1634263</v>
      </c>
      <c r="H20" s="54">
        <f>'COG-FF'!M314</f>
        <v>13153627</v>
      </c>
      <c r="I20" s="54">
        <f>'COG-FF'!M336</f>
        <v>0</v>
      </c>
      <c r="J20" s="54"/>
      <c r="K20" s="54"/>
      <c r="L20" s="54">
        <f>SUM(C20:K20)</f>
        <v>14787890</v>
      </c>
      <c r="M20" s="92"/>
    </row>
    <row r="21" spans="1:13" x14ac:dyDescent="0.25">
      <c r="A21" s="87">
        <v>3</v>
      </c>
      <c r="B21" s="88" t="s">
        <v>2471</v>
      </c>
      <c r="C21" s="54"/>
      <c r="D21" s="54"/>
      <c r="E21" s="54"/>
      <c r="F21" s="54"/>
      <c r="G21" s="54"/>
      <c r="H21" s="54"/>
      <c r="I21" s="54"/>
      <c r="J21" s="54"/>
      <c r="K21" s="54">
        <f>'COG-FF'!M403+'COG-FF'!M432</f>
        <v>0</v>
      </c>
      <c r="L21" s="54">
        <f>SUM(C21:K21)</f>
        <v>0</v>
      </c>
      <c r="M21" s="92"/>
    </row>
    <row r="22" spans="1:13" x14ac:dyDescent="0.25">
      <c r="A22" s="87">
        <v>4</v>
      </c>
      <c r="B22" s="88" t="s">
        <v>601</v>
      </c>
      <c r="C22" s="54"/>
      <c r="D22" s="54"/>
      <c r="E22" s="54"/>
      <c r="F22" s="54">
        <f>'COG-FF'!M231</f>
        <v>123456</v>
      </c>
      <c r="G22" s="54"/>
      <c r="H22" s="54"/>
      <c r="I22" s="54"/>
      <c r="J22" s="54"/>
      <c r="K22" s="54"/>
      <c r="L22" s="54">
        <f>SUM(C22:K22)</f>
        <v>123456</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2170</v>
      </c>
      <c r="C24" s="33">
        <f t="shared" ref="C24:L24" si="1">SUM(C19:C23)</f>
        <v>30899099</v>
      </c>
      <c r="D24" s="33">
        <f t="shared" si="1"/>
        <v>15956061</v>
      </c>
      <c r="E24" s="33">
        <f t="shared" si="1"/>
        <v>12671520</v>
      </c>
      <c r="F24" s="33">
        <f t="shared" si="1"/>
        <v>4796833</v>
      </c>
      <c r="G24" s="33">
        <f t="shared" si="1"/>
        <v>1634263</v>
      </c>
      <c r="H24" s="33">
        <f t="shared" si="1"/>
        <v>13153627</v>
      </c>
      <c r="I24" s="33">
        <f t="shared" si="1"/>
        <v>0</v>
      </c>
      <c r="J24" s="33">
        <f t="shared" si="1"/>
        <v>0</v>
      </c>
      <c r="K24" s="33">
        <f t="shared" si="1"/>
        <v>0</v>
      </c>
      <c r="L24" s="33">
        <f t="shared" si="1"/>
        <v>79111403</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scale="46" fitToHeight="0" orientation="landscape" horizontalDpi="4294967294"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2543</v>
      </c>
      <c r="B2" s="569"/>
      <c r="C2" s="569"/>
    </row>
    <row r="3" spans="1:5" ht="57" customHeight="1" x14ac:dyDescent="0.25">
      <c r="A3" s="578" t="str">
        <f>Inconsistencias!$B$6&amp;IF(LOOKUP(Inconsistencias!$B$6,EF!$C$2:$C$1001,EF!$I$2:I$1001)="Dependencia",", Jalisco","")</f>
        <v>San Cristóbal de la Barranca, Jalisco</v>
      </c>
      <c r="B3" s="578"/>
      <c r="C3" s="578"/>
    </row>
    <row r="4" spans="1:5" ht="18.75" x14ac:dyDescent="0.3">
      <c r="A4" s="570" t="str">
        <f>"Ejercicio Fiscal "&amp;Inconsistencias!U2</f>
        <v>Ejercicio Fiscal 2025</v>
      </c>
      <c r="B4" s="570"/>
      <c r="C4" s="570"/>
    </row>
    <row r="5" spans="1:5" x14ac:dyDescent="0.25"/>
    <row r="6" spans="1:5" ht="15.75" customHeight="1" x14ac:dyDescent="0.25">
      <c r="A6" s="611" t="s">
        <v>628</v>
      </c>
      <c r="B6" s="609" t="s">
        <v>2167</v>
      </c>
      <c r="C6" s="613" t="s">
        <v>2243</v>
      </c>
    </row>
    <row r="7" spans="1:5" x14ac:dyDescent="0.25">
      <c r="A7" s="612"/>
      <c r="B7" s="610"/>
      <c r="C7" s="614"/>
    </row>
    <row r="8" spans="1:5" ht="15" customHeight="1" x14ac:dyDescent="0.25">
      <c r="A8" s="112">
        <v>1</v>
      </c>
      <c r="B8" s="112" t="s">
        <v>993</v>
      </c>
      <c r="C8" s="52">
        <f>C9+C12+C17+C27+C29+C32+C36+C41</f>
        <v>6981746</v>
      </c>
    </row>
    <row r="9" spans="1:5" ht="15" customHeight="1" x14ac:dyDescent="0.25">
      <c r="A9" s="114">
        <v>11</v>
      </c>
      <c r="B9" s="114" t="s">
        <v>448</v>
      </c>
      <c r="C9" s="38">
        <f>SUM(C10:C11)</f>
        <v>6981746</v>
      </c>
      <c r="E9" s="92" t="s">
        <v>1551</v>
      </c>
    </row>
    <row r="10" spans="1:5" ht="15" customHeight="1" x14ac:dyDescent="0.25">
      <c r="A10" s="88">
        <v>111</v>
      </c>
      <c r="B10" s="88" t="s">
        <v>448</v>
      </c>
      <c r="C10" s="54">
        <f>SUMIF('MIR-IG'!$F$8:$F$207,CF!E10,'MIR-IG'!$AC$8:$AC$207)</f>
        <v>6981746</v>
      </c>
      <c r="E10" s="92" t="s">
        <v>1555</v>
      </c>
    </row>
    <row r="11" spans="1:5" ht="15" customHeight="1" x14ac:dyDescent="0.25">
      <c r="A11" s="88">
        <v>112</v>
      </c>
      <c r="B11" s="88" t="s">
        <v>449</v>
      </c>
      <c r="C11" s="54">
        <f>SUMIF('MIR-IG'!$F$8:$F$207,CF!E11,'MIR-IG'!$AC$8:$AC$207)</f>
        <v>0</v>
      </c>
      <c r="E11" s="92" t="s">
        <v>1556</v>
      </c>
    </row>
    <row r="12" spans="1:5" x14ac:dyDescent="0.25">
      <c r="A12" s="114">
        <v>12</v>
      </c>
      <c r="B12" s="114" t="s">
        <v>2472</v>
      </c>
      <c r="C12" s="38">
        <f>SUM(C13:C16)</f>
        <v>0</v>
      </c>
    </row>
    <row r="13" spans="1:5" x14ac:dyDescent="0.25">
      <c r="A13" s="88">
        <v>121</v>
      </c>
      <c r="B13" s="88" t="s">
        <v>629</v>
      </c>
      <c r="C13" s="54">
        <f>SUMIF('MIR-IG'!$F$8:$F$207,CF!E13,'MIR-IG'!$AC$8:$AC$207)</f>
        <v>0</v>
      </c>
      <c r="E13" s="92" t="s">
        <v>1588</v>
      </c>
    </row>
    <row r="14" spans="1:5" x14ac:dyDescent="0.25">
      <c r="A14" s="88">
        <v>122</v>
      </c>
      <c r="B14" s="88" t="s">
        <v>630</v>
      </c>
      <c r="C14" s="54">
        <f>SUMIF('MIR-IG'!$F$8:$F$207,CF!E14,'MIR-IG'!$AC$8:$AC$207)</f>
        <v>0</v>
      </c>
      <c r="E14" s="92" t="s">
        <v>1589</v>
      </c>
    </row>
    <row r="15" spans="1:5" x14ac:dyDescent="0.25">
      <c r="A15" s="88">
        <v>123</v>
      </c>
      <c r="B15" s="88" t="s">
        <v>631</v>
      </c>
      <c r="C15" s="54">
        <f>SUMIF('MIR-IG'!$F$8:$F$207,CF!E15,'MIR-IG'!$AC$8:$AC$207)</f>
        <v>0</v>
      </c>
      <c r="E15" s="92" t="s">
        <v>1590</v>
      </c>
    </row>
    <row r="16" spans="1:5" x14ac:dyDescent="0.25">
      <c r="A16" s="88">
        <v>124</v>
      </c>
      <c r="B16" s="88" t="s">
        <v>632</v>
      </c>
      <c r="C16" s="54">
        <f>SUMIF('MIR-IG'!$F$8:$F$207,CF!E16,'MIR-IG'!$AC$8:$AC$207)</f>
        <v>0</v>
      </c>
      <c r="E16" s="92" t="s">
        <v>1591</v>
      </c>
    </row>
    <row r="17" spans="1:5" x14ac:dyDescent="0.25">
      <c r="A17" s="114">
        <v>13</v>
      </c>
      <c r="B17" s="114" t="s">
        <v>2473</v>
      </c>
      <c r="C17" s="38">
        <f>SUM(C18:C26)</f>
        <v>0</v>
      </c>
    </row>
    <row r="18" spans="1:5" x14ac:dyDescent="0.25">
      <c r="A18" s="88">
        <v>131</v>
      </c>
      <c r="B18" s="88" t="s">
        <v>452</v>
      </c>
      <c r="C18" s="54">
        <f>SUMIF('MIR-IG'!$F$8:$F$207,CF!E18,'MIR-IG'!$AC$8:$AC$207)</f>
        <v>0</v>
      </c>
      <c r="E18" s="92" t="s">
        <v>1558</v>
      </c>
    </row>
    <row r="19" spans="1:5" x14ac:dyDescent="0.25">
      <c r="A19" s="88">
        <v>132</v>
      </c>
      <c r="B19" s="88" t="s">
        <v>633</v>
      </c>
      <c r="C19" s="54">
        <f>SUMIF('MIR-IG'!$F$8:$F$207,CF!E19,'MIR-IG'!$AC$8:$AC$207)</f>
        <v>0</v>
      </c>
      <c r="E19" s="92" t="s">
        <v>1592</v>
      </c>
    </row>
    <row r="20" spans="1:5" x14ac:dyDescent="0.25">
      <c r="A20" s="88">
        <v>133</v>
      </c>
      <c r="B20" s="88" t="s">
        <v>634</v>
      </c>
      <c r="C20" s="54">
        <f>SUMIF('MIR-IG'!$F$8:$F$207,CF!E20,'MIR-IG'!$AC$8:$AC$207)</f>
        <v>0</v>
      </c>
      <c r="E20" s="92" t="s">
        <v>1593</v>
      </c>
    </row>
    <row r="21" spans="1:5" x14ac:dyDescent="0.25">
      <c r="A21" s="88">
        <v>134</v>
      </c>
      <c r="B21" s="88" t="s">
        <v>635</v>
      </c>
      <c r="C21" s="54">
        <f>SUMIF('MIR-IG'!$F$8:$F$207,CF!E21,'MIR-IG'!$AC$8:$AC$207)</f>
        <v>0</v>
      </c>
      <c r="E21" s="92" t="s">
        <v>1594</v>
      </c>
    </row>
    <row r="22" spans="1:5" x14ac:dyDescent="0.25">
      <c r="A22" s="88">
        <v>135</v>
      </c>
      <c r="B22" s="88" t="s">
        <v>636</v>
      </c>
      <c r="C22" s="54">
        <f>SUMIF('MIR-IG'!$F$8:$F$207,CF!E22,'MIR-IG'!$AC$8:$AC$207)</f>
        <v>0</v>
      </c>
      <c r="E22" s="92" t="s">
        <v>1595</v>
      </c>
    </row>
    <row r="23" spans="1:5" x14ac:dyDescent="0.25">
      <c r="A23" s="88">
        <v>136</v>
      </c>
      <c r="B23" s="88" t="s">
        <v>637</v>
      </c>
      <c r="C23" s="54">
        <f>SUMIF('MIR-IG'!$F$8:$F$207,CF!E23,'MIR-IG'!$AC$8:$AC$207)</f>
        <v>0</v>
      </c>
      <c r="E23" s="92" t="s">
        <v>1596</v>
      </c>
    </row>
    <row r="24" spans="1:5" x14ac:dyDescent="0.25">
      <c r="A24" s="88">
        <v>137</v>
      </c>
      <c r="B24" s="88" t="s">
        <v>453</v>
      </c>
      <c r="C24" s="54">
        <f>SUMIF('MIR-IG'!$F$8:$F$207,CF!E24,'MIR-IG'!$AC$8:$AC$207)</f>
        <v>0</v>
      </c>
      <c r="E24" s="92" t="s">
        <v>1559</v>
      </c>
    </row>
    <row r="25" spans="1:5" x14ac:dyDescent="0.25">
      <c r="A25" s="88">
        <v>138</v>
      </c>
      <c r="B25" s="88" t="s">
        <v>454</v>
      </c>
      <c r="C25" s="54">
        <f>SUMIF('MIR-IG'!$F$8:$F$207,CF!E25,'MIR-IG'!$AC$8:$AC$207)</f>
        <v>0</v>
      </c>
      <c r="E25" s="92" t="s">
        <v>1560</v>
      </c>
    </row>
    <row r="26" spans="1:5" x14ac:dyDescent="0.25">
      <c r="A26" s="88">
        <v>139</v>
      </c>
      <c r="B26" s="88" t="s">
        <v>14</v>
      </c>
      <c r="C26" s="54">
        <f>SUMIF('MIR-IG'!$F$8:$F$207,CF!E26,'MIR-IG'!$AC$8:$AC$207)</f>
        <v>0</v>
      </c>
      <c r="E26" s="92" t="s">
        <v>1607</v>
      </c>
    </row>
    <row r="27" spans="1:5" x14ac:dyDescent="0.25">
      <c r="A27" s="114">
        <v>14</v>
      </c>
      <c r="B27" s="114" t="s">
        <v>638</v>
      </c>
      <c r="C27" s="38">
        <f>SUM(C28:C28)</f>
        <v>0</v>
      </c>
    </row>
    <row r="28" spans="1:5" x14ac:dyDescent="0.25">
      <c r="A28" s="88">
        <v>141</v>
      </c>
      <c r="B28" s="88" t="s">
        <v>638</v>
      </c>
      <c r="C28" s="54">
        <f>SUMIF('MIR-IG'!$F$8:$F$207,CF!E28,'MIR-IG'!$AC$8:$AC$207)</f>
        <v>0</v>
      </c>
      <c r="E28" s="92" t="s">
        <v>1597</v>
      </c>
    </row>
    <row r="29" spans="1:5" x14ac:dyDescent="0.25">
      <c r="A29" s="114">
        <v>15</v>
      </c>
      <c r="B29" s="114" t="s">
        <v>2474</v>
      </c>
      <c r="C29" s="38">
        <f>SUM(C30:C31)</f>
        <v>0</v>
      </c>
    </row>
    <row r="30" spans="1:5" x14ac:dyDescent="0.25">
      <c r="A30" s="88">
        <v>151</v>
      </c>
      <c r="B30" s="88" t="s">
        <v>2475</v>
      </c>
      <c r="C30" s="54">
        <f>SUMIF('MIR-IG'!$F$8:$F$207,CF!E30,'MIR-IG'!$AC$8:$AC$207)</f>
        <v>0</v>
      </c>
      <c r="E30" s="92" t="s">
        <v>1598</v>
      </c>
    </row>
    <row r="31" spans="1:5" x14ac:dyDescent="0.25">
      <c r="A31" s="88">
        <v>152</v>
      </c>
      <c r="B31" s="88" t="s">
        <v>640</v>
      </c>
      <c r="C31" s="54">
        <f>SUMIF('MIR-IG'!$F$8:$F$207,CF!E31,'MIR-IG'!$AC$8:$AC$207)</f>
        <v>0</v>
      </c>
      <c r="E31" s="92" t="s">
        <v>1599</v>
      </c>
    </row>
    <row r="32" spans="1:5" x14ac:dyDescent="0.25">
      <c r="A32" s="114">
        <v>16</v>
      </c>
      <c r="B32" s="114" t="s">
        <v>2476</v>
      </c>
      <c r="C32" s="38">
        <f>SUM(C33:C35)</f>
        <v>0</v>
      </c>
    </row>
    <row r="33" spans="1:5" x14ac:dyDescent="0.25">
      <c r="A33" s="88">
        <v>161</v>
      </c>
      <c r="B33" s="88" t="s">
        <v>458</v>
      </c>
      <c r="C33" s="54">
        <f>SUMIF('MIR-IG'!$F$8:$F$207,CF!E33,'MIR-IG'!$AC$8:$AC$207)</f>
        <v>0</v>
      </c>
      <c r="E33" s="92" t="s">
        <v>1609</v>
      </c>
    </row>
    <row r="34" spans="1:5" x14ac:dyDescent="0.25">
      <c r="A34" s="88">
        <v>162</v>
      </c>
      <c r="B34" s="88" t="s">
        <v>459</v>
      </c>
      <c r="C34" s="54">
        <f>SUMIF('MIR-IG'!$F$8:$F$207,CF!E34,'MIR-IG'!$AC$8:$AC$207)</f>
        <v>0</v>
      </c>
      <c r="E34" s="92" t="s">
        <v>1610</v>
      </c>
    </row>
    <row r="35" spans="1:5" x14ac:dyDescent="0.25">
      <c r="A35" s="88">
        <v>163</v>
      </c>
      <c r="B35" s="88" t="s">
        <v>641</v>
      </c>
      <c r="C35" s="54">
        <f>SUMIF('MIR-IG'!$F$8:$F$207,CF!E35,'MIR-IG'!$AC$8:$AC$207)</f>
        <v>0</v>
      </c>
      <c r="E35" s="92" t="s">
        <v>1611</v>
      </c>
    </row>
    <row r="36" spans="1:5" x14ac:dyDescent="0.25">
      <c r="A36" s="114">
        <v>17</v>
      </c>
      <c r="B36" s="114" t="s">
        <v>2477</v>
      </c>
      <c r="C36" s="38">
        <f>SUM(C37:C40)</f>
        <v>0</v>
      </c>
    </row>
    <row r="37" spans="1:5" x14ac:dyDescent="0.25">
      <c r="A37" s="88">
        <v>171</v>
      </c>
      <c r="B37" s="88" t="s">
        <v>461</v>
      </c>
      <c r="C37" s="54">
        <f>SUMIF('MIR-IG'!$F$8:$F$207,CF!E37,'MIR-IG'!$AC$8:$AC$207)</f>
        <v>0</v>
      </c>
      <c r="E37" s="92" t="s">
        <v>1561</v>
      </c>
    </row>
    <row r="38" spans="1:5" x14ac:dyDescent="0.25">
      <c r="A38" s="88">
        <v>172</v>
      </c>
      <c r="B38" s="88" t="s">
        <v>642</v>
      </c>
      <c r="C38" s="54">
        <f>SUMIF('MIR-IG'!$F$8:$F$207,CF!E38,'MIR-IG'!$AC$8:$AC$207)</f>
        <v>0</v>
      </c>
      <c r="E38" s="92" t="s">
        <v>1600</v>
      </c>
    </row>
    <row r="39" spans="1:5" x14ac:dyDescent="0.25">
      <c r="A39" s="88">
        <v>173</v>
      </c>
      <c r="B39" s="88" t="s">
        <v>643</v>
      </c>
      <c r="C39" s="54">
        <f>SUMIF('MIR-IG'!$F$8:$F$207,CF!E39,'MIR-IG'!$AC$8:$AC$207)</f>
        <v>0</v>
      </c>
      <c r="E39" s="92" t="s">
        <v>1601</v>
      </c>
    </row>
    <row r="40" spans="1:5" x14ac:dyDescent="0.25">
      <c r="A40" s="88">
        <v>174</v>
      </c>
      <c r="B40" s="88" t="s">
        <v>644</v>
      </c>
      <c r="C40" s="54">
        <f>SUMIF('MIR-IG'!$F$8:$F$207,CF!E40,'MIR-IG'!$AC$8:$AC$207)</f>
        <v>0</v>
      </c>
      <c r="E40" s="92" t="s">
        <v>1602</v>
      </c>
    </row>
    <row r="41" spans="1:5" x14ac:dyDescent="0.25">
      <c r="A41" s="114">
        <v>18</v>
      </c>
      <c r="B41" s="114" t="s">
        <v>203</v>
      </c>
      <c r="C41" s="38">
        <f>SUM(C42:C46)</f>
        <v>0</v>
      </c>
    </row>
    <row r="42" spans="1:5" x14ac:dyDescent="0.25">
      <c r="A42" s="88">
        <v>181</v>
      </c>
      <c r="B42" s="88" t="s">
        <v>645</v>
      </c>
      <c r="C42" s="54">
        <f>SUMIF('MIR-IG'!$F$8:$F$207,CF!E42,'MIR-IG'!$AC$8:$AC$207)</f>
        <v>0</v>
      </c>
      <c r="E42" s="92" t="s">
        <v>1603</v>
      </c>
    </row>
    <row r="43" spans="1:5" x14ac:dyDescent="0.25">
      <c r="A43" s="88">
        <v>182</v>
      </c>
      <c r="B43" s="88" t="s">
        <v>646</v>
      </c>
      <c r="C43" s="54">
        <f>SUMIF('MIR-IG'!$F$8:$F$207,CF!E43,'MIR-IG'!$AC$8:$AC$207)</f>
        <v>0</v>
      </c>
      <c r="E43" s="92" t="s">
        <v>1604</v>
      </c>
    </row>
    <row r="44" spans="1:5" x14ac:dyDescent="0.25">
      <c r="A44" s="88">
        <v>183</v>
      </c>
      <c r="B44" s="88" t="s">
        <v>647</v>
      </c>
      <c r="C44" s="54">
        <f>SUMIF('MIR-IG'!$F$8:$F$207,CF!E44,'MIR-IG'!$AC$8:$AC$207)</f>
        <v>0</v>
      </c>
      <c r="E44" s="92" t="s">
        <v>1605</v>
      </c>
    </row>
    <row r="45" spans="1:5" x14ac:dyDescent="0.25">
      <c r="A45" s="88">
        <v>184</v>
      </c>
      <c r="B45" s="88" t="s">
        <v>648</v>
      </c>
      <c r="C45" s="54">
        <f>SUMIF('MIR-IG'!$F$8:$F$207,CF!E45,'MIR-IG'!$AC$8:$AC$207)</f>
        <v>0</v>
      </c>
      <c r="E45" s="92" t="s">
        <v>1606</v>
      </c>
    </row>
    <row r="46" spans="1:5" x14ac:dyDescent="0.25">
      <c r="A46" s="88">
        <v>185</v>
      </c>
      <c r="B46" s="88" t="s">
        <v>14</v>
      </c>
      <c r="C46" s="54">
        <f>SUMIF('MIR-IG'!$F$8:$F$207,CF!E46,'MIR-IG'!$AC$8:$AC$207)</f>
        <v>0</v>
      </c>
      <c r="E46" s="92" t="s">
        <v>1562</v>
      </c>
    </row>
    <row r="47" spans="1:5" x14ac:dyDescent="0.25">
      <c r="A47" s="118">
        <v>2</v>
      </c>
      <c r="B47" s="118" t="s">
        <v>2478</v>
      </c>
      <c r="C47" s="69">
        <f>C48+C55+C63+C69+C74+C81+C91</f>
        <v>70629366</v>
      </c>
    </row>
    <row r="48" spans="1:5" x14ac:dyDescent="0.25">
      <c r="A48" s="114">
        <v>21</v>
      </c>
      <c r="B48" s="114" t="s">
        <v>2479</v>
      </c>
      <c r="C48" s="71">
        <f>SUM(C49:C54)</f>
        <v>0</v>
      </c>
    </row>
    <row r="49" spans="1:5" x14ac:dyDescent="0.25">
      <c r="A49" s="88">
        <v>211</v>
      </c>
      <c r="B49" s="88" t="s">
        <v>650</v>
      </c>
      <c r="C49" s="54">
        <f>SUMIF('MIR-IG'!$F$8:$F$207,CF!E49,'MIR-IG'!$AC$8:$AC$207)</f>
        <v>0</v>
      </c>
      <c r="E49" s="92" t="s">
        <v>1613</v>
      </c>
    </row>
    <row r="50" spans="1:5" x14ac:dyDescent="0.25">
      <c r="A50" s="88">
        <v>212</v>
      </c>
      <c r="B50" s="88" t="s">
        <v>651</v>
      </c>
      <c r="C50" s="54">
        <f>SUMIF('MIR-IG'!$F$8:$F$207,CF!E50,'MIR-IG'!$AC$8:$AC$207)</f>
        <v>0</v>
      </c>
      <c r="E50" s="92" t="s">
        <v>1614</v>
      </c>
    </row>
    <row r="51" spans="1:5" x14ac:dyDescent="0.25">
      <c r="A51" s="88">
        <v>213</v>
      </c>
      <c r="B51" s="88" t="s">
        <v>652</v>
      </c>
      <c r="C51" s="54">
        <f>SUMIF('MIR-IG'!$F$8:$F$207,CF!E51,'MIR-IG'!$AC$8:$AC$207)</f>
        <v>0</v>
      </c>
      <c r="E51" s="92" t="s">
        <v>1615</v>
      </c>
    </row>
    <row r="52" spans="1:5" x14ac:dyDescent="0.25">
      <c r="A52" s="88">
        <v>214</v>
      </c>
      <c r="B52" s="88" t="s">
        <v>653</v>
      </c>
      <c r="C52" s="54">
        <f>SUMIF('MIR-IG'!$F$8:$F$207,CF!E52,'MIR-IG'!$AC$8:$AC$207)</f>
        <v>0</v>
      </c>
      <c r="E52" s="92" t="s">
        <v>1616</v>
      </c>
    </row>
    <row r="53" spans="1:5" x14ac:dyDescent="0.25">
      <c r="A53" s="88">
        <v>215</v>
      </c>
      <c r="B53" s="88" t="s">
        <v>654</v>
      </c>
      <c r="C53" s="54">
        <f>SUMIF('MIR-IG'!$F$8:$F$207,CF!E53,'MIR-IG'!$AC$8:$AC$207)</f>
        <v>0</v>
      </c>
      <c r="E53" s="92" t="s">
        <v>1617</v>
      </c>
    </row>
    <row r="54" spans="1:5" x14ac:dyDescent="0.25">
      <c r="A54" s="88">
        <v>216</v>
      </c>
      <c r="B54" s="88" t="s">
        <v>655</v>
      </c>
      <c r="C54" s="54">
        <f>SUMIF('MIR-IG'!$F$8:$F$207,CF!E54,'MIR-IG'!$AC$8:$AC$207)</f>
        <v>0</v>
      </c>
      <c r="E54" s="92" t="s">
        <v>1618</v>
      </c>
    </row>
    <row r="55" spans="1:5" x14ac:dyDescent="0.25">
      <c r="A55" s="114">
        <v>22</v>
      </c>
      <c r="B55" s="114" t="s">
        <v>2480</v>
      </c>
      <c r="C55" s="73">
        <f>SUM(C56:C62)</f>
        <v>65316972</v>
      </c>
    </row>
    <row r="56" spans="1:5" x14ac:dyDescent="0.25">
      <c r="A56" s="88">
        <v>221</v>
      </c>
      <c r="B56" s="88" t="s">
        <v>656</v>
      </c>
      <c r="C56" s="54">
        <f>SUMIF('MIR-IG'!$F$8:$F$207,CF!E56,'MIR-IG'!$AC$8:$AC$207)</f>
        <v>22723581</v>
      </c>
      <c r="E56" s="92" t="s">
        <v>1563</v>
      </c>
    </row>
    <row r="57" spans="1:5" x14ac:dyDescent="0.25">
      <c r="A57" s="88">
        <v>222</v>
      </c>
      <c r="B57" s="88" t="s">
        <v>657</v>
      </c>
      <c r="C57" s="54">
        <f>SUMIF('MIR-IG'!$F$8:$F$207,CF!E57,'MIR-IG'!$AC$8:$AC$207)</f>
        <v>0</v>
      </c>
      <c r="E57" s="92" t="s">
        <v>1620</v>
      </c>
    </row>
    <row r="58" spans="1:5" x14ac:dyDescent="0.25">
      <c r="A58" s="88">
        <v>223</v>
      </c>
      <c r="B58" s="88" t="s">
        <v>658</v>
      </c>
      <c r="C58" s="54">
        <f>SUMIF('MIR-IG'!$F$8:$F$207,CF!E58,'MIR-IG'!$AC$8:$AC$207)</f>
        <v>1000000</v>
      </c>
      <c r="E58" s="92" t="s">
        <v>1621</v>
      </c>
    </row>
    <row r="59" spans="1:5" x14ac:dyDescent="0.25">
      <c r="A59" s="88">
        <v>224</v>
      </c>
      <c r="B59" s="88" t="s">
        <v>659</v>
      </c>
      <c r="C59" s="54">
        <f>SUMIF('MIR-IG'!$F$8:$F$207,CF!E59,'MIR-IG'!$AC$8:$AC$207)</f>
        <v>0</v>
      </c>
      <c r="E59" s="92" t="s">
        <v>1622</v>
      </c>
    </row>
    <row r="60" spans="1:5" x14ac:dyDescent="0.25">
      <c r="A60" s="88">
        <v>225</v>
      </c>
      <c r="B60" s="88" t="s">
        <v>464</v>
      </c>
      <c r="C60" s="54">
        <f>SUMIF('MIR-IG'!$F$8:$F$207,CF!E60,'MIR-IG'!$AC$8:$AC$207)</f>
        <v>0</v>
      </c>
      <c r="E60" s="92" t="s">
        <v>1564</v>
      </c>
    </row>
    <row r="61" spans="1:5" x14ac:dyDescent="0.25">
      <c r="A61" s="88">
        <v>226</v>
      </c>
      <c r="B61" s="88" t="s">
        <v>660</v>
      </c>
      <c r="C61" s="54">
        <f>SUMIF('MIR-IG'!$F$8:$F$207,CF!E61,'MIR-IG'!$AC$8:$AC$207)</f>
        <v>41593391</v>
      </c>
      <c r="E61" s="92" t="s">
        <v>1623</v>
      </c>
    </row>
    <row r="62" spans="1:5" x14ac:dyDescent="0.25">
      <c r="A62" s="88">
        <v>227</v>
      </c>
      <c r="B62" s="88" t="s">
        <v>661</v>
      </c>
      <c r="C62" s="54">
        <f>SUMIF('MIR-IG'!$F$8:$F$207,CF!E62,'MIR-IG'!$AC$8:$AC$207)</f>
        <v>0</v>
      </c>
      <c r="E62" s="92" t="s">
        <v>1624</v>
      </c>
    </row>
    <row r="63" spans="1:5" x14ac:dyDescent="0.25">
      <c r="A63" s="114">
        <v>23</v>
      </c>
      <c r="B63" s="114" t="s">
        <v>496</v>
      </c>
      <c r="C63" s="73">
        <f>SUM(C64:C68)</f>
        <v>0</v>
      </c>
    </row>
    <row r="64" spans="1:5" x14ac:dyDescent="0.25">
      <c r="A64" s="88">
        <v>231</v>
      </c>
      <c r="B64" s="88" t="s">
        <v>662</v>
      </c>
      <c r="C64" s="54">
        <f>SUMIF('MIR-IG'!$F$8:$F$207,CF!E64,'MIR-IG'!$AC$8:$AC$207)</f>
        <v>0</v>
      </c>
      <c r="E64" s="92" t="s">
        <v>1626</v>
      </c>
    </row>
    <row r="65" spans="1:5" x14ac:dyDescent="0.25">
      <c r="A65" s="88">
        <v>232</v>
      </c>
      <c r="B65" s="88" t="s">
        <v>663</v>
      </c>
      <c r="C65" s="54">
        <f>SUMIF('MIR-IG'!$F$8:$F$207,CF!E65,'MIR-IG'!$AC$8:$AC$207)</f>
        <v>0</v>
      </c>
      <c r="E65" s="92" t="s">
        <v>1627</v>
      </c>
    </row>
    <row r="66" spans="1:5" x14ac:dyDescent="0.25">
      <c r="A66" s="88">
        <v>233</v>
      </c>
      <c r="B66" s="88" t="s">
        <v>664</v>
      </c>
      <c r="C66" s="54">
        <f>SUMIF('MIR-IG'!$F$8:$F$207,CF!E66,'MIR-IG'!$AC$8:$AC$207)</f>
        <v>0</v>
      </c>
      <c r="E66" s="92" t="s">
        <v>1628</v>
      </c>
    </row>
    <row r="67" spans="1:5" x14ac:dyDescent="0.25">
      <c r="A67" s="88">
        <v>234</v>
      </c>
      <c r="B67" s="88" t="s">
        <v>665</v>
      </c>
      <c r="C67" s="54">
        <f>SUMIF('MIR-IG'!$F$8:$F$207,CF!E67,'MIR-IG'!$AC$8:$AC$207)</f>
        <v>0</v>
      </c>
      <c r="E67" s="92" t="s">
        <v>1629</v>
      </c>
    </row>
    <row r="68" spans="1:5" x14ac:dyDescent="0.25">
      <c r="A68" s="88">
        <v>235</v>
      </c>
      <c r="B68" s="88" t="s">
        <v>666</v>
      </c>
      <c r="C68" s="54">
        <f>SUMIF('MIR-IG'!$F$8:$F$207,CF!E68,'MIR-IG'!$AC$8:$AC$207)</f>
        <v>0</v>
      </c>
      <c r="E68" s="92" t="s">
        <v>1630</v>
      </c>
    </row>
    <row r="69" spans="1:5" x14ac:dyDescent="0.25">
      <c r="A69" s="122">
        <v>24</v>
      </c>
      <c r="B69" s="122" t="s">
        <v>2481</v>
      </c>
      <c r="C69" s="73">
        <f>SUM(C70:C73)</f>
        <v>0</v>
      </c>
    </row>
    <row r="70" spans="1:5" x14ac:dyDescent="0.25">
      <c r="A70" s="88">
        <v>241</v>
      </c>
      <c r="B70" s="88" t="s">
        <v>667</v>
      </c>
      <c r="C70" s="54">
        <f>SUMIF('MIR-IG'!$F$8:$F$207,CF!E70,'MIR-IG'!$AC$8:$AC$207)</f>
        <v>0</v>
      </c>
      <c r="E70" s="92" t="s">
        <v>1632</v>
      </c>
    </row>
    <row r="71" spans="1:5" x14ac:dyDescent="0.25">
      <c r="A71" s="88">
        <v>242</v>
      </c>
      <c r="B71" s="88" t="s">
        <v>467</v>
      </c>
      <c r="C71" s="54">
        <f>SUMIF('MIR-IG'!$F$8:$F$207,CF!E71,'MIR-IG'!$AC$8:$AC$207)</f>
        <v>0</v>
      </c>
      <c r="E71" s="92" t="s">
        <v>1565</v>
      </c>
    </row>
    <row r="72" spans="1:5" x14ac:dyDescent="0.25">
      <c r="A72" s="88">
        <v>243</v>
      </c>
      <c r="B72" s="88" t="s">
        <v>668</v>
      </c>
      <c r="C72" s="54">
        <f>SUMIF('MIR-IG'!$F$8:$F$207,CF!E72,'MIR-IG'!$AC$8:$AC$207)</f>
        <v>0</v>
      </c>
      <c r="E72" s="92" t="s">
        <v>1633</v>
      </c>
    </row>
    <row r="73" spans="1:5" x14ac:dyDescent="0.25">
      <c r="A73" s="88">
        <v>244</v>
      </c>
      <c r="B73" s="88" t="s">
        <v>669</v>
      </c>
      <c r="C73" s="54">
        <f>SUMIF('MIR-IG'!$F$8:$F$207,CF!E73,'MIR-IG'!$AC$8:$AC$207)</f>
        <v>0</v>
      </c>
      <c r="E73" s="92" t="s">
        <v>1634</v>
      </c>
    </row>
    <row r="74" spans="1:5" x14ac:dyDescent="0.25">
      <c r="A74" s="122">
        <v>25</v>
      </c>
      <c r="B74" s="122" t="s">
        <v>2482</v>
      </c>
      <c r="C74" s="73">
        <f>SUM(C75:C80)</f>
        <v>5312394</v>
      </c>
    </row>
    <row r="75" spans="1:5" x14ac:dyDescent="0.25">
      <c r="A75" s="88">
        <v>251</v>
      </c>
      <c r="B75" s="88" t="s">
        <v>670</v>
      </c>
      <c r="C75" s="54">
        <f>SUMIF('MIR-IG'!$F$8:$F$207,CF!E75,'MIR-IG'!$AC$8:$AC$207)</f>
        <v>0</v>
      </c>
      <c r="E75" s="92" t="s">
        <v>1636</v>
      </c>
    </row>
    <row r="76" spans="1:5" x14ac:dyDescent="0.25">
      <c r="A76" s="88">
        <v>252</v>
      </c>
      <c r="B76" s="88" t="s">
        <v>671</v>
      </c>
      <c r="C76" s="54">
        <f>SUMIF('MIR-IG'!$F$8:$F$207,CF!E76,'MIR-IG'!$AC$8:$AC$207)</f>
        <v>0</v>
      </c>
      <c r="E76" s="92" t="s">
        <v>1637</v>
      </c>
    </row>
    <row r="77" spans="1:5" x14ac:dyDescent="0.25">
      <c r="A77" s="88">
        <v>253</v>
      </c>
      <c r="B77" s="88" t="s">
        <v>672</v>
      </c>
      <c r="C77" s="54">
        <f>SUMIF('MIR-IG'!$F$8:$F$207,CF!E77,'MIR-IG'!$AC$8:$AC$207)</f>
        <v>0</v>
      </c>
      <c r="E77" s="92" t="s">
        <v>1638</v>
      </c>
    </row>
    <row r="78" spans="1:5" x14ac:dyDescent="0.25">
      <c r="A78" s="88">
        <v>254</v>
      </c>
      <c r="B78" s="88" t="s">
        <v>469</v>
      </c>
      <c r="C78" s="54">
        <f>SUMIF('MIR-IG'!$F$8:$F$207,CF!E78,'MIR-IG'!$AC$8:$AC$207)</f>
        <v>0</v>
      </c>
      <c r="E78" s="92" t="s">
        <v>1566</v>
      </c>
    </row>
    <row r="79" spans="1:5" x14ac:dyDescent="0.25">
      <c r="A79" s="88">
        <v>255</v>
      </c>
      <c r="B79" s="88" t="s">
        <v>673</v>
      </c>
      <c r="C79" s="54">
        <f>SUMIF('MIR-IG'!$F$8:$F$207,CF!E79,'MIR-IG'!$AC$8:$AC$207)</f>
        <v>0</v>
      </c>
      <c r="E79" s="92" t="s">
        <v>1639</v>
      </c>
    </row>
    <row r="80" spans="1:5" x14ac:dyDescent="0.25">
      <c r="A80" s="88">
        <v>256</v>
      </c>
      <c r="B80" s="88" t="s">
        <v>674</v>
      </c>
      <c r="C80" s="54">
        <f>SUMIF('MIR-IG'!$F$8:$F$207,CF!E80,'MIR-IG'!$AC$8:$AC$207)</f>
        <v>5312394</v>
      </c>
      <c r="E80" s="92" t="s">
        <v>1640</v>
      </c>
    </row>
    <row r="81" spans="1:5" x14ac:dyDescent="0.25">
      <c r="A81" s="122">
        <v>26</v>
      </c>
      <c r="B81" s="122" t="s">
        <v>2483</v>
      </c>
      <c r="C81" s="73">
        <f>SUM(C82:C90)</f>
        <v>0</v>
      </c>
    </row>
    <row r="82" spans="1:5" x14ac:dyDescent="0.25">
      <c r="A82" s="88">
        <v>261</v>
      </c>
      <c r="B82" s="88" t="s">
        <v>676</v>
      </c>
      <c r="C82" s="54">
        <f>SUMIF('MIR-IG'!$F$8:$F$207,CF!E82,'MIR-IG'!$AC$8:$AC$207)</f>
        <v>0</v>
      </c>
      <c r="E82" s="92" t="s">
        <v>1642</v>
      </c>
    </row>
    <row r="83" spans="1:5" x14ac:dyDescent="0.25">
      <c r="A83" s="88">
        <v>262</v>
      </c>
      <c r="B83" s="88" t="s">
        <v>677</v>
      </c>
      <c r="C83" s="54">
        <f>SUMIF('MIR-IG'!$F$8:$F$207,CF!E83,'MIR-IG'!$AC$8:$AC$207)</f>
        <v>0</v>
      </c>
      <c r="E83" s="92" t="s">
        <v>1643</v>
      </c>
    </row>
    <row r="84" spans="1:5" x14ac:dyDescent="0.25">
      <c r="A84" s="88">
        <v>263</v>
      </c>
      <c r="B84" s="88" t="s">
        <v>678</v>
      </c>
      <c r="C84" s="54">
        <f>SUMIF('MIR-IG'!$F$8:$F$207,CF!E84,'MIR-IG'!$AC$8:$AC$207)</f>
        <v>0</v>
      </c>
      <c r="E84" s="92" t="s">
        <v>1644</v>
      </c>
    </row>
    <row r="85" spans="1:5" x14ac:dyDescent="0.25">
      <c r="A85" s="88">
        <v>264</v>
      </c>
      <c r="B85" s="88" t="s">
        <v>470</v>
      </c>
      <c r="C85" s="54">
        <f>SUMIF('MIR-IG'!$F$8:$F$207,CF!E85,'MIR-IG'!$AC$8:$AC$207)</f>
        <v>0</v>
      </c>
      <c r="E85" s="92" t="s">
        <v>1567</v>
      </c>
    </row>
    <row r="86" spans="1:5" x14ac:dyDescent="0.25">
      <c r="A86" s="88">
        <v>265</v>
      </c>
      <c r="B86" s="88" t="s">
        <v>679</v>
      </c>
      <c r="C86" s="54">
        <f>SUMIF('MIR-IG'!$F$8:$F$207,CF!E86,'MIR-IG'!$AC$8:$AC$207)</f>
        <v>0</v>
      </c>
      <c r="E86" s="92" t="s">
        <v>1645</v>
      </c>
    </row>
    <row r="87" spans="1:5" x14ac:dyDescent="0.25">
      <c r="A87" s="88">
        <v>266</v>
      </c>
      <c r="B87" s="88" t="s">
        <v>680</v>
      </c>
      <c r="C87" s="54">
        <f>SUMIF('MIR-IG'!$F$8:$F$207,CF!E87,'MIR-IG'!$AC$8:$AC$207)</f>
        <v>0</v>
      </c>
      <c r="E87" s="92" t="s">
        <v>1646</v>
      </c>
    </row>
    <row r="88" spans="1:5" x14ac:dyDescent="0.25">
      <c r="A88" s="88">
        <v>267</v>
      </c>
      <c r="B88" s="88" t="s">
        <v>471</v>
      </c>
      <c r="C88" s="54">
        <f>SUMIF('MIR-IG'!$F$8:$F$207,CF!E88,'MIR-IG'!$AC$8:$AC$207)</f>
        <v>0</v>
      </c>
      <c r="E88" s="92" t="s">
        <v>1568</v>
      </c>
    </row>
    <row r="89" spans="1:5" x14ac:dyDescent="0.25">
      <c r="A89" s="88">
        <v>268</v>
      </c>
      <c r="B89" s="88" t="s">
        <v>681</v>
      </c>
      <c r="C89" s="54">
        <f>SUMIF('MIR-IG'!$F$8:$F$207,CF!E89,'MIR-IG'!$AC$8:$AC$207)</f>
        <v>0</v>
      </c>
      <c r="E89" s="92" t="s">
        <v>1647</v>
      </c>
    </row>
    <row r="90" spans="1:5" x14ac:dyDescent="0.25">
      <c r="A90" s="88">
        <v>269</v>
      </c>
      <c r="B90" s="88" t="s">
        <v>682</v>
      </c>
      <c r="C90" s="54">
        <f>SUMIF('MIR-IG'!$F$8:$F$207,CF!E90,'MIR-IG'!$AC$8:$AC$207)</f>
        <v>0</v>
      </c>
      <c r="E90" s="92" t="s">
        <v>1648</v>
      </c>
    </row>
    <row r="91" spans="1:5" x14ac:dyDescent="0.25">
      <c r="A91" s="122">
        <v>27</v>
      </c>
      <c r="B91" s="122" t="s">
        <v>472</v>
      </c>
      <c r="C91" s="73">
        <f>SUM(C92:C92)</f>
        <v>0</v>
      </c>
    </row>
    <row r="92" spans="1:5" x14ac:dyDescent="0.25">
      <c r="A92" s="88">
        <v>271</v>
      </c>
      <c r="B92" s="88" t="s">
        <v>683</v>
      </c>
      <c r="C92" s="54">
        <f>SUMIF('MIR-IG'!$F$8:$F$207,CF!E92,'MIR-IG'!$AC$8:$AC$207)</f>
        <v>0</v>
      </c>
      <c r="E92" s="92" t="s">
        <v>1649</v>
      </c>
    </row>
    <row r="93" spans="1:5" x14ac:dyDescent="0.25">
      <c r="A93" s="112">
        <v>3</v>
      </c>
      <c r="B93" s="112" t="s">
        <v>2484</v>
      </c>
      <c r="C93" s="77">
        <f>C94+C97+C104+C111+C115+C122+C124+C127+C132</f>
        <v>1500291</v>
      </c>
    </row>
    <row r="94" spans="1:5" x14ac:dyDescent="0.25">
      <c r="A94" s="122">
        <v>31</v>
      </c>
      <c r="B94" s="122" t="s">
        <v>2485</v>
      </c>
      <c r="C94" s="73">
        <f>SUM(C95:C96)</f>
        <v>0</v>
      </c>
    </row>
    <row r="95" spans="1:5" x14ac:dyDescent="0.25">
      <c r="A95" s="88">
        <v>311</v>
      </c>
      <c r="B95" s="88" t="s">
        <v>684</v>
      </c>
      <c r="C95" s="54">
        <f>SUMIF('MIR-IG'!$F$8:$F$207,CF!E95,'MIR-IG'!$AC$8:$AC$207)</f>
        <v>0</v>
      </c>
      <c r="E95" s="92" t="s">
        <v>1650</v>
      </c>
    </row>
    <row r="96" spans="1:5" x14ac:dyDescent="0.25">
      <c r="A96" s="88">
        <v>312</v>
      </c>
      <c r="B96" s="88" t="s">
        <v>685</v>
      </c>
      <c r="C96" s="54">
        <f>SUMIF('MIR-IG'!$F$8:$F$207,CF!E96,'MIR-IG'!$AC$8:$AC$207)</f>
        <v>0</v>
      </c>
      <c r="E96" s="92" t="s">
        <v>1651</v>
      </c>
    </row>
    <row r="97" spans="1:5" x14ac:dyDescent="0.25">
      <c r="A97" s="122">
        <v>32</v>
      </c>
      <c r="B97" s="122" t="s">
        <v>2486</v>
      </c>
      <c r="C97" s="73">
        <f>SUM(C98:C103)</f>
        <v>715012</v>
      </c>
    </row>
    <row r="98" spans="1:5" x14ac:dyDescent="0.25">
      <c r="A98" s="88">
        <v>321</v>
      </c>
      <c r="B98" s="88" t="s">
        <v>475</v>
      </c>
      <c r="C98" s="54">
        <f>SUMIF('MIR-IG'!$F$8:$F$207,CF!E98,'MIR-IG'!$AC$8:$AC$207)</f>
        <v>715012</v>
      </c>
      <c r="E98" s="92" t="s">
        <v>1569</v>
      </c>
    </row>
    <row r="99" spans="1:5" x14ac:dyDescent="0.25">
      <c r="A99" s="88">
        <v>322</v>
      </c>
      <c r="B99" s="88" t="s">
        <v>476</v>
      </c>
      <c r="C99" s="54">
        <f>SUMIF('MIR-IG'!$F$8:$F$207,CF!E99,'MIR-IG'!$AC$8:$AC$207)</f>
        <v>0</v>
      </c>
      <c r="E99" s="92" t="s">
        <v>1570</v>
      </c>
    </row>
    <row r="100" spans="1:5" x14ac:dyDescent="0.25">
      <c r="A100" s="88">
        <v>323</v>
      </c>
      <c r="B100" s="88" t="s">
        <v>687</v>
      </c>
      <c r="C100" s="54">
        <f>SUMIF('MIR-IG'!$F$8:$F$207,CF!E100,'MIR-IG'!$AC$8:$AC$207)</f>
        <v>0</v>
      </c>
      <c r="E100" s="92" t="s">
        <v>1654</v>
      </c>
    </row>
    <row r="101" spans="1:5" x14ac:dyDescent="0.25">
      <c r="A101" s="88">
        <v>324</v>
      </c>
      <c r="B101" s="88" t="s">
        <v>477</v>
      </c>
      <c r="C101" s="54">
        <f>SUMIF('MIR-IG'!$F$8:$F$207,CF!E101,'MIR-IG'!$AC$8:$AC$207)</f>
        <v>0</v>
      </c>
      <c r="E101" s="92" t="s">
        <v>1571</v>
      </c>
    </row>
    <row r="102" spans="1:5" x14ac:dyDescent="0.25">
      <c r="A102" s="88">
        <v>325</v>
      </c>
      <c r="B102" s="88" t="s">
        <v>478</v>
      </c>
      <c r="C102" s="54">
        <f>SUMIF('MIR-IG'!$F$8:$F$207,CF!E102,'MIR-IG'!$AC$8:$AC$207)</f>
        <v>0</v>
      </c>
      <c r="E102" s="92" t="s">
        <v>1572</v>
      </c>
    </row>
    <row r="103" spans="1:5" x14ac:dyDescent="0.25">
      <c r="A103" s="88">
        <v>326</v>
      </c>
      <c r="B103" s="88" t="s">
        <v>688</v>
      </c>
      <c r="C103" s="54">
        <f>SUMIF('MIR-IG'!$F$8:$F$207,CF!E103,'MIR-IG'!$AC$8:$AC$207)</f>
        <v>0</v>
      </c>
      <c r="E103" s="92" t="s">
        <v>1655</v>
      </c>
    </row>
    <row r="104" spans="1:5" x14ac:dyDescent="0.25">
      <c r="A104" s="122">
        <v>33</v>
      </c>
      <c r="B104" s="122" t="s">
        <v>2487</v>
      </c>
      <c r="C104" s="73">
        <f>SUM(C105:C110)</f>
        <v>0</v>
      </c>
    </row>
    <row r="105" spans="1:5" x14ac:dyDescent="0.25">
      <c r="A105" s="88">
        <v>331</v>
      </c>
      <c r="B105" s="88" t="s">
        <v>690</v>
      </c>
      <c r="C105" s="54">
        <f>SUMIF('MIR-IG'!$F$8:$F$207,CF!E105,'MIR-IG'!$AC$8:$AC$207)</f>
        <v>0</v>
      </c>
      <c r="E105" s="92" t="s">
        <v>1658</v>
      </c>
    </row>
    <row r="106" spans="1:5" x14ac:dyDescent="0.25">
      <c r="A106" s="88">
        <v>332</v>
      </c>
      <c r="B106" s="88" t="s">
        <v>2488</v>
      </c>
      <c r="C106" s="54">
        <f>SUMIF('MIR-IG'!$F$8:$F$207,CF!E106,'MIR-IG'!$AC$8:$AC$207)</f>
        <v>0</v>
      </c>
      <c r="E106" s="92" t="s">
        <v>1659</v>
      </c>
    </row>
    <row r="107" spans="1:5" x14ac:dyDescent="0.25">
      <c r="A107" s="88">
        <v>333</v>
      </c>
      <c r="B107" s="88" t="s">
        <v>2489</v>
      </c>
      <c r="C107" s="54">
        <f>SUMIF('MIR-IG'!$F$8:$F$207,CF!E107,'MIR-IG'!$AC$8:$AC$207)</f>
        <v>0</v>
      </c>
      <c r="E107" s="92" t="s">
        <v>1660</v>
      </c>
    </row>
    <row r="108" spans="1:5" x14ac:dyDescent="0.25">
      <c r="A108" s="88">
        <v>334</v>
      </c>
      <c r="B108" s="88" t="s">
        <v>692</v>
      </c>
      <c r="C108" s="54">
        <f>SUMIF('MIR-IG'!$F$8:$F$207,CF!E108,'MIR-IG'!$AC$8:$AC$207)</f>
        <v>0</v>
      </c>
      <c r="E108" s="92" t="s">
        <v>1661</v>
      </c>
    </row>
    <row r="109" spans="1:5" x14ac:dyDescent="0.25">
      <c r="A109" s="88">
        <v>335</v>
      </c>
      <c r="B109" s="88" t="s">
        <v>480</v>
      </c>
      <c r="C109" s="54">
        <f>SUMIF('MIR-IG'!$F$8:$F$207,CF!E109,'MIR-IG'!$AC$8:$AC$207)</f>
        <v>0</v>
      </c>
      <c r="E109" s="92" t="s">
        <v>1573</v>
      </c>
    </row>
    <row r="110" spans="1:5" x14ac:dyDescent="0.25">
      <c r="A110" s="88">
        <v>336</v>
      </c>
      <c r="B110" s="88" t="s">
        <v>2490</v>
      </c>
      <c r="C110" s="54">
        <f>SUMIF('MIR-IG'!$F$8:$F$207,CF!E110,'MIR-IG'!$AC$8:$AC$207)</f>
        <v>0</v>
      </c>
      <c r="E110" s="92" t="s">
        <v>1662</v>
      </c>
    </row>
    <row r="111" spans="1:5" x14ac:dyDescent="0.25">
      <c r="A111" s="122">
        <v>34</v>
      </c>
      <c r="B111" s="122" t="s">
        <v>2491</v>
      </c>
      <c r="C111" s="73">
        <f>SUM(C112:C114)</f>
        <v>0</v>
      </c>
    </row>
    <row r="112" spans="1:5" x14ac:dyDescent="0.25">
      <c r="A112" s="88">
        <v>341</v>
      </c>
      <c r="B112" s="88" t="s">
        <v>693</v>
      </c>
      <c r="C112" s="54">
        <f>SUMIF('MIR-IG'!$F$8:$F$207,CF!E112,'MIR-IG'!$AC$8:$AC$207)</f>
        <v>0</v>
      </c>
      <c r="E112" s="92" t="s">
        <v>1664</v>
      </c>
    </row>
    <row r="113" spans="1:5" x14ac:dyDescent="0.25">
      <c r="A113" s="88">
        <v>342</v>
      </c>
      <c r="B113" s="88" t="s">
        <v>483</v>
      </c>
      <c r="C113" s="54">
        <f>SUMIF('MIR-IG'!$F$8:$F$207,CF!E113,'MIR-IG'!$AC$8:$AC$207)</f>
        <v>0</v>
      </c>
      <c r="E113" s="92" t="s">
        <v>1574</v>
      </c>
    </row>
    <row r="114" spans="1:5" x14ac:dyDescent="0.25">
      <c r="A114" s="88">
        <v>343</v>
      </c>
      <c r="B114" s="88" t="s">
        <v>484</v>
      </c>
      <c r="C114" s="54">
        <f>SUMIF('MIR-IG'!$F$8:$F$207,CF!E114,'MIR-IG'!$AC$8:$AC$207)</f>
        <v>0</v>
      </c>
      <c r="E114" s="92" t="s">
        <v>1575</v>
      </c>
    </row>
    <row r="115" spans="1:5" x14ac:dyDescent="0.25">
      <c r="A115" s="122">
        <v>35</v>
      </c>
      <c r="B115" s="122" t="s">
        <v>2492</v>
      </c>
      <c r="C115" s="73">
        <f>SUM(C116:C121)</f>
        <v>0</v>
      </c>
    </row>
    <row r="116" spans="1:5" x14ac:dyDescent="0.25">
      <c r="A116" s="88">
        <v>351</v>
      </c>
      <c r="B116" s="88" t="s">
        <v>694</v>
      </c>
      <c r="C116" s="54">
        <f>SUMIF('MIR-IG'!$F$8:$F$207,CF!E116,'MIR-IG'!$AC$8:$AC$207)</f>
        <v>0</v>
      </c>
      <c r="E116" s="92" t="s">
        <v>1666</v>
      </c>
    </row>
    <row r="117" spans="1:5" x14ac:dyDescent="0.25">
      <c r="A117" s="88">
        <v>352</v>
      </c>
      <c r="B117" s="88" t="s">
        <v>695</v>
      </c>
      <c r="C117" s="54">
        <f>SUMIF('MIR-IG'!$F$8:$F$207,CF!E117,'MIR-IG'!$AC$8:$AC$207)</f>
        <v>0</v>
      </c>
      <c r="E117" s="92" t="s">
        <v>1667</v>
      </c>
    </row>
    <row r="118" spans="1:5" x14ac:dyDescent="0.25">
      <c r="A118" s="88">
        <v>353</v>
      </c>
      <c r="B118" s="88" t="s">
        <v>696</v>
      </c>
      <c r="C118" s="54">
        <f>SUMIF('MIR-IG'!$F$8:$F$207,CF!E118,'MIR-IG'!$AC$8:$AC$207)</f>
        <v>0</v>
      </c>
      <c r="E118" s="92" t="s">
        <v>1668</v>
      </c>
    </row>
    <row r="119" spans="1:5" x14ac:dyDescent="0.25">
      <c r="A119" s="88">
        <v>354</v>
      </c>
      <c r="B119" s="88" t="s">
        <v>697</v>
      </c>
      <c r="C119" s="54">
        <f>SUMIF('MIR-IG'!$F$8:$F$207,CF!E119,'MIR-IG'!$AC$8:$AC$207)</f>
        <v>0</v>
      </c>
      <c r="E119" s="92" t="s">
        <v>1669</v>
      </c>
    </row>
    <row r="120" spans="1:5" x14ac:dyDescent="0.25">
      <c r="A120" s="88">
        <v>355</v>
      </c>
      <c r="B120" s="88" t="s">
        <v>698</v>
      </c>
      <c r="C120" s="54">
        <f>SUMIF('MIR-IG'!$F$8:$F$207,CF!E120,'MIR-IG'!$AC$8:$AC$207)</f>
        <v>0</v>
      </c>
      <c r="E120" s="92" t="s">
        <v>1670</v>
      </c>
    </row>
    <row r="121" spans="1:5" x14ac:dyDescent="0.25">
      <c r="A121" s="88">
        <v>356</v>
      </c>
      <c r="B121" s="88" t="s">
        <v>699</v>
      </c>
      <c r="C121" s="54">
        <f>SUMIF('MIR-IG'!$F$8:$F$207,CF!E121,'MIR-IG'!$AC$8:$AC$207)</f>
        <v>0</v>
      </c>
      <c r="E121" s="92" t="s">
        <v>1671</v>
      </c>
    </row>
    <row r="122" spans="1:5" x14ac:dyDescent="0.25">
      <c r="A122" s="122">
        <v>36</v>
      </c>
      <c r="B122" s="122" t="s">
        <v>486</v>
      </c>
      <c r="C122" s="73">
        <f>SUM(C123:C123)</f>
        <v>0</v>
      </c>
    </row>
    <row r="123" spans="1:5" x14ac:dyDescent="0.25">
      <c r="A123" s="88">
        <v>361</v>
      </c>
      <c r="B123" s="88" t="s">
        <v>486</v>
      </c>
      <c r="C123" s="54">
        <f>SUMIF('MIR-IG'!$F$8:$F$207,CF!E123,'MIR-IG'!$AC$8:$AC$207)</f>
        <v>0</v>
      </c>
      <c r="E123" s="92" t="s">
        <v>1576</v>
      </c>
    </row>
    <row r="124" spans="1:5" x14ac:dyDescent="0.25">
      <c r="A124" s="122">
        <v>37</v>
      </c>
      <c r="B124" s="122" t="s">
        <v>488</v>
      </c>
      <c r="C124" s="73">
        <f>SUM(C125:C126)</f>
        <v>785279</v>
      </c>
    </row>
    <row r="125" spans="1:5" x14ac:dyDescent="0.25">
      <c r="A125" s="88">
        <v>371</v>
      </c>
      <c r="B125" s="88" t="s">
        <v>488</v>
      </c>
      <c r="C125" s="54">
        <f>SUMIF('MIR-IG'!$F$8:$F$207,CF!E125,'MIR-IG'!$AC$8:$AC$207)</f>
        <v>785279</v>
      </c>
      <c r="E125" s="92" t="s">
        <v>1577</v>
      </c>
    </row>
    <row r="126" spans="1:5" x14ac:dyDescent="0.25">
      <c r="A126" s="88">
        <v>372</v>
      </c>
      <c r="B126" s="88" t="s">
        <v>701</v>
      </c>
      <c r="C126" s="54">
        <f>SUMIF('MIR-IG'!$F$8:$F$207,CF!E126,'MIR-IG'!$AC$8:$AC$207)</f>
        <v>0</v>
      </c>
      <c r="E126" s="92" t="s">
        <v>1674</v>
      </c>
    </row>
    <row r="127" spans="1:5" x14ac:dyDescent="0.25">
      <c r="A127" s="122">
        <v>38</v>
      </c>
      <c r="B127" s="122" t="s">
        <v>2493</v>
      </c>
      <c r="C127" s="73">
        <f>SUM(C128:C131)</f>
        <v>0</v>
      </c>
    </row>
    <row r="128" spans="1:5" x14ac:dyDescent="0.25">
      <c r="A128" s="88">
        <v>381</v>
      </c>
      <c r="B128" s="88" t="s">
        <v>702</v>
      </c>
      <c r="C128" s="54">
        <f>SUMIF('MIR-IG'!$F$8:$F$207,CF!E128,'MIR-IG'!$AC$8:$AC$207)</f>
        <v>0</v>
      </c>
      <c r="E128" s="92" t="s">
        <v>1676</v>
      </c>
    </row>
    <row r="129" spans="1:5" x14ac:dyDescent="0.25">
      <c r="A129" s="88">
        <v>382</v>
      </c>
      <c r="B129" s="88" t="s">
        <v>703</v>
      </c>
      <c r="C129" s="54">
        <f>SUMIF('MIR-IG'!$F$8:$F$207,CF!E129,'MIR-IG'!$AC$8:$AC$207)</f>
        <v>0</v>
      </c>
      <c r="E129" s="92" t="s">
        <v>1677</v>
      </c>
    </row>
    <row r="130" spans="1:5" x14ac:dyDescent="0.25">
      <c r="A130" s="88">
        <v>383</v>
      </c>
      <c r="B130" s="88" t="s">
        <v>704</v>
      </c>
      <c r="C130" s="54">
        <f>SUMIF('MIR-IG'!$F$8:$F$207,CF!E130,'MIR-IG'!$AC$8:$AC$207)</f>
        <v>0</v>
      </c>
      <c r="E130" s="92" t="s">
        <v>1678</v>
      </c>
    </row>
    <row r="131" spans="1:5" x14ac:dyDescent="0.25">
      <c r="A131" s="88">
        <v>384</v>
      </c>
      <c r="B131" s="88" t="s">
        <v>490</v>
      </c>
      <c r="C131" s="54">
        <f>SUMIF('MIR-IG'!$F$8:$F$207,CF!E131,'MIR-IG'!$AC$8:$AC$207)</f>
        <v>0</v>
      </c>
      <c r="E131" s="92" t="s">
        <v>1578</v>
      </c>
    </row>
    <row r="132" spans="1:5" x14ac:dyDescent="0.25">
      <c r="A132" s="122">
        <v>39</v>
      </c>
      <c r="B132" s="122" t="s">
        <v>2494</v>
      </c>
      <c r="C132" s="73">
        <f>SUM(C133:C135)</f>
        <v>0</v>
      </c>
    </row>
    <row r="133" spans="1:5" x14ac:dyDescent="0.25">
      <c r="A133" s="88">
        <v>391</v>
      </c>
      <c r="B133" s="88" t="s">
        <v>705</v>
      </c>
      <c r="C133" s="54">
        <f>SUMIF('MIR-IG'!$F$8:$F$207,CF!E133,'MIR-IG'!$AC$8:$AC$207)</f>
        <v>0</v>
      </c>
      <c r="E133" s="92" t="s">
        <v>1680</v>
      </c>
    </row>
    <row r="134" spans="1:5" x14ac:dyDescent="0.25">
      <c r="A134" s="88">
        <v>392</v>
      </c>
      <c r="B134" s="88" t="s">
        <v>2495</v>
      </c>
      <c r="C134" s="54">
        <f>SUMIF('MIR-IG'!$F$8:$F$207,CF!E134,'MIR-IG'!$AC$8:$AC$207)</f>
        <v>0</v>
      </c>
      <c r="E134" s="92" t="s">
        <v>1681</v>
      </c>
    </row>
    <row r="135" spans="1:5" x14ac:dyDescent="0.25">
      <c r="A135" s="88">
        <v>393</v>
      </c>
      <c r="B135" s="88" t="s">
        <v>707</v>
      </c>
      <c r="C135" s="54">
        <f>SUMIF('MIR-IG'!$F$8:$F$207,CF!E135,'MIR-IG'!$AC$8:$AC$207)</f>
        <v>0</v>
      </c>
      <c r="E135" s="92" t="s">
        <v>1682</v>
      </c>
    </row>
    <row r="136" spans="1:5" x14ac:dyDescent="0.25">
      <c r="A136" s="112">
        <v>4</v>
      </c>
      <c r="B136" s="112" t="s">
        <v>2496</v>
      </c>
      <c r="C136" s="77">
        <f>C137+C140+C144+C149</f>
        <v>0</v>
      </c>
    </row>
    <row r="137" spans="1:5" x14ac:dyDescent="0.25">
      <c r="A137" s="122">
        <v>41</v>
      </c>
      <c r="B137" s="122" t="s">
        <v>2497</v>
      </c>
      <c r="C137" s="73">
        <f>SUM(C138:C139)</f>
        <v>0</v>
      </c>
    </row>
    <row r="138" spans="1:5" x14ac:dyDescent="0.25">
      <c r="A138" s="88">
        <v>411</v>
      </c>
      <c r="B138" s="88" t="s">
        <v>708</v>
      </c>
      <c r="C138" s="54">
        <f>SUMIF('MIR-IG'!$F$8:$F$207,CF!E138,'MIR-IG'!$AC$8:$AC$207)</f>
        <v>0</v>
      </c>
      <c r="E138" s="92" t="s">
        <v>1685</v>
      </c>
    </row>
    <row r="139" spans="1:5" x14ac:dyDescent="0.25">
      <c r="A139" s="88">
        <v>412</v>
      </c>
      <c r="B139" s="88" t="s">
        <v>709</v>
      </c>
      <c r="C139" s="54">
        <f>SUMIF('MIR-IG'!$F$8:$F$207,CF!E139,'MIR-IG'!$AC$8:$AC$207)</f>
        <v>0</v>
      </c>
      <c r="E139" s="92" t="s">
        <v>1686</v>
      </c>
    </row>
    <row r="140" spans="1:5" ht="30" x14ac:dyDescent="0.25">
      <c r="A140" s="122">
        <v>42</v>
      </c>
      <c r="B140" s="122" t="s">
        <v>2498</v>
      </c>
      <c r="C140" s="73">
        <f>SUM(C141:C143)</f>
        <v>0</v>
      </c>
    </row>
    <row r="141" spans="1:5" x14ac:dyDescent="0.25">
      <c r="A141" s="88">
        <v>421</v>
      </c>
      <c r="B141" s="88" t="s">
        <v>711</v>
      </c>
      <c r="C141" s="54">
        <f>SUMIF('MIR-IG'!$F$8:$F$207,CF!E141,'MIR-IG'!$AC$8:$AC$207)</f>
        <v>0</v>
      </c>
      <c r="E141" s="92" t="s">
        <v>1688</v>
      </c>
    </row>
    <row r="142" spans="1:5" x14ac:dyDescent="0.25">
      <c r="A142" s="88">
        <v>422</v>
      </c>
      <c r="B142" s="88" t="s">
        <v>712</v>
      </c>
      <c r="C142" s="54">
        <f>SUMIF('MIR-IG'!$F$8:$F$207,CF!E142,'MIR-IG'!$AC$8:$AC$207)</f>
        <v>0</v>
      </c>
      <c r="E142" s="92" t="s">
        <v>1689</v>
      </c>
    </row>
    <row r="143" spans="1:5" x14ac:dyDescent="0.25">
      <c r="A143" s="88">
        <v>423</v>
      </c>
      <c r="B143" s="88" t="s">
        <v>713</v>
      </c>
      <c r="C143" s="54">
        <f>SUMIF('MIR-IG'!$F$8:$F$207,CF!E143,'MIR-IG'!$AC$8:$AC$207)</f>
        <v>0</v>
      </c>
      <c r="E143" s="92" t="s">
        <v>1690</v>
      </c>
    </row>
    <row r="144" spans="1:5" x14ac:dyDescent="0.25">
      <c r="A144" s="122">
        <v>43</v>
      </c>
      <c r="B144" s="122" t="s">
        <v>714</v>
      </c>
      <c r="C144" s="73">
        <f>SUM(C145:C148)</f>
        <v>0</v>
      </c>
    </row>
    <row r="145" spans="1:5" x14ac:dyDescent="0.25">
      <c r="A145" s="88">
        <v>431</v>
      </c>
      <c r="B145" s="88" t="s">
        <v>714</v>
      </c>
      <c r="C145" s="54">
        <f>SUMIF('MIR-IG'!$F$8:$F$207,CF!E145,'MIR-IG'!$AC$8:$AC$207)</f>
        <v>0</v>
      </c>
      <c r="E145" s="92" t="s">
        <v>1692</v>
      </c>
    </row>
    <row r="146" spans="1:5" x14ac:dyDescent="0.25">
      <c r="A146" s="88">
        <v>432</v>
      </c>
      <c r="B146" s="88" t="s">
        <v>495</v>
      </c>
      <c r="C146" s="54">
        <f>SUMIF('MIR-IG'!$F$8:$F$207,CF!E146,'MIR-IG'!$AC$8:$AC$207)</f>
        <v>0</v>
      </c>
      <c r="E146" s="92" t="s">
        <v>1579</v>
      </c>
    </row>
    <row r="147" spans="1:5" x14ac:dyDescent="0.25">
      <c r="A147" s="88">
        <v>433</v>
      </c>
      <c r="B147" s="88" t="s">
        <v>715</v>
      </c>
      <c r="C147" s="54">
        <f>SUMIF('MIR-IG'!$F$8:$F$207,CF!E147,'MIR-IG'!$AC$8:$AC$207)</f>
        <v>0</v>
      </c>
      <c r="E147" s="92" t="s">
        <v>1693</v>
      </c>
    </row>
    <row r="148" spans="1:5" x14ac:dyDescent="0.25">
      <c r="A148" s="88">
        <v>434</v>
      </c>
      <c r="B148" s="88" t="s">
        <v>716</v>
      </c>
      <c r="C148" s="54">
        <f>SUMIF('MIR-IG'!$F$8:$F$207,CF!E148,'MIR-IG'!$AC$8:$AC$207)</f>
        <v>0</v>
      </c>
      <c r="E148" s="92" t="s">
        <v>1580</v>
      </c>
    </row>
    <row r="149" spans="1:5" x14ac:dyDescent="0.25">
      <c r="A149" s="122">
        <v>44</v>
      </c>
      <c r="B149" s="122" t="s">
        <v>2499</v>
      </c>
      <c r="C149" s="73">
        <f>SUM(C150:C150)</f>
        <v>0</v>
      </c>
    </row>
    <row r="150" spans="1:5" x14ac:dyDescent="0.25">
      <c r="A150" s="88">
        <v>441</v>
      </c>
      <c r="B150" s="88" t="s">
        <v>2500</v>
      </c>
      <c r="C150" s="54">
        <f>SUMIF('MIR-IG'!$F$8:$F$207,CF!E150,'MIR-IG'!$AC$8:$AC$207)</f>
        <v>0</v>
      </c>
      <c r="E150" s="92" t="s">
        <v>1695</v>
      </c>
    </row>
    <row r="151" spans="1:5" x14ac:dyDescent="0.25">
      <c r="B151" s="90" t="s">
        <v>2170</v>
      </c>
      <c r="C151" s="33">
        <f>C8+C47+C93+C136</f>
        <v>79111403</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4"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x14ac:dyDescent="0.2">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x14ac:dyDescent="0.2">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x14ac:dyDescent="0.2">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x14ac:dyDescent="0.2">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x14ac:dyDescent="0.2">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x14ac:dyDescent="0.2">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x14ac:dyDescent="0.2">
      <c r="A8" s="207" t="s">
        <v>1812</v>
      </c>
      <c r="B8" s="191" t="s">
        <v>893</v>
      </c>
      <c r="C8" s="191" t="s">
        <v>761</v>
      </c>
      <c r="D8" s="208">
        <v>9420</v>
      </c>
      <c r="E8" s="208">
        <v>9433</v>
      </c>
      <c r="G8" s="237" t="s">
        <v>1050</v>
      </c>
      <c r="H8" s="191" t="s">
        <v>1022</v>
      </c>
      <c r="I8" s="191" t="s">
        <v>1553</v>
      </c>
      <c r="J8" s="191" t="s">
        <v>1587</v>
      </c>
      <c r="K8" s="191" t="s">
        <v>1558</v>
      </c>
      <c r="O8" s="191" t="s">
        <v>1719</v>
      </c>
    </row>
    <row r="9" spans="1:18" x14ac:dyDescent="0.2">
      <c r="A9" s="207" t="s">
        <v>1813</v>
      </c>
      <c r="B9" s="191" t="s">
        <v>765</v>
      </c>
      <c r="C9" s="191" t="s">
        <v>808</v>
      </c>
      <c r="D9" s="208">
        <v>77116</v>
      </c>
      <c r="E9" s="208">
        <v>80609</v>
      </c>
      <c r="G9" s="237" t="s">
        <v>1051</v>
      </c>
      <c r="H9" s="191" t="s">
        <v>1023</v>
      </c>
      <c r="I9" s="191" t="s">
        <v>1553</v>
      </c>
      <c r="J9" s="191" t="s">
        <v>1587</v>
      </c>
      <c r="K9" s="191" t="s">
        <v>1592</v>
      </c>
    </row>
    <row r="10" spans="1:18" x14ac:dyDescent="0.2">
      <c r="A10" s="207" t="s">
        <v>1814</v>
      </c>
      <c r="B10" s="191" t="s">
        <v>813</v>
      </c>
      <c r="C10" s="191" t="s">
        <v>761</v>
      </c>
      <c r="D10" s="208">
        <v>19900</v>
      </c>
      <c r="E10" s="208">
        <v>21115</v>
      </c>
      <c r="G10" s="237" t="s">
        <v>1052</v>
      </c>
      <c r="H10" s="191" t="s">
        <v>1024</v>
      </c>
      <c r="I10" s="191" t="s">
        <v>1553</v>
      </c>
      <c r="J10" s="191" t="s">
        <v>1587</v>
      </c>
      <c r="K10" s="191" t="s">
        <v>1593</v>
      </c>
    </row>
    <row r="11" spans="1:18" x14ac:dyDescent="0.2">
      <c r="A11" s="207" t="s">
        <v>1815</v>
      </c>
      <c r="B11" s="191" t="s">
        <v>768</v>
      </c>
      <c r="C11" s="191" t="s">
        <v>756</v>
      </c>
      <c r="D11" s="208">
        <v>6717</v>
      </c>
      <c r="E11" s="208">
        <v>7758</v>
      </c>
      <c r="G11" s="237" t="s">
        <v>1053</v>
      </c>
      <c r="H11" s="191" t="s">
        <v>1025</v>
      </c>
      <c r="I11" s="191" t="s">
        <v>1553</v>
      </c>
      <c r="J11" s="191" t="s">
        <v>1587</v>
      </c>
      <c r="K11" s="191" t="s">
        <v>1594</v>
      </c>
    </row>
    <row r="12" spans="1:18" x14ac:dyDescent="0.2">
      <c r="A12" s="207" t="s">
        <v>1816</v>
      </c>
      <c r="B12" s="191" t="s">
        <v>769</v>
      </c>
      <c r="C12" s="191" t="s">
        <v>770</v>
      </c>
      <c r="D12" s="208">
        <v>5475</v>
      </c>
      <c r="E12" s="208">
        <v>5599</v>
      </c>
      <c r="G12" s="237" t="s">
        <v>1054</v>
      </c>
      <c r="H12" s="191" t="s">
        <v>1026</v>
      </c>
      <c r="I12" s="191" t="s">
        <v>1553</v>
      </c>
      <c r="J12" s="191" t="s">
        <v>1587</v>
      </c>
      <c r="K12" s="191" t="s">
        <v>1595</v>
      </c>
    </row>
    <row r="13" spans="1:18" x14ac:dyDescent="0.2">
      <c r="A13" s="207" t="s">
        <v>1817</v>
      </c>
      <c r="B13" s="191" t="s">
        <v>771</v>
      </c>
      <c r="C13" s="191" t="s">
        <v>809</v>
      </c>
      <c r="D13" s="208">
        <v>3899</v>
      </c>
      <c r="E13" s="208">
        <v>4176</v>
      </c>
      <c r="G13" s="237" t="s">
        <v>1055</v>
      </c>
      <c r="H13" s="191" t="s">
        <v>1027</v>
      </c>
      <c r="I13" s="191" t="s">
        <v>1553</v>
      </c>
      <c r="J13" s="191" t="s">
        <v>1587</v>
      </c>
      <c r="K13" s="191" t="s">
        <v>1596</v>
      </c>
    </row>
    <row r="14" spans="1:18" x14ac:dyDescent="0.2">
      <c r="A14" s="207" t="s">
        <v>1818</v>
      </c>
      <c r="B14" s="191" t="s">
        <v>773</v>
      </c>
      <c r="C14" s="191" t="s">
        <v>810</v>
      </c>
      <c r="D14" s="208">
        <v>60480</v>
      </c>
      <c r="E14" s="208">
        <v>64009</v>
      </c>
      <c r="G14" s="237" t="s">
        <v>1056</v>
      </c>
      <c r="H14" s="191" t="s">
        <v>1028</v>
      </c>
      <c r="I14" s="191" t="s">
        <v>1553</v>
      </c>
      <c r="J14" s="191" t="s">
        <v>1587</v>
      </c>
      <c r="K14" s="191" t="s">
        <v>1559</v>
      </c>
    </row>
    <row r="15" spans="1:18" x14ac:dyDescent="0.2">
      <c r="A15" s="207" t="s">
        <v>1819</v>
      </c>
      <c r="B15" s="191" t="s">
        <v>774</v>
      </c>
      <c r="C15" s="191" t="s">
        <v>756</v>
      </c>
      <c r="D15" s="208">
        <v>8264</v>
      </c>
      <c r="E15" s="208">
        <v>8689</v>
      </c>
      <c r="G15" s="237" t="s">
        <v>1057</v>
      </c>
      <c r="H15" s="191" t="s">
        <v>1029</v>
      </c>
      <c r="I15" s="191" t="s">
        <v>1553</v>
      </c>
      <c r="J15" s="191" t="s">
        <v>1587</v>
      </c>
      <c r="K15" s="191" t="s">
        <v>1560</v>
      </c>
    </row>
    <row r="16" spans="1:18" x14ac:dyDescent="0.2">
      <c r="A16" s="207" t="s">
        <v>1820</v>
      </c>
      <c r="B16" s="191" t="s">
        <v>775</v>
      </c>
      <c r="C16" s="191" t="s">
        <v>770</v>
      </c>
      <c r="D16" s="208">
        <v>60572</v>
      </c>
      <c r="E16" s="208">
        <v>64931</v>
      </c>
      <c r="G16" s="237" t="s">
        <v>1058</v>
      </c>
      <c r="H16" s="191" t="s">
        <v>1030</v>
      </c>
      <c r="I16" s="191" t="s">
        <v>1553</v>
      </c>
      <c r="J16" s="191" t="s">
        <v>1587</v>
      </c>
      <c r="K16" s="191" t="s">
        <v>1607</v>
      </c>
    </row>
    <row r="17" spans="1:11" x14ac:dyDescent="0.2">
      <c r="A17" s="207" t="s">
        <v>1821</v>
      </c>
      <c r="B17" s="191" t="s">
        <v>776</v>
      </c>
      <c r="C17" s="191" t="s">
        <v>767</v>
      </c>
      <c r="D17" s="208">
        <v>37963</v>
      </c>
      <c r="E17" s="208">
        <v>41552</v>
      </c>
      <c r="G17" s="237" t="s">
        <v>1059</v>
      </c>
      <c r="H17" s="191" t="s">
        <v>1031</v>
      </c>
      <c r="I17" s="191" t="s">
        <v>1553</v>
      </c>
      <c r="J17" s="191" t="s">
        <v>1583</v>
      </c>
      <c r="K17" s="191" t="s">
        <v>1597</v>
      </c>
    </row>
    <row r="18" spans="1:11" x14ac:dyDescent="0.2">
      <c r="A18" s="207" t="s">
        <v>1822</v>
      </c>
      <c r="B18" s="191" t="s">
        <v>777</v>
      </c>
      <c r="C18" s="191" t="s">
        <v>770</v>
      </c>
      <c r="D18" s="208">
        <v>12453</v>
      </c>
      <c r="E18" s="208">
        <v>12880</v>
      </c>
      <c r="G18" s="237" t="s">
        <v>1060</v>
      </c>
      <c r="H18" s="191" t="s">
        <v>1032</v>
      </c>
      <c r="I18" s="191" t="s">
        <v>1553</v>
      </c>
      <c r="J18" s="191" t="s">
        <v>1584</v>
      </c>
      <c r="K18" s="191" t="s">
        <v>1598</v>
      </c>
    </row>
    <row r="19" spans="1:11" x14ac:dyDescent="0.2">
      <c r="A19" s="207" t="s">
        <v>1823</v>
      </c>
      <c r="B19" s="191" t="s">
        <v>867</v>
      </c>
      <c r="C19" s="191" t="s">
        <v>767</v>
      </c>
      <c r="D19" s="208">
        <v>65055</v>
      </c>
      <c r="E19" s="208">
        <v>67937</v>
      </c>
      <c r="G19" s="237" t="s">
        <v>1061</v>
      </c>
      <c r="H19" s="191" t="s">
        <v>1033</v>
      </c>
      <c r="I19" s="191" t="s">
        <v>1553</v>
      </c>
      <c r="J19" s="191" t="s">
        <v>1584</v>
      </c>
      <c r="K19" s="191" t="s">
        <v>1599</v>
      </c>
    </row>
    <row r="20" spans="1:11" x14ac:dyDescent="0.2">
      <c r="A20" s="207" t="s">
        <v>1824</v>
      </c>
      <c r="B20" s="191" t="s">
        <v>778</v>
      </c>
      <c r="C20" s="191" t="s">
        <v>779</v>
      </c>
      <c r="D20" s="208">
        <v>7341</v>
      </c>
      <c r="E20" s="208">
        <v>7043</v>
      </c>
      <c r="G20" s="237" t="s">
        <v>1062</v>
      </c>
      <c r="H20" s="191" t="s">
        <v>1034</v>
      </c>
      <c r="I20" s="191" t="s">
        <v>1553</v>
      </c>
      <c r="J20" s="191" t="s">
        <v>1608</v>
      </c>
      <c r="K20" s="191" t="s">
        <v>1609</v>
      </c>
    </row>
    <row r="21" spans="1:11" x14ac:dyDescent="0.2">
      <c r="A21" s="207" t="s">
        <v>1825</v>
      </c>
      <c r="B21" s="191" t="s">
        <v>780</v>
      </c>
      <c r="C21" s="191" t="s">
        <v>809</v>
      </c>
      <c r="D21" s="208">
        <v>10303</v>
      </c>
      <c r="E21" s="208">
        <v>10940</v>
      </c>
      <c r="G21" s="237" t="s">
        <v>1063</v>
      </c>
      <c r="H21" s="191" t="s">
        <v>1035</v>
      </c>
      <c r="I21" s="191" t="s">
        <v>1553</v>
      </c>
      <c r="J21" s="191" t="s">
        <v>1608</v>
      </c>
      <c r="K21" s="191" t="s">
        <v>1610</v>
      </c>
    </row>
    <row r="22" spans="1:11" x14ac:dyDescent="0.2">
      <c r="A22" s="207" t="s">
        <v>1826</v>
      </c>
      <c r="B22" s="191" t="s">
        <v>782</v>
      </c>
      <c r="C22" s="191" t="s">
        <v>804</v>
      </c>
      <c r="D22" s="208">
        <v>21584</v>
      </c>
      <c r="E22" s="208">
        <v>20548</v>
      </c>
      <c r="G22" s="237" t="s">
        <v>1064</v>
      </c>
      <c r="H22" s="191" t="s">
        <v>1036</v>
      </c>
      <c r="I22" s="191" t="s">
        <v>1553</v>
      </c>
      <c r="J22" s="191" t="s">
        <v>1608</v>
      </c>
      <c r="K22" s="191" t="s">
        <v>1611</v>
      </c>
    </row>
    <row r="23" spans="1:11" x14ac:dyDescent="0.2">
      <c r="A23" s="207" t="s">
        <v>1827</v>
      </c>
      <c r="B23" s="191" t="s">
        <v>788</v>
      </c>
      <c r="C23" s="191" t="s">
        <v>804</v>
      </c>
      <c r="D23" s="208">
        <v>41300</v>
      </c>
      <c r="E23" s="208">
        <v>40139</v>
      </c>
      <c r="G23" s="237" t="s">
        <v>1065</v>
      </c>
      <c r="H23" s="191" t="s">
        <v>1037</v>
      </c>
      <c r="I23" s="191" t="s">
        <v>1553</v>
      </c>
      <c r="J23" s="191" t="s">
        <v>1585</v>
      </c>
      <c r="K23" s="191" t="s">
        <v>1561</v>
      </c>
    </row>
    <row r="24" spans="1:11" x14ac:dyDescent="0.2">
      <c r="A24" s="207" t="s">
        <v>1828</v>
      </c>
      <c r="B24" s="191" t="s">
        <v>957</v>
      </c>
      <c r="C24" s="191" t="s">
        <v>758</v>
      </c>
      <c r="D24" s="208">
        <v>105423</v>
      </c>
      <c r="E24" s="208">
        <v>115141</v>
      </c>
      <c r="G24" s="237" t="s">
        <v>1066</v>
      </c>
      <c r="H24" s="191" t="s">
        <v>1038</v>
      </c>
      <c r="I24" s="191" t="s">
        <v>1553</v>
      </c>
      <c r="J24" s="191" t="s">
        <v>1585</v>
      </c>
      <c r="K24" s="191" t="s">
        <v>1600</v>
      </c>
    </row>
    <row r="25" spans="1:11" x14ac:dyDescent="0.2">
      <c r="A25" s="207" t="s">
        <v>1829</v>
      </c>
      <c r="B25" s="191" t="s">
        <v>789</v>
      </c>
      <c r="C25" s="191" t="s">
        <v>756</v>
      </c>
      <c r="D25" s="208">
        <v>26687</v>
      </c>
      <c r="E25" s="208">
        <v>29267</v>
      </c>
      <c r="G25" s="237" t="s">
        <v>1067</v>
      </c>
      <c r="H25" s="191" t="s">
        <v>1039</v>
      </c>
      <c r="I25" s="191" t="s">
        <v>1553</v>
      </c>
      <c r="J25" s="191" t="s">
        <v>1585</v>
      </c>
      <c r="K25" s="191" t="s">
        <v>1601</v>
      </c>
    </row>
    <row r="26" spans="1:11" x14ac:dyDescent="0.2">
      <c r="A26" s="207" t="s">
        <v>1830</v>
      </c>
      <c r="B26" s="191" t="s">
        <v>790</v>
      </c>
      <c r="C26" s="191" t="s">
        <v>779</v>
      </c>
      <c r="D26" s="208">
        <v>17865</v>
      </c>
      <c r="E26" s="208">
        <v>19689</v>
      </c>
      <c r="G26" s="237" t="s">
        <v>1068</v>
      </c>
      <c r="H26" s="191" t="s">
        <v>1040</v>
      </c>
      <c r="I26" s="191" t="s">
        <v>1553</v>
      </c>
      <c r="J26" s="191" t="s">
        <v>1585</v>
      </c>
      <c r="K26" s="191" t="s">
        <v>1602</v>
      </c>
    </row>
    <row r="27" spans="1:11" x14ac:dyDescent="0.2">
      <c r="A27" s="207" t="s">
        <v>1831</v>
      </c>
      <c r="B27" s="191" t="s">
        <v>791</v>
      </c>
      <c r="C27" s="191" t="s">
        <v>785</v>
      </c>
      <c r="D27" s="208">
        <v>5933</v>
      </c>
      <c r="E27" s="208">
        <v>6334</v>
      </c>
      <c r="G27" s="237" t="s">
        <v>1069</v>
      </c>
      <c r="H27" s="191" t="s">
        <v>1041</v>
      </c>
      <c r="I27" s="191" t="s">
        <v>1553</v>
      </c>
      <c r="J27" s="191" t="s">
        <v>1586</v>
      </c>
      <c r="K27" s="191" t="s">
        <v>1603</v>
      </c>
    </row>
    <row r="28" spans="1:11" x14ac:dyDescent="0.2">
      <c r="A28" s="207" t="s">
        <v>1832</v>
      </c>
      <c r="B28" s="191" t="s">
        <v>803</v>
      </c>
      <c r="C28" s="191" t="s">
        <v>804</v>
      </c>
      <c r="D28" s="208">
        <v>18138</v>
      </c>
      <c r="E28" s="208">
        <v>18370</v>
      </c>
      <c r="G28" s="237" t="s">
        <v>1070</v>
      </c>
      <c r="H28" s="191" t="s">
        <v>1042</v>
      </c>
      <c r="I28" s="191" t="s">
        <v>1553</v>
      </c>
      <c r="J28" s="191" t="s">
        <v>1586</v>
      </c>
      <c r="K28" s="191" t="s">
        <v>1604</v>
      </c>
    </row>
    <row r="29" spans="1:11" x14ac:dyDescent="0.2">
      <c r="A29" s="207" t="s">
        <v>1833</v>
      </c>
      <c r="B29" s="191" t="s">
        <v>805</v>
      </c>
      <c r="C29" s="191" t="s">
        <v>770</v>
      </c>
      <c r="D29" s="208">
        <v>2120</v>
      </c>
      <c r="E29" s="208">
        <v>2166</v>
      </c>
      <c r="G29" s="237" t="s">
        <v>1071</v>
      </c>
      <c r="H29" s="191" t="s">
        <v>1043</v>
      </c>
      <c r="I29" s="191" t="s">
        <v>1553</v>
      </c>
      <c r="J29" s="191" t="s">
        <v>1586</v>
      </c>
      <c r="K29" s="191" t="s">
        <v>1605</v>
      </c>
    </row>
    <row r="30" spans="1:11" x14ac:dyDescent="0.2">
      <c r="A30" s="207" t="s">
        <v>1834</v>
      </c>
      <c r="B30" s="191" t="s">
        <v>806</v>
      </c>
      <c r="C30" s="191" t="s">
        <v>759</v>
      </c>
      <c r="D30" s="208">
        <v>17980</v>
      </c>
      <c r="E30" s="208">
        <v>17820</v>
      </c>
      <c r="G30" s="237" t="s">
        <v>1072</v>
      </c>
      <c r="H30" s="191" t="s">
        <v>1044</v>
      </c>
      <c r="I30" s="191" t="s">
        <v>1553</v>
      </c>
      <c r="J30" s="191" t="s">
        <v>1586</v>
      </c>
      <c r="K30" s="191" t="s">
        <v>1606</v>
      </c>
    </row>
    <row r="31" spans="1:11" x14ac:dyDescent="0.2">
      <c r="A31" s="207" t="s">
        <v>1835</v>
      </c>
      <c r="B31" s="191" t="s">
        <v>784</v>
      </c>
      <c r="C31" s="191" t="s">
        <v>785</v>
      </c>
      <c r="D31" s="208">
        <v>50738</v>
      </c>
      <c r="E31" s="208">
        <v>55196</v>
      </c>
      <c r="G31" s="237" t="s">
        <v>1073</v>
      </c>
      <c r="H31" s="191" t="s">
        <v>1045</v>
      </c>
      <c r="I31" s="191" t="s">
        <v>1553</v>
      </c>
      <c r="J31" s="191" t="s">
        <v>1586</v>
      </c>
      <c r="K31" s="191" t="s">
        <v>1562</v>
      </c>
    </row>
    <row r="32" spans="1:11" x14ac:dyDescent="0.2">
      <c r="A32" s="207" t="s">
        <v>1836</v>
      </c>
      <c r="B32" s="191" t="s">
        <v>786</v>
      </c>
      <c r="C32" s="191" t="s">
        <v>779</v>
      </c>
      <c r="D32" s="208">
        <v>3383</v>
      </c>
      <c r="E32" s="208">
        <v>3270</v>
      </c>
      <c r="G32" s="237" t="s">
        <v>1074</v>
      </c>
      <c r="H32" s="191" t="s">
        <v>1046</v>
      </c>
      <c r="I32" s="191" t="s">
        <v>1581</v>
      </c>
      <c r="J32" s="191" t="s">
        <v>1612</v>
      </c>
      <c r="K32" s="191" t="s">
        <v>1613</v>
      </c>
    </row>
    <row r="33" spans="1:11" x14ac:dyDescent="0.2">
      <c r="A33" s="207" t="s">
        <v>1837</v>
      </c>
      <c r="B33" s="191" t="s">
        <v>787</v>
      </c>
      <c r="C33" s="191" t="s">
        <v>770</v>
      </c>
      <c r="D33" s="208">
        <v>6102</v>
      </c>
      <c r="E33" s="208">
        <v>5983</v>
      </c>
      <c r="G33" s="237" t="s">
        <v>1075</v>
      </c>
      <c r="H33" s="191" t="s">
        <v>1047</v>
      </c>
      <c r="I33" s="191" t="s">
        <v>1581</v>
      </c>
      <c r="J33" s="191" t="s">
        <v>1612</v>
      </c>
      <c r="K33" s="191" t="s">
        <v>1614</v>
      </c>
    </row>
    <row r="34" spans="1:11" x14ac:dyDescent="0.2">
      <c r="A34" s="207" t="s">
        <v>1838</v>
      </c>
      <c r="B34" s="191" t="s">
        <v>807</v>
      </c>
      <c r="C34" s="191" t="s">
        <v>767</v>
      </c>
      <c r="D34" s="208">
        <v>21479</v>
      </c>
      <c r="E34" s="208">
        <v>21226</v>
      </c>
      <c r="G34" s="237" t="s">
        <v>1076</v>
      </c>
      <c r="H34" s="191" t="s">
        <v>1048</v>
      </c>
      <c r="I34" s="191" t="s">
        <v>1581</v>
      </c>
      <c r="J34" s="191" t="s">
        <v>1612</v>
      </c>
      <c r="K34" s="191" t="s">
        <v>1615</v>
      </c>
    </row>
    <row r="35" spans="1:11" x14ac:dyDescent="0.2">
      <c r="A35" s="207" t="s">
        <v>1839</v>
      </c>
      <c r="B35" s="191" t="s">
        <v>812</v>
      </c>
      <c r="C35" s="191" t="s">
        <v>770</v>
      </c>
      <c r="D35" s="208">
        <v>2082</v>
      </c>
      <c r="E35" s="208">
        <v>1981</v>
      </c>
      <c r="G35" s="237" t="s">
        <v>1129</v>
      </c>
      <c r="H35" s="191" t="s">
        <v>1177</v>
      </c>
      <c r="I35" s="191" t="s">
        <v>1581</v>
      </c>
      <c r="J35" s="191" t="s">
        <v>1612</v>
      </c>
      <c r="K35" s="191" t="s">
        <v>1616</v>
      </c>
    </row>
    <row r="36" spans="1:11" x14ac:dyDescent="0.2">
      <c r="A36" s="207" t="s">
        <v>1840</v>
      </c>
      <c r="B36" s="191" t="s">
        <v>817</v>
      </c>
      <c r="C36" s="191" t="s">
        <v>1014</v>
      </c>
      <c r="D36" s="208">
        <v>53555</v>
      </c>
      <c r="E36" s="208">
        <v>53039</v>
      </c>
      <c r="G36" s="237" t="s">
        <v>1130</v>
      </c>
      <c r="H36" s="191" t="s">
        <v>1078</v>
      </c>
      <c r="I36" s="191" t="s">
        <v>1581</v>
      </c>
      <c r="J36" s="191" t="s">
        <v>1612</v>
      </c>
      <c r="K36" s="191" t="s">
        <v>1617</v>
      </c>
    </row>
    <row r="37" spans="1:11" x14ac:dyDescent="0.2">
      <c r="A37" s="207" t="s">
        <v>1841</v>
      </c>
      <c r="B37" s="191" t="s">
        <v>818</v>
      </c>
      <c r="C37" s="191" t="s">
        <v>761</v>
      </c>
      <c r="D37" s="208">
        <v>19847</v>
      </c>
      <c r="E37" s="208">
        <v>20011</v>
      </c>
      <c r="G37" s="237" t="s">
        <v>1131</v>
      </c>
      <c r="H37" s="191" t="s">
        <v>1079</v>
      </c>
      <c r="I37" s="191" t="s">
        <v>1581</v>
      </c>
      <c r="J37" s="191" t="s">
        <v>1612</v>
      </c>
      <c r="K37" s="191" t="s">
        <v>1618</v>
      </c>
    </row>
    <row r="38" spans="1:11" x14ac:dyDescent="0.2">
      <c r="A38" s="207" t="s">
        <v>1842</v>
      </c>
      <c r="B38" s="191" t="s">
        <v>814</v>
      </c>
      <c r="C38" s="191" t="s">
        <v>770</v>
      </c>
      <c r="D38" s="208">
        <v>23845</v>
      </c>
      <c r="E38" s="208">
        <v>25920</v>
      </c>
      <c r="G38" s="237" t="s">
        <v>1080</v>
      </c>
      <c r="H38" s="191" t="s">
        <v>1178</v>
      </c>
      <c r="I38" s="191" t="s">
        <v>1581</v>
      </c>
      <c r="J38" s="191" t="s">
        <v>1619</v>
      </c>
      <c r="K38" s="191" t="s">
        <v>1563</v>
      </c>
    </row>
    <row r="39" spans="1:11" x14ac:dyDescent="0.2">
      <c r="A39" s="207" t="s">
        <v>1843</v>
      </c>
      <c r="B39" s="191" t="s">
        <v>825</v>
      </c>
      <c r="C39" s="191" t="s">
        <v>772</v>
      </c>
      <c r="D39" s="208">
        <v>4184</v>
      </c>
      <c r="E39" s="208">
        <v>4199</v>
      </c>
      <c r="G39" s="237" t="s">
        <v>1081</v>
      </c>
      <c r="H39" s="191" t="s">
        <v>1179</v>
      </c>
      <c r="I39" s="191" t="s">
        <v>1581</v>
      </c>
      <c r="J39" s="191" t="s">
        <v>1619</v>
      </c>
      <c r="K39" s="191" t="s">
        <v>1620</v>
      </c>
    </row>
    <row r="40" spans="1:11" x14ac:dyDescent="0.2">
      <c r="A40" s="207" t="s">
        <v>1844</v>
      </c>
      <c r="B40" s="191" t="s">
        <v>826</v>
      </c>
      <c r="C40" s="191" t="s">
        <v>759</v>
      </c>
      <c r="D40" s="208">
        <v>1460148</v>
      </c>
      <c r="E40" s="208">
        <v>1385629</v>
      </c>
      <c r="G40" s="237" t="s">
        <v>1082</v>
      </c>
      <c r="H40" s="191" t="s">
        <v>1180</v>
      </c>
      <c r="I40" s="191" t="s">
        <v>1581</v>
      </c>
      <c r="J40" s="191" t="s">
        <v>1619</v>
      </c>
      <c r="K40" s="191" t="s">
        <v>1621</v>
      </c>
    </row>
    <row r="41" spans="1:11" x14ac:dyDescent="0.2">
      <c r="A41" s="207" t="s">
        <v>1845</v>
      </c>
      <c r="B41" s="191" t="s">
        <v>827</v>
      </c>
      <c r="C41" s="191" t="s">
        <v>761</v>
      </c>
      <c r="D41" s="208">
        <v>9761</v>
      </c>
      <c r="E41" s="208">
        <v>8732</v>
      </c>
      <c r="G41" s="237" t="s">
        <v>1083</v>
      </c>
      <c r="H41" s="191" t="s">
        <v>1181</v>
      </c>
      <c r="I41" s="191" t="s">
        <v>1581</v>
      </c>
      <c r="J41" s="191" t="s">
        <v>1619</v>
      </c>
      <c r="K41" s="191" t="s">
        <v>1622</v>
      </c>
    </row>
    <row r="42" spans="1:11" x14ac:dyDescent="0.2">
      <c r="A42" s="207" t="s">
        <v>1846</v>
      </c>
      <c r="B42" s="191" t="s">
        <v>828</v>
      </c>
      <c r="C42" s="191" t="s">
        <v>779</v>
      </c>
      <c r="D42" s="208">
        <v>5633</v>
      </c>
      <c r="E42" s="208">
        <v>5920</v>
      </c>
      <c r="G42" s="237" t="s">
        <v>1084</v>
      </c>
      <c r="H42" s="191" t="s">
        <v>1182</v>
      </c>
      <c r="I42" s="191" t="s">
        <v>1581</v>
      </c>
      <c r="J42" s="191" t="s">
        <v>1619</v>
      </c>
      <c r="K42" s="191" t="s">
        <v>1564</v>
      </c>
    </row>
    <row r="43" spans="1:11" x14ac:dyDescent="0.2">
      <c r="A43" s="207" t="s">
        <v>1847</v>
      </c>
      <c r="B43" s="191" t="s">
        <v>829</v>
      </c>
      <c r="C43" s="191" t="s">
        <v>779</v>
      </c>
      <c r="D43" s="208">
        <v>8787</v>
      </c>
      <c r="E43" s="208">
        <v>10015</v>
      </c>
      <c r="G43" s="237" t="s">
        <v>1085</v>
      </c>
      <c r="H43" s="191" t="s">
        <v>1183</v>
      </c>
      <c r="I43" s="191" t="s">
        <v>1581</v>
      </c>
      <c r="J43" s="191" t="s">
        <v>1619</v>
      </c>
      <c r="K43" s="191" t="s">
        <v>1623</v>
      </c>
    </row>
    <row r="44" spans="1:11" x14ac:dyDescent="0.2">
      <c r="A44" s="207" t="s">
        <v>1848</v>
      </c>
      <c r="B44" s="191" t="s">
        <v>868</v>
      </c>
      <c r="C44" s="191" t="s">
        <v>804</v>
      </c>
      <c r="D44" s="208">
        <v>24563</v>
      </c>
      <c r="E44" s="208">
        <v>23258</v>
      </c>
      <c r="G44" s="237" t="s">
        <v>1086</v>
      </c>
      <c r="H44" s="191" t="s">
        <v>1184</v>
      </c>
      <c r="I44" s="191" t="s">
        <v>1581</v>
      </c>
      <c r="J44" s="191" t="s">
        <v>1619</v>
      </c>
      <c r="K44" s="191" t="s">
        <v>1624</v>
      </c>
    </row>
    <row r="45" spans="1:11" x14ac:dyDescent="0.2">
      <c r="A45" s="207" t="s">
        <v>1849</v>
      </c>
      <c r="B45" s="191" t="s">
        <v>855</v>
      </c>
      <c r="C45" s="191" t="s">
        <v>759</v>
      </c>
      <c r="D45" s="208">
        <v>53045</v>
      </c>
      <c r="E45" s="208">
        <v>67969</v>
      </c>
      <c r="G45" s="237" t="s">
        <v>1087</v>
      </c>
      <c r="H45" s="191" t="s">
        <v>1185</v>
      </c>
      <c r="I45" s="191" t="s">
        <v>1581</v>
      </c>
      <c r="J45" s="191" t="s">
        <v>1625</v>
      </c>
      <c r="K45" s="191" t="s">
        <v>1626</v>
      </c>
    </row>
    <row r="46" spans="1:11" x14ac:dyDescent="0.2">
      <c r="A46" s="207" t="s">
        <v>1850</v>
      </c>
      <c r="B46" s="191" t="s">
        <v>856</v>
      </c>
      <c r="C46" s="191" t="s">
        <v>759</v>
      </c>
      <c r="D46" s="208">
        <v>19070</v>
      </c>
      <c r="E46" s="208">
        <v>20465</v>
      </c>
      <c r="G46" s="237" t="s">
        <v>1088</v>
      </c>
      <c r="H46" s="191" t="s">
        <v>1186</v>
      </c>
      <c r="I46" s="191" t="s">
        <v>1581</v>
      </c>
      <c r="J46" s="191" t="s">
        <v>1625</v>
      </c>
      <c r="K46" s="191" t="s">
        <v>1627</v>
      </c>
    </row>
    <row r="47" spans="1:11" x14ac:dyDescent="0.2">
      <c r="A47" s="207" t="s">
        <v>1851</v>
      </c>
      <c r="B47" s="191" t="s">
        <v>857</v>
      </c>
      <c r="C47" s="191" t="s">
        <v>808</v>
      </c>
      <c r="D47" s="208">
        <v>33777</v>
      </c>
      <c r="E47" s="208">
        <v>32678</v>
      </c>
      <c r="G47" s="237" t="s">
        <v>1089</v>
      </c>
      <c r="H47" s="191" t="s">
        <v>1187</v>
      </c>
      <c r="I47" s="191" t="s">
        <v>1581</v>
      </c>
      <c r="J47" s="191" t="s">
        <v>1625</v>
      </c>
      <c r="K47" s="191" t="s">
        <v>1628</v>
      </c>
    </row>
    <row r="48" spans="1:11" x14ac:dyDescent="0.2">
      <c r="A48" s="207" t="s">
        <v>1852</v>
      </c>
      <c r="B48" s="191" t="s">
        <v>858</v>
      </c>
      <c r="C48" s="191" t="s">
        <v>767</v>
      </c>
      <c r="D48" s="208">
        <v>24753</v>
      </c>
      <c r="E48" s="208">
        <v>24894</v>
      </c>
      <c r="G48" s="237" t="s">
        <v>1090</v>
      </c>
      <c r="H48" s="191" t="s">
        <v>1188</v>
      </c>
      <c r="I48" s="191" t="s">
        <v>1581</v>
      </c>
      <c r="J48" s="191" t="s">
        <v>1625</v>
      </c>
      <c r="K48" s="191" t="s">
        <v>1629</v>
      </c>
    </row>
    <row r="49" spans="1:11" x14ac:dyDescent="0.2">
      <c r="A49" s="207" t="s">
        <v>1853</v>
      </c>
      <c r="B49" s="191" t="s">
        <v>859</v>
      </c>
      <c r="C49" s="191" t="s">
        <v>808</v>
      </c>
      <c r="D49" s="208">
        <v>19469</v>
      </c>
      <c r="E49" s="208">
        <v>18982</v>
      </c>
      <c r="G49" s="237" t="s">
        <v>1091</v>
      </c>
      <c r="H49" s="191" t="s">
        <v>1189</v>
      </c>
      <c r="I49" s="191" t="s">
        <v>1581</v>
      </c>
      <c r="J49" s="191" t="s">
        <v>1625</v>
      </c>
      <c r="K49" s="191" t="s">
        <v>1630</v>
      </c>
    </row>
    <row r="50" spans="1:11" x14ac:dyDescent="0.2">
      <c r="A50" s="207" t="s">
        <v>1854</v>
      </c>
      <c r="B50" s="191" t="s">
        <v>860</v>
      </c>
      <c r="C50" s="191" t="s">
        <v>758</v>
      </c>
      <c r="D50" s="208">
        <v>9917</v>
      </c>
      <c r="E50" s="208">
        <v>9425</v>
      </c>
      <c r="G50" s="237" t="s">
        <v>1092</v>
      </c>
      <c r="H50" s="191" t="s">
        <v>1190</v>
      </c>
      <c r="I50" s="191" t="s">
        <v>1581</v>
      </c>
      <c r="J50" s="191" t="s">
        <v>1631</v>
      </c>
      <c r="K50" s="191" t="s">
        <v>1632</v>
      </c>
    </row>
    <row r="51" spans="1:11" x14ac:dyDescent="0.2">
      <c r="A51" s="207" t="s">
        <v>1855</v>
      </c>
      <c r="B51" s="191" t="s">
        <v>861</v>
      </c>
      <c r="C51" s="191" t="s">
        <v>785</v>
      </c>
      <c r="D51" s="208">
        <v>46521</v>
      </c>
      <c r="E51" s="208">
        <v>47105</v>
      </c>
      <c r="G51" s="237" t="s">
        <v>1093</v>
      </c>
      <c r="H51" s="191" t="s">
        <v>1191</v>
      </c>
      <c r="I51" s="191" t="s">
        <v>1581</v>
      </c>
      <c r="J51" s="191" t="s">
        <v>1631</v>
      </c>
      <c r="K51" s="191" t="s">
        <v>1565</v>
      </c>
    </row>
    <row r="52" spans="1:11" x14ac:dyDescent="0.2">
      <c r="A52" s="207" t="s">
        <v>1856</v>
      </c>
      <c r="B52" s="191" t="s">
        <v>862</v>
      </c>
      <c r="C52" s="191" t="s">
        <v>759</v>
      </c>
      <c r="D52" s="208">
        <v>17955</v>
      </c>
      <c r="E52" s="208">
        <v>30855</v>
      </c>
      <c r="G52" s="237" t="s">
        <v>1094</v>
      </c>
      <c r="H52" s="191" t="s">
        <v>1192</v>
      </c>
      <c r="I52" s="191" t="s">
        <v>1581</v>
      </c>
      <c r="J52" s="191" t="s">
        <v>1631</v>
      </c>
      <c r="K52" s="191" t="s">
        <v>1633</v>
      </c>
    </row>
    <row r="53" spans="1:11" x14ac:dyDescent="0.2">
      <c r="A53" s="207" t="s">
        <v>1857</v>
      </c>
      <c r="B53" s="191" t="s">
        <v>863</v>
      </c>
      <c r="C53" s="191" t="s">
        <v>770</v>
      </c>
      <c r="D53" s="208">
        <v>5638</v>
      </c>
      <c r="E53" s="208">
        <v>5534</v>
      </c>
      <c r="G53" s="237" t="s">
        <v>1095</v>
      </c>
      <c r="H53" s="191" t="s">
        <v>1193</v>
      </c>
      <c r="I53" s="191" t="s">
        <v>1581</v>
      </c>
      <c r="J53" s="191" t="s">
        <v>1631</v>
      </c>
      <c r="K53" s="191" t="s">
        <v>1634</v>
      </c>
    </row>
    <row r="54" spans="1:11" x14ac:dyDescent="0.2">
      <c r="A54" s="207" t="s">
        <v>1858</v>
      </c>
      <c r="B54" s="191" t="s">
        <v>870</v>
      </c>
      <c r="C54" s="191" t="s">
        <v>1014</v>
      </c>
      <c r="D54" s="208">
        <v>164981</v>
      </c>
      <c r="E54" s="208">
        <v>172403</v>
      </c>
      <c r="G54" s="237" t="s">
        <v>1096</v>
      </c>
      <c r="H54" s="191" t="s">
        <v>1194</v>
      </c>
      <c r="I54" s="191" t="s">
        <v>1581</v>
      </c>
      <c r="J54" s="191" t="s">
        <v>1635</v>
      </c>
      <c r="K54" s="191" t="s">
        <v>1636</v>
      </c>
    </row>
    <row r="55" spans="1:11" x14ac:dyDescent="0.2">
      <c r="A55" s="207" t="s">
        <v>1859</v>
      </c>
      <c r="B55" s="191" t="s">
        <v>815</v>
      </c>
      <c r="C55" s="191" t="s">
        <v>770</v>
      </c>
      <c r="D55" s="208">
        <v>5379</v>
      </c>
      <c r="E55" s="208">
        <v>5368</v>
      </c>
      <c r="G55" s="237" t="s">
        <v>1097</v>
      </c>
      <c r="H55" s="191" t="s">
        <v>1195</v>
      </c>
      <c r="I55" s="191" t="s">
        <v>1581</v>
      </c>
      <c r="J55" s="191" t="s">
        <v>1635</v>
      </c>
      <c r="K55" s="191" t="s">
        <v>1637</v>
      </c>
    </row>
    <row r="56" spans="1:11" x14ac:dyDescent="0.2">
      <c r="A56" s="207" t="s">
        <v>1860</v>
      </c>
      <c r="B56" s="191" t="s">
        <v>871</v>
      </c>
      <c r="C56" s="191" t="s">
        <v>761</v>
      </c>
      <c r="D56" s="208">
        <v>22643</v>
      </c>
      <c r="E56" s="208">
        <v>21781</v>
      </c>
      <c r="G56" s="237" t="s">
        <v>1098</v>
      </c>
      <c r="H56" s="191" t="s">
        <v>1196</v>
      </c>
      <c r="I56" s="191" t="s">
        <v>1581</v>
      </c>
      <c r="J56" s="191" t="s">
        <v>1635</v>
      </c>
      <c r="K56" s="191" t="s">
        <v>1638</v>
      </c>
    </row>
    <row r="57" spans="1:11" x14ac:dyDescent="0.2">
      <c r="A57" s="207" t="s">
        <v>1861</v>
      </c>
      <c r="B57" s="191" t="s">
        <v>902</v>
      </c>
      <c r="C57" s="191" t="s">
        <v>785</v>
      </c>
      <c r="D57" s="208">
        <v>2028</v>
      </c>
      <c r="E57" s="208">
        <v>1815</v>
      </c>
      <c r="G57" s="237" t="s">
        <v>1099</v>
      </c>
      <c r="H57" s="191" t="s">
        <v>1197</v>
      </c>
      <c r="I57" s="191" t="s">
        <v>1581</v>
      </c>
      <c r="J57" s="191" t="s">
        <v>1635</v>
      </c>
      <c r="K57" s="191" t="s">
        <v>1566</v>
      </c>
    </row>
    <row r="58" spans="1:11" x14ac:dyDescent="0.2">
      <c r="A58" s="207" t="s">
        <v>1862</v>
      </c>
      <c r="B58" s="191" t="s">
        <v>869</v>
      </c>
      <c r="C58" s="191" t="s">
        <v>785</v>
      </c>
      <c r="D58" s="208">
        <v>3688</v>
      </c>
      <c r="E58" s="208">
        <v>4099</v>
      </c>
      <c r="G58" s="237" t="s">
        <v>1100</v>
      </c>
      <c r="H58" s="191" t="s">
        <v>1198</v>
      </c>
      <c r="I58" s="191" t="s">
        <v>1581</v>
      </c>
      <c r="J58" s="191" t="s">
        <v>1635</v>
      </c>
      <c r="K58" s="191" t="s">
        <v>1639</v>
      </c>
    </row>
    <row r="59" spans="1:11" x14ac:dyDescent="0.2">
      <c r="A59" s="207" t="s">
        <v>1863</v>
      </c>
      <c r="B59" s="191" t="s">
        <v>872</v>
      </c>
      <c r="C59" s="191" t="s">
        <v>809</v>
      </c>
      <c r="D59" s="208">
        <v>14477</v>
      </c>
      <c r="E59" s="208">
        <v>14451</v>
      </c>
      <c r="G59" s="237" t="s">
        <v>1101</v>
      </c>
      <c r="H59" s="191" t="s">
        <v>1199</v>
      </c>
      <c r="I59" s="191" t="s">
        <v>1581</v>
      </c>
      <c r="J59" s="191" t="s">
        <v>1635</v>
      </c>
      <c r="K59" s="191" t="s">
        <v>1640</v>
      </c>
    </row>
    <row r="60" spans="1:11" x14ac:dyDescent="0.2">
      <c r="A60" s="207" t="s">
        <v>1864</v>
      </c>
      <c r="B60" s="191" t="s">
        <v>873</v>
      </c>
      <c r="C60" s="191" t="s">
        <v>785</v>
      </c>
      <c r="D60" s="208">
        <v>13799</v>
      </c>
      <c r="E60" s="208">
        <v>14043</v>
      </c>
      <c r="G60" s="237" t="s">
        <v>1102</v>
      </c>
      <c r="H60" s="191" t="s">
        <v>1200</v>
      </c>
      <c r="I60" s="191" t="s">
        <v>1581</v>
      </c>
      <c r="J60" s="191" t="s">
        <v>1641</v>
      </c>
      <c r="K60" s="191" t="s">
        <v>1642</v>
      </c>
    </row>
    <row r="61" spans="1:11" x14ac:dyDescent="0.2">
      <c r="A61" s="207" t="s">
        <v>1865</v>
      </c>
      <c r="B61" s="191" t="s">
        <v>874</v>
      </c>
      <c r="C61" s="191" t="s">
        <v>808</v>
      </c>
      <c r="D61" s="208">
        <v>5088</v>
      </c>
      <c r="E61" s="208">
        <v>5307</v>
      </c>
      <c r="G61" s="237" t="s">
        <v>1103</v>
      </c>
      <c r="H61" s="191" t="s">
        <v>1201</v>
      </c>
      <c r="I61" s="191" t="s">
        <v>1581</v>
      </c>
      <c r="J61" s="191" t="s">
        <v>1641</v>
      </c>
      <c r="K61" s="191" t="s">
        <v>1643</v>
      </c>
    </row>
    <row r="62" spans="1:11" x14ac:dyDescent="0.2">
      <c r="A62" s="207" t="s">
        <v>1866</v>
      </c>
      <c r="B62" s="191" t="s">
        <v>875</v>
      </c>
      <c r="C62" s="191" t="s">
        <v>779</v>
      </c>
      <c r="D62" s="208">
        <v>19452</v>
      </c>
      <c r="E62" s="208">
        <v>22083</v>
      </c>
      <c r="G62" s="237" t="s">
        <v>1104</v>
      </c>
      <c r="H62" s="191" t="s">
        <v>1202</v>
      </c>
      <c r="I62" s="191" t="s">
        <v>1581</v>
      </c>
      <c r="J62" s="191" t="s">
        <v>1641</v>
      </c>
      <c r="K62" s="191" t="s">
        <v>1644</v>
      </c>
    </row>
    <row r="63" spans="1:11" x14ac:dyDescent="0.2">
      <c r="A63" s="207" t="s">
        <v>1867</v>
      </c>
      <c r="B63" s="191" t="s">
        <v>876</v>
      </c>
      <c r="C63" s="191" t="s">
        <v>809</v>
      </c>
      <c r="D63" s="208">
        <v>3526</v>
      </c>
      <c r="E63" s="208">
        <v>3638</v>
      </c>
      <c r="G63" s="237" t="s">
        <v>1105</v>
      </c>
      <c r="H63" s="191" t="s">
        <v>1203</v>
      </c>
      <c r="I63" s="191" t="s">
        <v>1581</v>
      </c>
      <c r="J63" s="191" t="s">
        <v>1641</v>
      </c>
      <c r="K63" s="191" t="s">
        <v>1567</v>
      </c>
    </row>
    <row r="64" spans="1:11" x14ac:dyDescent="0.2">
      <c r="A64" s="207" t="s">
        <v>1868</v>
      </c>
      <c r="B64" s="191" t="s">
        <v>877</v>
      </c>
      <c r="C64" s="191" t="s">
        <v>767</v>
      </c>
      <c r="D64" s="208">
        <v>99461</v>
      </c>
      <c r="E64" s="208">
        <v>106050</v>
      </c>
      <c r="G64" s="237" t="s">
        <v>1106</v>
      </c>
      <c r="H64" s="191" t="s">
        <v>1204</v>
      </c>
      <c r="I64" s="191" t="s">
        <v>1581</v>
      </c>
      <c r="J64" s="191" t="s">
        <v>1641</v>
      </c>
      <c r="K64" s="191" t="s">
        <v>1645</v>
      </c>
    </row>
    <row r="65" spans="1:11" x14ac:dyDescent="0.2">
      <c r="A65" s="207" t="s">
        <v>1869</v>
      </c>
      <c r="B65" s="191" t="s">
        <v>878</v>
      </c>
      <c r="C65" s="191" t="s">
        <v>811</v>
      </c>
      <c r="D65" s="208">
        <v>32357</v>
      </c>
      <c r="E65" s="208">
        <v>33588</v>
      </c>
      <c r="G65" s="237" t="s">
        <v>1107</v>
      </c>
      <c r="H65" s="191" t="s">
        <v>1205</v>
      </c>
      <c r="I65" s="191" t="s">
        <v>1581</v>
      </c>
      <c r="J65" s="191" t="s">
        <v>1641</v>
      </c>
      <c r="K65" s="191" t="s">
        <v>1646</v>
      </c>
    </row>
    <row r="66" spans="1:11" x14ac:dyDescent="0.2">
      <c r="A66" s="207" t="s">
        <v>1870</v>
      </c>
      <c r="B66" s="191" t="s">
        <v>884</v>
      </c>
      <c r="C66" s="191" t="s">
        <v>758</v>
      </c>
      <c r="D66" s="208">
        <v>11192</v>
      </c>
      <c r="E66" s="208">
        <v>11386</v>
      </c>
      <c r="G66" s="237" t="s">
        <v>1108</v>
      </c>
      <c r="H66" s="191" t="s">
        <v>1206</v>
      </c>
      <c r="I66" s="191" t="s">
        <v>1581</v>
      </c>
      <c r="J66" s="191" t="s">
        <v>1641</v>
      </c>
      <c r="K66" s="191" t="s">
        <v>1568</v>
      </c>
    </row>
    <row r="67" spans="1:11" x14ac:dyDescent="0.2">
      <c r="A67" s="207" t="s">
        <v>1871</v>
      </c>
      <c r="B67" s="191" t="s">
        <v>885</v>
      </c>
      <c r="C67" s="191" t="s">
        <v>767</v>
      </c>
      <c r="D67" s="208">
        <v>51944</v>
      </c>
      <c r="E67" s="208">
        <v>53659</v>
      </c>
      <c r="G67" s="237" t="s">
        <v>1109</v>
      </c>
      <c r="H67" s="191" t="s">
        <v>1207</v>
      </c>
      <c r="I67" s="191" t="s">
        <v>1581</v>
      </c>
      <c r="J67" s="191" t="s">
        <v>1641</v>
      </c>
      <c r="K67" s="191" t="s">
        <v>1647</v>
      </c>
    </row>
    <row r="68" spans="1:11" x14ac:dyDescent="0.2">
      <c r="A68" s="207" t="s">
        <v>1872</v>
      </c>
      <c r="B68" s="191" t="s">
        <v>886</v>
      </c>
      <c r="C68" s="191" t="s">
        <v>809</v>
      </c>
      <c r="D68" s="208">
        <v>275640</v>
      </c>
      <c r="E68" s="208">
        <v>291839</v>
      </c>
      <c r="G68" s="237" t="s">
        <v>1112</v>
      </c>
      <c r="H68" s="191" t="s">
        <v>1115</v>
      </c>
      <c r="I68" s="191" t="s">
        <v>1581</v>
      </c>
      <c r="J68" s="191" t="s">
        <v>1641</v>
      </c>
      <c r="K68" s="191" t="s">
        <v>1648</v>
      </c>
    </row>
    <row r="69" spans="1:11" x14ac:dyDescent="0.2">
      <c r="A69" s="207" t="s">
        <v>1873</v>
      </c>
      <c r="B69" s="191" t="s">
        <v>950</v>
      </c>
      <c r="C69" s="191" t="s">
        <v>804</v>
      </c>
      <c r="D69" s="208">
        <v>10704</v>
      </c>
      <c r="E69" s="208">
        <v>11303</v>
      </c>
      <c r="G69" s="237" t="s">
        <v>1111</v>
      </c>
      <c r="H69" s="191" t="s">
        <v>1116</v>
      </c>
      <c r="I69" s="191" t="s">
        <v>1581</v>
      </c>
      <c r="J69" s="191" t="s">
        <v>1652</v>
      </c>
      <c r="K69" s="191" t="s">
        <v>1649</v>
      </c>
    </row>
    <row r="70" spans="1:11" x14ac:dyDescent="0.2">
      <c r="A70" s="207" t="s">
        <v>1874</v>
      </c>
      <c r="B70" s="191" t="s">
        <v>887</v>
      </c>
      <c r="C70" s="191" t="s">
        <v>785</v>
      </c>
      <c r="D70" s="208">
        <v>8379</v>
      </c>
      <c r="E70" s="208">
        <v>7734</v>
      </c>
      <c r="G70" s="237" t="s">
        <v>1110</v>
      </c>
      <c r="H70" s="191" t="s">
        <v>1117</v>
      </c>
      <c r="I70" s="191" t="s">
        <v>1582</v>
      </c>
      <c r="J70" s="191" t="s">
        <v>1653</v>
      </c>
      <c r="K70" s="191" t="s">
        <v>1650</v>
      </c>
    </row>
    <row r="71" spans="1:11" x14ac:dyDescent="0.2">
      <c r="A71" s="207" t="s">
        <v>1875</v>
      </c>
      <c r="B71" s="191" t="s">
        <v>816</v>
      </c>
      <c r="C71" s="191" t="s">
        <v>759</v>
      </c>
      <c r="D71" s="208">
        <v>183437</v>
      </c>
      <c r="E71" s="208">
        <v>232852</v>
      </c>
      <c r="G71" s="237" t="s">
        <v>1113</v>
      </c>
      <c r="H71" s="191" t="s">
        <v>1118</v>
      </c>
      <c r="I71" s="191" t="s">
        <v>1582</v>
      </c>
      <c r="J71" s="191" t="s">
        <v>1653</v>
      </c>
      <c r="K71" s="191" t="s">
        <v>1651</v>
      </c>
    </row>
    <row r="72" spans="1:11" x14ac:dyDescent="0.2">
      <c r="A72" s="207" t="s">
        <v>1876</v>
      </c>
      <c r="B72" s="191" t="s">
        <v>888</v>
      </c>
      <c r="C72" s="191" t="s">
        <v>759</v>
      </c>
      <c r="D72" s="208">
        <v>3117</v>
      </c>
      <c r="E72" s="208">
        <v>2924</v>
      </c>
      <c r="G72" s="237" t="s">
        <v>1120</v>
      </c>
      <c r="H72" s="191" t="s">
        <v>1119</v>
      </c>
      <c r="I72" s="191" t="s">
        <v>1582</v>
      </c>
      <c r="J72" s="191" t="s">
        <v>1656</v>
      </c>
      <c r="K72" s="191" t="s">
        <v>1569</v>
      </c>
    </row>
    <row r="73" spans="1:11" x14ac:dyDescent="0.2">
      <c r="A73" s="207" t="s">
        <v>1877</v>
      </c>
      <c r="B73" s="191" t="s">
        <v>889</v>
      </c>
      <c r="C73" s="191" t="s">
        <v>1014</v>
      </c>
      <c r="D73" s="208">
        <v>7349</v>
      </c>
      <c r="E73" s="208">
        <v>7609</v>
      </c>
      <c r="G73" s="237" t="s">
        <v>1122</v>
      </c>
      <c r="H73" s="191" t="s">
        <v>1123</v>
      </c>
      <c r="I73" s="191" t="s">
        <v>1582</v>
      </c>
      <c r="J73" s="191" t="s">
        <v>1656</v>
      </c>
      <c r="K73" s="191" t="s">
        <v>1570</v>
      </c>
    </row>
    <row r="74" spans="1:11" x14ac:dyDescent="0.2">
      <c r="A74" s="207" t="s">
        <v>1878</v>
      </c>
      <c r="B74" s="191" t="s">
        <v>892</v>
      </c>
      <c r="C74" s="191" t="s">
        <v>1014</v>
      </c>
      <c r="D74" s="208">
        <v>69725</v>
      </c>
      <c r="E74" s="208">
        <v>72230</v>
      </c>
      <c r="G74" s="237" t="s">
        <v>1114</v>
      </c>
      <c r="H74" s="191" t="s">
        <v>1121</v>
      </c>
      <c r="I74" s="191" t="s">
        <v>1582</v>
      </c>
      <c r="J74" s="191" t="s">
        <v>1656</v>
      </c>
      <c r="K74" s="191" t="s">
        <v>1654</v>
      </c>
    </row>
    <row r="75" spans="1:11" x14ac:dyDescent="0.2">
      <c r="A75" s="207" t="s">
        <v>1879</v>
      </c>
      <c r="B75" s="191" t="s">
        <v>894</v>
      </c>
      <c r="C75" s="191" t="s">
        <v>808</v>
      </c>
      <c r="D75" s="208">
        <v>15890</v>
      </c>
      <c r="E75" s="208">
        <v>16792</v>
      </c>
      <c r="G75" s="237" t="s">
        <v>1124</v>
      </c>
      <c r="H75" s="191" t="s">
        <v>1125</v>
      </c>
      <c r="I75" s="191" t="s">
        <v>1582</v>
      </c>
      <c r="J75" s="191" t="s">
        <v>1656</v>
      </c>
      <c r="K75" s="191" t="s">
        <v>1571</v>
      </c>
    </row>
    <row r="76" spans="1:11" x14ac:dyDescent="0.2">
      <c r="A76" s="207" t="s">
        <v>1880</v>
      </c>
      <c r="B76" s="191" t="s">
        <v>895</v>
      </c>
      <c r="C76" s="191" t="s">
        <v>761</v>
      </c>
      <c r="D76" s="208">
        <v>3783</v>
      </c>
      <c r="E76" s="208">
        <v>3791</v>
      </c>
      <c r="I76" s="191" t="s">
        <v>1582</v>
      </c>
      <c r="J76" s="191" t="s">
        <v>1656</v>
      </c>
      <c r="K76" s="191" t="s">
        <v>1572</v>
      </c>
    </row>
    <row r="77" spans="1:11" x14ac:dyDescent="0.2">
      <c r="A77" s="207" t="s">
        <v>1881</v>
      </c>
      <c r="B77" s="191" t="s">
        <v>896</v>
      </c>
      <c r="C77" s="191" t="s">
        <v>779</v>
      </c>
      <c r="D77" s="208">
        <v>3122</v>
      </c>
      <c r="E77" s="208">
        <v>3095</v>
      </c>
      <c r="I77" s="191" t="s">
        <v>1582</v>
      </c>
      <c r="J77" s="191" t="s">
        <v>1656</v>
      </c>
      <c r="K77" s="191" t="s">
        <v>1655</v>
      </c>
    </row>
    <row r="78" spans="1:11" x14ac:dyDescent="0.2">
      <c r="A78" s="207" t="s">
        <v>1882</v>
      </c>
      <c r="B78" s="191" t="s">
        <v>897</v>
      </c>
      <c r="C78" s="191" t="s">
        <v>756</v>
      </c>
      <c r="D78" s="208">
        <v>27777</v>
      </c>
      <c r="E78" s="208">
        <v>28102</v>
      </c>
      <c r="I78" s="191" t="s">
        <v>1582</v>
      </c>
      <c r="J78" s="191" t="s">
        <v>1657</v>
      </c>
      <c r="K78" s="191" t="s">
        <v>1658</v>
      </c>
    </row>
    <row r="79" spans="1:11" x14ac:dyDescent="0.2">
      <c r="A79" s="207" t="s">
        <v>1883</v>
      </c>
      <c r="B79" s="191" t="s">
        <v>898</v>
      </c>
      <c r="C79" s="191" t="s">
        <v>808</v>
      </c>
      <c r="D79" s="208">
        <v>32960</v>
      </c>
      <c r="E79" s="208">
        <v>31965</v>
      </c>
      <c r="I79" s="191" t="s">
        <v>1582</v>
      </c>
      <c r="J79" s="191" t="s">
        <v>1657</v>
      </c>
      <c r="K79" s="191" t="s">
        <v>1659</v>
      </c>
    </row>
    <row r="80" spans="1:11" x14ac:dyDescent="0.2">
      <c r="A80" s="207" t="s">
        <v>1884</v>
      </c>
      <c r="B80" s="191" t="s">
        <v>824</v>
      </c>
      <c r="C80" s="191" t="s">
        <v>758</v>
      </c>
      <c r="D80" s="208">
        <v>14278</v>
      </c>
      <c r="E80" s="208">
        <v>16431</v>
      </c>
      <c r="I80" s="191" t="s">
        <v>1582</v>
      </c>
      <c r="J80" s="191" t="s">
        <v>1657</v>
      </c>
      <c r="K80" s="191" t="s">
        <v>1660</v>
      </c>
    </row>
    <row r="81" spans="1:11" x14ac:dyDescent="0.2">
      <c r="A81" s="207" t="s">
        <v>1885</v>
      </c>
      <c r="B81" s="191" t="s">
        <v>900</v>
      </c>
      <c r="C81" s="191" t="s">
        <v>809</v>
      </c>
      <c r="D81" s="208">
        <v>5643</v>
      </c>
      <c r="E81" s="208">
        <v>5086</v>
      </c>
      <c r="I81" s="191" t="s">
        <v>1582</v>
      </c>
      <c r="J81" s="191" t="s">
        <v>1657</v>
      </c>
      <c r="K81" s="191" t="s">
        <v>1661</v>
      </c>
    </row>
    <row r="82" spans="1:11" x14ac:dyDescent="0.2">
      <c r="A82" s="207" t="s">
        <v>1886</v>
      </c>
      <c r="B82" s="191" t="s">
        <v>901</v>
      </c>
      <c r="C82" s="191" t="s">
        <v>779</v>
      </c>
      <c r="D82" s="208">
        <v>3033</v>
      </c>
      <c r="E82" s="208">
        <v>3515</v>
      </c>
      <c r="I82" s="191" t="s">
        <v>1582</v>
      </c>
      <c r="J82" s="191" t="s">
        <v>1657</v>
      </c>
      <c r="K82" s="191" t="s">
        <v>1573</v>
      </c>
    </row>
    <row r="83" spans="1:11" x14ac:dyDescent="0.2">
      <c r="A83" s="207" t="s">
        <v>1887</v>
      </c>
      <c r="B83" s="191" t="s">
        <v>903</v>
      </c>
      <c r="C83" s="191" t="s">
        <v>756</v>
      </c>
      <c r="D83" s="208">
        <v>36778</v>
      </c>
      <c r="E83" s="208">
        <v>37186</v>
      </c>
      <c r="I83" s="191" t="s">
        <v>1582</v>
      </c>
      <c r="J83" s="191" t="s">
        <v>1657</v>
      </c>
      <c r="K83" s="191" t="s">
        <v>1662</v>
      </c>
    </row>
    <row r="84" spans="1:11" x14ac:dyDescent="0.2">
      <c r="A84" s="207" t="s">
        <v>1888</v>
      </c>
      <c r="B84" s="191" t="s">
        <v>918</v>
      </c>
      <c r="C84" s="191" t="s">
        <v>761</v>
      </c>
      <c r="D84" s="208">
        <v>80365</v>
      </c>
      <c r="E84" s="208">
        <v>87690</v>
      </c>
      <c r="I84" s="191" t="s">
        <v>1582</v>
      </c>
      <c r="J84" s="191" t="s">
        <v>1663</v>
      </c>
      <c r="K84" s="191" t="s">
        <v>1664</v>
      </c>
    </row>
    <row r="85" spans="1:11" x14ac:dyDescent="0.2">
      <c r="A85" s="207" t="s">
        <v>1889</v>
      </c>
      <c r="B85" s="191" t="s">
        <v>919</v>
      </c>
      <c r="C85" s="191" t="s">
        <v>809</v>
      </c>
      <c r="D85" s="208">
        <v>15126</v>
      </c>
      <c r="E85" s="208">
        <v>14997</v>
      </c>
      <c r="I85" s="191" t="s">
        <v>1582</v>
      </c>
      <c r="J85" s="191" t="s">
        <v>1663</v>
      </c>
      <c r="K85" s="191" t="s">
        <v>1574</v>
      </c>
    </row>
    <row r="86" spans="1:11" x14ac:dyDescent="0.2">
      <c r="A86" s="207" t="s">
        <v>1890</v>
      </c>
      <c r="B86" s="191" t="s">
        <v>920</v>
      </c>
      <c r="C86" s="191" t="s">
        <v>758</v>
      </c>
      <c r="D86" s="208">
        <v>38396</v>
      </c>
      <c r="E86" s="208">
        <v>38955</v>
      </c>
      <c r="I86" s="191" t="s">
        <v>1582</v>
      </c>
      <c r="J86" s="191" t="s">
        <v>1663</v>
      </c>
      <c r="K86" s="191" t="s">
        <v>1575</v>
      </c>
    </row>
    <row r="87" spans="1:11" x14ac:dyDescent="0.2">
      <c r="A87" s="207" t="s">
        <v>1891</v>
      </c>
      <c r="B87" s="191" t="s">
        <v>921</v>
      </c>
      <c r="C87" s="191" t="s">
        <v>756</v>
      </c>
      <c r="D87" s="208">
        <v>19506</v>
      </c>
      <c r="E87" s="208">
        <v>21245</v>
      </c>
      <c r="I87" s="191" t="s">
        <v>1582</v>
      </c>
      <c r="J87" s="191" t="s">
        <v>1665</v>
      </c>
      <c r="K87" s="191" t="s">
        <v>1666</v>
      </c>
    </row>
    <row r="88" spans="1:11" x14ac:dyDescent="0.2">
      <c r="A88" s="207" t="s">
        <v>1892</v>
      </c>
      <c r="B88" s="191" t="s">
        <v>922</v>
      </c>
      <c r="C88" s="191" t="s">
        <v>758</v>
      </c>
      <c r="D88" s="208">
        <v>16579</v>
      </c>
      <c r="E88" s="208">
        <v>16705</v>
      </c>
      <c r="I88" s="191" t="s">
        <v>1582</v>
      </c>
      <c r="J88" s="191" t="s">
        <v>1665</v>
      </c>
      <c r="K88" s="191" t="s">
        <v>1667</v>
      </c>
    </row>
    <row r="89" spans="1:11" x14ac:dyDescent="0.2">
      <c r="A89" s="207" t="s">
        <v>1893</v>
      </c>
      <c r="B89" s="191" t="s">
        <v>924</v>
      </c>
      <c r="C89" s="191" t="s">
        <v>770</v>
      </c>
      <c r="D89" s="208">
        <v>17257</v>
      </c>
      <c r="E89" s="208">
        <v>16603</v>
      </c>
      <c r="I89" s="191" t="s">
        <v>1582</v>
      </c>
      <c r="J89" s="191" t="s">
        <v>1665</v>
      </c>
      <c r="K89" s="191" t="s">
        <v>1668</v>
      </c>
    </row>
    <row r="90" spans="1:11" x14ac:dyDescent="0.2">
      <c r="A90" s="207" t="s">
        <v>1894</v>
      </c>
      <c r="B90" s="191" t="s">
        <v>923</v>
      </c>
      <c r="C90" s="191" t="s">
        <v>756</v>
      </c>
      <c r="D90" s="208">
        <v>3703</v>
      </c>
      <c r="E90" s="208">
        <v>4072</v>
      </c>
      <c r="I90" s="191" t="s">
        <v>1582</v>
      </c>
      <c r="J90" s="191" t="s">
        <v>1665</v>
      </c>
      <c r="K90" s="191" t="s">
        <v>1669</v>
      </c>
    </row>
    <row r="91" spans="1:11" x14ac:dyDescent="0.2">
      <c r="A91" s="207" t="s">
        <v>1895</v>
      </c>
      <c r="B91" s="191" t="s">
        <v>925</v>
      </c>
      <c r="C91" s="191" t="s">
        <v>770</v>
      </c>
      <c r="D91" s="208">
        <v>7005</v>
      </c>
      <c r="E91" s="208">
        <v>7302</v>
      </c>
      <c r="I91" s="191" t="s">
        <v>1582</v>
      </c>
      <c r="J91" s="191" t="s">
        <v>1665</v>
      </c>
      <c r="K91" s="191" t="s">
        <v>1670</v>
      </c>
    </row>
    <row r="92" spans="1:11" x14ac:dyDescent="0.2">
      <c r="A92" s="207" t="s">
        <v>1896</v>
      </c>
      <c r="B92" s="191" t="s">
        <v>926</v>
      </c>
      <c r="C92" s="191" t="s">
        <v>811</v>
      </c>
      <c r="D92" s="208">
        <v>41278</v>
      </c>
      <c r="E92" s="208">
        <v>39839</v>
      </c>
      <c r="I92" s="191" t="s">
        <v>1582</v>
      </c>
      <c r="J92" s="191" t="s">
        <v>1665</v>
      </c>
      <c r="K92" s="191" t="s">
        <v>1671</v>
      </c>
    </row>
    <row r="93" spans="1:11" x14ac:dyDescent="0.2">
      <c r="A93" s="207" t="s">
        <v>1897</v>
      </c>
      <c r="B93" s="191" t="s">
        <v>927</v>
      </c>
      <c r="C93" s="191" t="s">
        <v>756</v>
      </c>
      <c r="D93" s="208">
        <v>10317</v>
      </c>
      <c r="E93" s="208">
        <v>11039</v>
      </c>
      <c r="I93" s="191" t="s">
        <v>1582</v>
      </c>
      <c r="J93" s="191" t="s">
        <v>1672</v>
      </c>
      <c r="K93" s="191" t="s">
        <v>1576</v>
      </c>
    </row>
    <row r="94" spans="1:11" x14ac:dyDescent="0.2">
      <c r="A94" s="207" t="s">
        <v>1898</v>
      </c>
      <c r="B94" s="191" t="s">
        <v>928</v>
      </c>
      <c r="C94" s="191" t="s">
        <v>808</v>
      </c>
      <c r="D94" s="208">
        <v>141322</v>
      </c>
      <c r="E94" s="208">
        <v>150190</v>
      </c>
      <c r="I94" s="191" t="s">
        <v>1582</v>
      </c>
      <c r="J94" s="191" t="s">
        <v>1673</v>
      </c>
      <c r="K94" s="191" t="s">
        <v>1577</v>
      </c>
    </row>
    <row r="95" spans="1:11" x14ac:dyDescent="0.2">
      <c r="A95" s="207" t="s">
        <v>1899</v>
      </c>
      <c r="B95" s="191" t="s">
        <v>929</v>
      </c>
      <c r="C95" s="191" t="s">
        <v>761</v>
      </c>
      <c r="D95" s="208">
        <v>42009</v>
      </c>
      <c r="E95" s="208">
        <v>44353</v>
      </c>
      <c r="I95" s="191" t="s">
        <v>1582</v>
      </c>
      <c r="J95" s="191" t="s">
        <v>1673</v>
      </c>
      <c r="K95" s="191" t="s">
        <v>1674</v>
      </c>
    </row>
    <row r="96" spans="1:11" x14ac:dyDescent="0.2">
      <c r="A96" s="207" t="s">
        <v>1900</v>
      </c>
      <c r="B96" s="191" t="s">
        <v>930</v>
      </c>
      <c r="C96" s="191" t="s">
        <v>761</v>
      </c>
      <c r="D96" s="208">
        <v>9608</v>
      </c>
      <c r="E96" s="208">
        <v>9647</v>
      </c>
      <c r="I96" s="191" t="s">
        <v>1582</v>
      </c>
      <c r="J96" s="191" t="s">
        <v>1675</v>
      </c>
      <c r="K96" s="191" t="s">
        <v>1676</v>
      </c>
    </row>
    <row r="97" spans="1:11" x14ac:dyDescent="0.2">
      <c r="A97" s="207" t="s">
        <v>1901</v>
      </c>
      <c r="B97" s="191" t="s">
        <v>931</v>
      </c>
      <c r="C97" s="191" t="s">
        <v>785</v>
      </c>
      <c r="D97" s="208">
        <v>20961</v>
      </c>
      <c r="E97" s="208">
        <v>22758</v>
      </c>
      <c r="I97" s="191" t="s">
        <v>1582</v>
      </c>
      <c r="J97" s="191" t="s">
        <v>1675</v>
      </c>
      <c r="K97" s="191" t="s">
        <v>1677</v>
      </c>
    </row>
    <row r="98" spans="1:11" x14ac:dyDescent="0.2">
      <c r="A98" s="207" t="s">
        <v>1902</v>
      </c>
      <c r="B98" s="191" t="s">
        <v>932</v>
      </c>
      <c r="C98" s="191" t="s">
        <v>759</v>
      </c>
      <c r="D98" s="208">
        <v>549442</v>
      </c>
      <c r="E98" s="208">
        <v>727750</v>
      </c>
      <c r="I98" s="191" t="s">
        <v>1582</v>
      </c>
      <c r="J98" s="191" t="s">
        <v>1675</v>
      </c>
      <c r="K98" s="191" t="s">
        <v>1678</v>
      </c>
    </row>
    <row r="99" spans="1:11" x14ac:dyDescent="0.2">
      <c r="A99" s="207" t="s">
        <v>1903</v>
      </c>
      <c r="B99" s="191" t="s">
        <v>899</v>
      </c>
      <c r="C99" s="191" t="s">
        <v>759</v>
      </c>
      <c r="D99" s="208">
        <v>664193</v>
      </c>
      <c r="E99" s="208">
        <v>687127</v>
      </c>
      <c r="I99" s="191" t="s">
        <v>1582</v>
      </c>
      <c r="J99" s="191" t="s">
        <v>1675</v>
      </c>
      <c r="K99" s="191" t="s">
        <v>1578</v>
      </c>
    </row>
    <row r="100" spans="1:11" x14ac:dyDescent="0.2">
      <c r="A100" s="207" t="s">
        <v>1904</v>
      </c>
      <c r="B100" s="191" t="s">
        <v>933</v>
      </c>
      <c r="C100" s="191" t="s">
        <v>758</v>
      </c>
      <c r="D100" s="208">
        <v>10310</v>
      </c>
      <c r="E100" s="208">
        <v>11219</v>
      </c>
      <c r="I100" s="191" t="s">
        <v>1582</v>
      </c>
      <c r="J100" s="191" t="s">
        <v>1679</v>
      </c>
      <c r="K100" s="191" t="s">
        <v>1680</v>
      </c>
    </row>
    <row r="101" spans="1:11" x14ac:dyDescent="0.2">
      <c r="A101" s="207" t="s">
        <v>1905</v>
      </c>
      <c r="B101" s="191" t="s">
        <v>934</v>
      </c>
      <c r="C101" s="191" t="s">
        <v>804</v>
      </c>
      <c r="D101" s="208">
        <v>35824</v>
      </c>
      <c r="E101" s="208">
        <v>36316</v>
      </c>
      <c r="I101" s="191" t="s">
        <v>1582</v>
      </c>
      <c r="J101" s="191" t="s">
        <v>1679</v>
      </c>
      <c r="K101" s="191" t="s">
        <v>1681</v>
      </c>
    </row>
    <row r="102" spans="1:11" x14ac:dyDescent="0.2">
      <c r="A102" s="207" t="s">
        <v>1906</v>
      </c>
      <c r="B102" s="191" t="s">
        <v>935</v>
      </c>
      <c r="C102" s="191" t="s">
        <v>759</v>
      </c>
      <c r="D102" s="208">
        <v>536111</v>
      </c>
      <c r="E102" s="208">
        <v>569913</v>
      </c>
      <c r="I102" s="191" t="s">
        <v>1582</v>
      </c>
      <c r="J102" s="191" t="s">
        <v>1679</v>
      </c>
      <c r="K102" s="191" t="s">
        <v>1682</v>
      </c>
    </row>
    <row r="103" spans="1:11" x14ac:dyDescent="0.2">
      <c r="A103" s="207" t="s">
        <v>1907</v>
      </c>
      <c r="B103" s="191" t="s">
        <v>936</v>
      </c>
      <c r="C103" s="191" t="s">
        <v>770</v>
      </c>
      <c r="D103" s="208">
        <v>5960</v>
      </c>
      <c r="E103" s="208">
        <v>5961</v>
      </c>
      <c r="I103" s="191" t="s">
        <v>1683</v>
      </c>
      <c r="J103" s="191" t="s">
        <v>1684</v>
      </c>
      <c r="K103" s="191" t="s">
        <v>1685</v>
      </c>
    </row>
    <row r="104" spans="1:11" x14ac:dyDescent="0.2">
      <c r="A104" s="207" t="s">
        <v>1908</v>
      </c>
      <c r="B104" s="191" t="s">
        <v>937</v>
      </c>
      <c r="C104" s="191" t="s">
        <v>758</v>
      </c>
      <c r="D104" s="208">
        <v>7256</v>
      </c>
      <c r="E104" s="208">
        <v>7565</v>
      </c>
      <c r="I104" s="191" t="s">
        <v>1683</v>
      </c>
      <c r="J104" s="191" t="s">
        <v>1684</v>
      </c>
      <c r="K104" s="191" t="s">
        <v>1686</v>
      </c>
    </row>
    <row r="105" spans="1:11" x14ac:dyDescent="0.2">
      <c r="A105" s="207" t="s">
        <v>1909</v>
      </c>
      <c r="B105" s="191" t="s">
        <v>938</v>
      </c>
      <c r="C105" s="191" t="s">
        <v>779</v>
      </c>
      <c r="D105" s="208">
        <v>4412</v>
      </c>
      <c r="E105" s="208">
        <v>4180</v>
      </c>
      <c r="I105" s="191" t="s">
        <v>1683</v>
      </c>
      <c r="J105" s="191" t="s">
        <v>1687</v>
      </c>
      <c r="K105" s="191" t="s">
        <v>1688</v>
      </c>
    </row>
    <row r="106" spans="1:11" x14ac:dyDescent="0.2">
      <c r="A106" s="207" t="s">
        <v>1910</v>
      </c>
      <c r="B106" s="191" t="s">
        <v>939</v>
      </c>
      <c r="C106" s="191" t="s">
        <v>767</v>
      </c>
      <c r="D106" s="208">
        <v>23171</v>
      </c>
      <c r="E106" s="208">
        <v>23573</v>
      </c>
      <c r="I106" s="191" t="s">
        <v>1683</v>
      </c>
      <c r="J106" s="191" t="s">
        <v>1687</v>
      </c>
      <c r="K106" s="191" t="s">
        <v>1689</v>
      </c>
    </row>
    <row r="107" spans="1:11" x14ac:dyDescent="0.2">
      <c r="A107" s="207" t="s">
        <v>1911</v>
      </c>
      <c r="B107" s="191" t="s">
        <v>940</v>
      </c>
      <c r="C107" s="191" t="s">
        <v>770</v>
      </c>
      <c r="D107" s="208">
        <v>4229</v>
      </c>
      <c r="E107" s="208">
        <v>5482</v>
      </c>
      <c r="I107" s="191" t="s">
        <v>1683</v>
      </c>
      <c r="J107" s="191" t="s">
        <v>1687</v>
      </c>
      <c r="K107" s="191" t="s">
        <v>1690</v>
      </c>
    </row>
    <row r="108" spans="1:11" x14ac:dyDescent="0.2">
      <c r="A108" s="207" t="s">
        <v>1912</v>
      </c>
      <c r="B108" s="191" t="s">
        <v>941</v>
      </c>
      <c r="C108" s="191" t="s">
        <v>785</v>
      </c>
      <c r="D108" s="208">
        <v>6156</v>
      </c>
      <c r="E108" s="208">
        <v>6702</v>
      </c>
      <c r="I108" s="191" t="s">
        <v>1683</v>
      </c>
      <c r="J108" s="191" t="s">
        <v>1691</v>
      </c>
      <c r="K108" s="191" t="s">
        <v>1692</v>
      </c>
    </row>
    <row r="109" spans="1:11" x14ac:dyDescent="0.2">
      <c r="A109" s="207" t="s">
        <v>1913</v>
      </c>
      <c r="B109" s="191" t="s">
        <v>942</v>
      </c>
      <c r="C109" s="191" t="s">
        <v>758</v>
      </c>
      <c r="D109" s="208">
        <v>34182</v>
      </c>
      <c r="E109" s="208">
        <v>37518</v>
      </c>
      <c r="I109" s="191" t="s">
        <v>1683</v>
      </c>
      <c r="J109" s="191" t="s">
        <v>1691</v>
      </c>
      <c r="K109" s="191" t="s">
        <v>1579</v>
      </c>
    </row>
    <row r="110" spans="1:11" x14ac:dyDescent="0.2">
      <c r="A110" s="207" t="s">
        <v>1914</v>
      </c>
      <c r="B110" s="191" t="s">
        <v>943</v>
      </c>
      <c r="C110" s="191" t="s">
        <v>811</v>
      </c>
      <c r="D110" s="208">
        <v>17325</v>
      </c>
      <c r="E110" s="208">
        <v>19069</v>
      </c>
      <c r="I110" s="191" t="s">
        <v>1683</v>
      </c>
      <c r="J110" s="191" t="s">
        <v>1691</v>
      </c>
      <c r="K110" s="191" t="s">
        <v>1693</v>
      </c>
    </row>
    <row r="111" spans="1:11" x14ac:dyDescent="0.2">
      <c r="A111" s="207" t="s">
        <v>1915</v>
      </c>
      <c r="B111" s="191" t="s">
        <v>944</v>
      </c>
      <c r="C111" s="191" t="s">
        <v>770</v>
      </c>
      <c r="D111" s="208">
        <v>13446</v>
      </c>
      <c r="E111" s="208">
        <v>13799</v>
      </c>
      <c r="I111" s="191" t="s">
        <v>1683</v>
      </c>
      <c r="J111" s="191" t="s">
        <v>1691</v>
      </c>
      <c r="K111" s="191" t="s">
        <v>1580</v>
      </c>
    </row>
    <row r="112" spans="1:11" x14ac:dyDescent="0.2">
      <c r="A112" s="207" t="s">
        <v>1916</v>
      </c>
      <c r="B112" s="191" t="s">
        <v>945</v>
      </c>
      <c r="C112" s="191" t="s">
        <v>808</v>
      </c>
      <c r="D112" s="208">
        <v>6924</v>
      </c>
      <c r="E112" s="208">
        <v>6627</v>
      </c>
      <c r="I112" s="191" t="s">
        <v>1683</v>
      </c>
      <c r="J112" s="191" t="s">
        <v>1694</v>
      </c>
      <c r="K112" s="191" t="s">
        <v>1695</v>
      </c>
    </row>
    <row r="113" spans="1:5" x14ac:dyDescent="0.2">
      <c r="A113" s="207" t="s">
        <v>1917</v>
      </c>
      <c r="B113" s="191" t="s">
        <v>946</v>
      </c>
      <c r="C113" s="191" t="s">
        <v>785</v>
      </c>
      <c r="D113" s="208">
        <v>5389</v>
      </c>
      <c r="E113" s="208">
        <v>6151</v>
      </c>
    </row>
    <row r="114" spans="1:5" x14ac:dyDescent="0.2">
      <c r="A114" s="207" t="s">
        <v>1918</v>
      </c>
      <c r="B114" s="191" t="s">
        <v>890</v>
      </c>
      <c r="C114" s="191" t="s">
        <v>758</v>
      </c>
      <c r="D114" s="208">
        <v>16105</v>
      </c>
      <c r="E114" s="208">
        <v>16548</v>
      </c>
    </row>
    <row r="115" spans="1:5" x14ac:dyDescent="0.2">
      <c r="A115" s="207" t="s">
        <v>1919</v>
      </c>
      <c r="B115" s="191" t="s">
        <v>947</v>
      </c>
      <c r="C115" s="191" t="s">
        <v>756</v>
      </c>
      <c r="D115" s="208">
        <v>17824</v>
      </c>
      <c r="E115" s="208">
        <v>19063</v>
      </c>
    </row>
    <row r="116" spans="1:5" x14ac:dyDescent="0.2">
      <c r="A116" s="207" t="s">
        <v>1920</v>
      </c>
      <c r="B116" s="191" t="s">
        <v>948</v>
      </c>
      <c r="C116" s="191" t="s">
        <v>779</v>
      </c>
      <c r="D116" s="208">
        <v>5417</v>
      </c>
      <c r="E116" s="208">
        <v>5525</v>
      </c>
    </row>
    <row r="117" spans="1:5" x14ac:dyDescent="0.2">
      <c r="A117" s="207" t="s">
        <v>1921</v>
      </c>
      <c r="B117" s="191" t="s">
        <v>949</v>
      </c>
      <c r="C117" s="191" t="s">
        <v>1014</v>
      </c>
      <c r="D117" s="208">
        <v>20257</v>
      </c>
      <c r="E117" s="208">
        <v>20088</v>
      </c>
    </row>
    <row r="118" spans="1:5" x14ac:dyDescent="0.2">
      <c r="A118" s="207" t="s">
        <v>1922</v>
      </c>
      <c r="B118" s="191" t="s">
        <v>781</v>
      </c>
      <c r="C118" s="191" t="s">
        <v>808</v>
      </c>
      <c r="D118" s="208">
        <v>4110</v>
      </c>
      <c r="E118" s="208">
        <v>4388</v>
      </c>
    </row>
    <row r="119" spans="1:5" x14ac:dyDescent="0.2">
      <c r="A119" s="207" t="s">
        <v>1923</v>
      </c>
      <c r="B119" s="191" t="s">
        <v>951</v>
      </c>
      <c r="C119" s="191" t="s">
        <v>801</v>
      </c>
      <c r="D119" s="208">
        <v>22586</v>
      </c>
      <c r="E119" s="208">
        <v>22394</v>
      </c>
    </row>
    <row r="120" spans="1:5" x14ac:dyDescent="0.2">
      <c r="A120" s="207" t="s">
        <v>1924</v>
      </c>
      <c r="B120" s="191" t="s">
        <v>952</v>
      </c>
      <c r="C120" s="191" t="s">
        <v>756</v>
      </c>
      <c r="D120" s="208">
        <v>28205</v>
      </c>
      <c r="E120" s="208">
        <v>30472</v>
      </c>
    </row>
    <row r="121" spans="1:5" x14ac:dyDescent="0.2">
      <c r="A121" s="207" t="s">
        <v>1925</v>
      </c>
      <c r="B121" s="191" t="s">
        <v>953</v>
      </c>
      <c r="C121" s="191" t="s">
        <v>759</v>
      </c>
      <c r="D121" s="208">
        <v>1332272</v>
      </c>
      <c r="E121" s="208">
        <v>1476491</v>
      </c>
    </row>
    <row r="122" spans="1:5" x14ac:dyDescent="0.2">
      <c r="A122" s="207" t="s">
        <v>1926</v>
      </c>
      <c r="B122" s="191" t="s">
        <v>954</v>
      </c>
      <c r="C122" s="191" t="s">
        <v>758</v>
      </c>
      <c r="D122" s="208">
        <v>29190</v>
      </c>
      <c r="E122" s="208">
        <v>33713</v>
      </c>
    </row>
    <row r="123" spans="1:5" x14ac:dyDescent="0.2">
      <c r="A123" s="207" t="s">
        <v>1927</v>
      </c>
      <c r="B123" s="191" t="s">
        <v>955</v>
      </c>
      <c r="C123" s="191" t="s">
        <v>758</v>
      </c>
      <c r="D123" s="208">
        <v>7027</v>
      </c>
      <c r="E123" s="208">
        <v>7466</v>
      </c>
    </row>
    <row r="124" spans="1:5" x14ac:dyDescent="0.2">
      <c r="A124" s="207" t="s">
        <v>1928</v>
      </c>
      <c r="B124" s="191" t="s">
        <v>956</v>
      </c>
      <c r="C124" s="191" t="s">
        <v>810</v>
      </c>
      <c r="D124" s="208">
        <v>17893</v>
      </c>
      <c r="E124" s="208">
        <v>19279</v>
      </c>
    </row>
    <row r="125" spans="1:5" x14ac:dyDescent="0.2">
      <c r="A125" s="207" t="s">
        <v>1929</v>
      </c>
      <c r="B125" s="191" t="s">
        <v>958</v>
      </c>
      <c r="C125" s="191" t="s">
        <v>759</v>
      </c>
      <c r="D125" s="208">
        <v>68519</v>
      </c>
      <c r="E125" s="208">
        <v>64806</v>
      </c>
    </row>
    <row r="126" spans="1:5" x14ac:dyDescent="0.2">
      <c r="A126" s="207" t="s">
        <v>1930</v>
      </c>
      <c r="B126" s="191" t="s">
        <v>891</v>
      </c>
      <c r="C126" s="191" t="s">
        <v>808</v>
      </c>
      <c r="D126" s="208">
        <v>18952</v>
      </c>
      <c r="E126" s="208">
        <v>18341</v>
      </c>
    </row>
    <row r="127" spans="1:5" x14ac:dyDescent="0.2">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x14ac:dyDescent="0.25">
      <c r="A2">
        <f>FU!B6</f>
        <v>707100</v>
      </c>
      <c r="B2" t="str">
        <f>FU!F6</f>
        <v>San Cristóbal de la Barranca</v>
      </c>
      <c r="C2" t="str">
        <f>FU!B9</f>
        <v>Municipal</v>
      </c>
      <c r="D2" t="str">
        <f>FU!I9</f>
        <v>Sí</v>
      </c>
      <c r="E2" t="str">
        <f>FU!L9</f>
        <v>Gobierno</v>
      </c>
      <c r="F2" t="str">
        <f>FU!R9</f>
        <v>Ejecutivo</v>
      </c>
      <c r="G2" t="str">
        <f>FU!X9</f>
        <v>Dependencia</v>
      </c>
      <c r="H2">
        <f>FU!B11</f>
        <v>3117</v>
      </c>
      <c r="I2">
        <f>FU!I11</f>
        <v>2924</v>
      </c>
      <c r="J2" t="str">
        <f>FU!P11</f>
        <v>Centro</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79111403</v>
      </c>
      <c r="CC2" t="e">
        <f>FU!AB80</f>
        <v>#DIV/0!</v>
      </c>
      <c r="CD2">
        <f>FU!AD80</f>
        <v>0</v>
      </c>
      <c r="CE2">
        <f>FU!U84</f>
        <v>2</v>
      </c>
      <c r="CF2">
        <f>FU!W85</f>
        <v>61576905</v>
      </c>
      <c r="CG2">
        <f>FU!W87</f>
        <v>0</v>
      </c>
      <c r="CH2" t="e">
        <f>FU!AB84</f>
        <v>#DIV/0!</v>
      </c>
      <c r="CI2">
        <f>FU!AD84</f>
        <v>0</v>
      </c>
      <c r="CJ2">
        <f>FU!U88</f>
        <v>2</v>
      </c>
      <c r="CK2">
        <f>FU!W89</f>
        <v>7572710</v>
      </c>
      <c r="CL2">
        <f>FU!W91</f>
        <v>0</v>
      </c>
      <c r="CM2" t="e">
        <f>FU!AB88</f>
        <v>#DIV/0!</v>
      </c>
      <c r="CN2">
        <f>FU!AD88</f>
        <v>0</v>
      </c>
      <c r="CO2">
        <f>FU!U92</f>
        <v>0</v>
      </c>
      <c r="CP2" t="str">
        <f>FU!W92</f>
        <v>N/A</v>
      </c>
      <c r="CQ2" t="str">
        <f>FU!AB92</f>
        <v>N/A</v>
      </c>
      <c r="CR2">
        <f>FU!AD92</f>
        <v>0</v>
      </c>
      <c r="CS2">
        <f>FU!U96</f>
        <v>2</v>
      </c>
      <c r="CT2">
        <f>FU!U97</f>
        <v>1</v>
      </c>
      <c r="CU2" t="e">
        <f>FU!U98</f>
        <v>#DIV/0!</v>
      </c>
      <c r="CV2">
        <f>FU!X96</f>
        <v>99801298</v>
      </c>
      <c r="CW2">
        <f>FU!X97</f>
        <v>0</v>
      </c>
      <c r="CX2">
        <f>FU!X98</f>
        <v>0</v>
      </c>
      <c r="CY2">
        <f>FU!AB96</f>
        <v>0.26152860669150302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66538693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99801298</v>
      </c>
      <c r="ED2">
        <f>FU!X120</f>
        <v>0</v>
      </c>
      <c r="EE2">
        <f>FU!X121</f>
        <v>0</v>
      </c>
      <c r="EF2">
        <f>FU!AB119</f>
        <v>0.26152860669150302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1</v>
      </c>
      <c r="FE2" t="str">
        <f>FU!W137</f>
        <v>N/A</v>
      </c>
      <c r="FF2" t="str">
        <f>FU!AB137</f>
        <v>N/A</v>
      </c>
      <c r="FG2">
        <f>FU!AD137</f>
        <v>0</v>
      </c>
      <c r="FH2">
        <f>FU!U140</f>
        <v>1</v>
      </c>
      <c r="FI2">
        <f>FU!W141</f>
        <v>79111403</v>
      </c>
      <c r="FJ2">
        <f>FU!W143</f>
        <v>79111403</v>
      </c>
      <c r="FK2" s="239">
        <f>FU!AB140</f>
        <v>0</v>
      </c>
      <c r="FL2">
        <f>FU!AD140</f>
        <v>0</v>
      </c>
      <c r="FM2">
        <f>FU!U144</f>
        <v>1</v>
      </c>
      <c r="FN2">
        <f>FU!W145</f>
        <v>79111403</v>
      </c>
      <c r="FO2">
        <f>FU!W147</f>
        <v>0</v>
      </c>
      <c r="FP2">
        <f>FU!AB144</f>
        <v>0</v>
      </c>
      <c r="FQ2">
        <f>FU!AD144</f>
        <v>0</v>
      </c>
      <c r="FR2" t="e">
        <f>FU!U148</f>
        <v>#DIV/0!</v>
      </c>
      <c r="FS2">
        <f>FU!W149</f>
        <v>0</v>
      </c>
      <c r="FT2">
        <f>FU!W151</f>
        <v>30899099</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299">
        <f>FU!V184</f>
        <v>0</v>
      </c>
      <c r="HD2">
        <f>FU!AB184</f>
        <v>79111403</v>
      </c>
      <c r="HE2" t="e">
        <f>FU!AH184</f>
        <v>#DIV/0!</v>
      </c>
      <c r="HF2">
        <f>FU!AB186</f>
        <v>27055.883378932969</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'CRI-M'!P7</f>
        <v>2123964</v>
      </c>
    </row>
    <row r="5" spans="1:221" x14ac:dyDescent="0.25">
      <c r="A5">
        <v>1100</v>
      </c>
      <c r="B5" t="s">
        <v>509</v>
      </c>
      <c r="D5" s="109">
        <f>'CRI-M'!P8</f>
        <v>4000</v>
      </c>
    </row>
    <row r="6" spans="1:221" x14ac:dyDescent="0.25">
      <c r="A6">
        <v>1101</v>
      </c>
      <c r="B6" t="s">
        <v>432</v>
      </c>
      <c r="C6">
        <v>11</v>
      </c>
      <c r="D6" s="109">
        <f>'CRI-M'!P9</f>
        <v>4000</v>
      </c>
    </row>
    <row r="7" spans="1:221" x14ac:dyDescent="0.25">
      <c r="A7">
        <v>1200</v>
      </c>
      <c r="B7" t="s">
        <v>510</v>
      </c>
      <c r="D7" s="109">
        <f>'CRI-M'!P10</f>
        <v>2059124</v>
      </c>
    </row>
    <row r="8" spans="1:221" x14ac:dyDescent="0.25">
      <c r="A8">
        <v>1201</v>
      </c>
      <c r="B8" t="s">
        <v>433</v>
      </c>
      <c r="C8">
        <v>11</v>
      </c>
      <c r="D8" s="109">
        <f>'CRI-M'!P11</f>
        <v>1599324</v>
      </c>
    </row>
    <row r="9" spans="1:221" x14ac:dyDescent="0.25">
      <c r="A9">
        <v>1202</v>
      </c>
      <c r="B9" t="s">
        <v>511</v>
      </c>
      <c r="C9">
        <v>11</v>
      </c>
      <c r="D9" s="109">
        <f>'CRI-M'!P12</f>
        <v>455800</v>
      </c>
    </row>
    <row r="10" spans="1:221" x14ac:dyDescent="0.25">
      <c r="A10">
        <v>1203</v>
      </c>
      <c r="B10" t="s">
        <v>434</v>
      </c>
      <c r="C10">
        <v>11</v>
      </c>
      <c r="D10" s="109">
        <f>'CRI-M'!P13</f>
        <v>4000</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46340</v>
      </c>
    </row>
    <row r="16" spans="1:221" x14ac:dyDescent="0.25">
      <c r="A16">
        <v>1701</v>
      </c>
      <c r="B16" t="s">
        <v>435</v>
      </c>
      <c r="C16">
        <v>11</v>
      </c>
      <c r="D16" s="109">
        <f>'CRI-M'!P19</f>
        <v>14550</v>
      </c>
    </row>
    <row r="17" spans="1:4" x14ac:dyDescent="0.25">
      <c r="A17">
        <v>1702</v>
      </c>
      <c r="B17" t="s">
        <v>517</v>
      </c>
      <c r="C17">
        <v>11</v>
      </c>
      <c r="D17" s="109">
        <f>'CRI-M'!P20</f>
        <v>0</v>
      </c>
    </row>
    <row r="18" spans="1:4" x14ac:dyDescent="0.25">
      <c r="A18">
        <v>1703</v>
      </c>
      <c r="B18" t="s">
        <v>436</v>
      </c>
      <c r="C18">
        <v>11</v>
      </c>
      <c r="D18" s="109">
        <f>'CRI-M'!P21</f>
        <v>15345</v>
      </c>
    </row>
    <row r="19" spans="1:4" x14ac:dyDescent="0.25">
      <c r="A19">
        <v>1704</v>
      </c>
      <c r="B19" t="s">
        <v>518</v>
      </c>
      <c r="C19">
        <v>11</v>
      </c>
      <c r="D19" s="109">
        <f>'CRI-M'!P22</f>
        <v>16445</v>
      </c>
    </row>
    <row r="20" spans="1:4" x14ac:dyDescent="0.25">
      <c r="A20">
        <v>1709</v>
      </c>
      <c r="B20" t="s">
        <v>437</v>
      </c>
      <c r="C20">
        <v>11</v>
      </c>
      <c r="D20" s="109">
        <f>'CRI-M'!P23</f>
        <v>0</v>
      </c>
    </row>
    <row r="21" spans="1:4" x14ac:dyDescent="0.25">
      <c r="A21">
        <v>1800</v>
      </c>
      <c r="B21" t="s">
        <v>519</v>
      </c>
      <c r="D21" s="109">
        <f>'CRI-M'!P24</f>
        <v>14500</v>
      </c>
    </row>
    <row r="22" spans="1:4" x14ac:dyDescent="0.25">
      <c r="A22">
        <v>1801</v>
      </c>
      <c r="B22" t="s">
        <v>519</v>
      </c>
      <c r="C22">
        <v>11</v>
      </c>
      <c r="D22" s="109">
        <f>'CRI-M'!P25</f>
        <v>14500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0</v>
      </c>
    </row>
    <row r="30" spans="1:4" x14ac:dyDescent="0.25">
      <c r="A30">
        <v>3100</v>
      </c>
      <c r="B30" t="s">
        <v>525</v>
      </c>
      <c r="D30" s="109">
        <f>'CRI-M'!P35</f>
        <v>0</v>
      </c>
    </row>
    <row r="31" spans="1:4" x14ac:dyDescent="0.25">
      <c r="A31">
        <v>3101</v>
      </c>
      <c r="B31" t="s">
        <v>525</v>
      </c>
      <c r="C31">
        <v>11</v>
      </c>
      <c r="D31" s="109">
        <f>'CRI-M'!P36</f>
        <v>0</v>
      </c>
    </row>
    <row r="32" spans="1:4" x14ac:dyDescent="0.25">
      <c r="A32">
        <v>4000</v>
      </c>
      <c r="B32" t="s">
        <v>440</v>
      </c>
      <c r="D32" s="109">
        <f>'CRI-M'!P39</f>
        <v>2569480</v>
      </c>
    </row>
    <row r="33" spans="1:4" x14ac:dyDescent="0.25">
      <c r="A33">
        <v>4100</v>
      </c>
      <c r="B33" t="s">
        <v>526</v>
      </c>
      <c r="D33" s="109">
        <f>'CRI-M'!P40</f>
        <v>1257000</v>
      </c>
    </row>
    <row r="34" spans="1:4" x14ac:dyDescent="0.25">
      <c r="A34">
        <v>4101</v>
      </c>
      <c r="B34" t="s">
        <v>527</v>
      </c>
      <c r="C34">
        <v>11</v>
      </c>
      <c r="D34" s="109">
        <f>'CRI-M'!P41</f>
        <v>18500</v>
      </c>
    </row>
    <row r="35" spans="1:4" x14ac:dyDescent="0.25">
      <c r="A35">
        <v>4102</v>
      </c>
      <c r="B35" t="s">
        <v>528</v>
      </c>
      <c r="C35">
        <v>11</v>
      </c>
      <c r="D35" s="109">
        <f>'CRI-M'!P42</f>
        <v>0</v>
      </c>
    </row>
    <row r="36" spans="1:4" x14ac:dyDescent="0.25">
      <c r="A36">
        <v>4103</v>
      </c>
      <c r="B36" t="s">
        <v>529</v>
      </c>
      <c r="C36">
        <v>11</v>
      </c>
      <c r="D36" s="109">
        <f>'CRI-M'!P43</f>
        <v>850000</v>
      </c>
    </row>
    <row r="37" spans="1:4" x14ac:dyDescent="0.25">
      <c r="A37">
        <v>4104</v>
      </c>
      <c r="B37" t="s">
        <v>530</v>
      </c>
      <c r="C37">
        <v>11</v>
      </c>
      <c r="D37" s="109">
        <f>'CRI-M'!P44</f>
        <v>388500</v>
      </c>
    </row>
    <row r="38" spans="1:4" x14ac:dyDescent="0.25">
      <c r="A38">
        <v>4200</v>
      </c>
      <c r="B38" t="s">
        <v>531</v>
      </c>
      <c r="D38" s="109">
        <f>'CRI-M'!P45</f>
        <v>0</v>
      </c>
    </row>
    <row r="39" spans="1:4" x14ac:dyDescent="0.25">
      <c r="A39">
        <v>4300</v>
      </c>
      <c r="B39" t="s">
        <v>532</v>
      </c>
      <c r="D39" s="109">
        <f>'CRI-M'!P46</f>
        <v>1270080</v>
      </c>
    </row>
    <row r="40" spans="1:4" x14ac:dyDescent="0.25">
      <c r="A40">
        <v>4301</v>
      </c>
      <c r="B40" t="s">
        <v>533</v>
      </c>
      <c r="C40">
        <v>11</v>
      </c>
      <c r="D40" s="109">
        <f>'CRI-M'!P47</f>
        <v>143200</v>
      </c>
    </row>
    <row r="41" spans="1:4" x14ac:dyDescent="0.25">
      <c r="A41">
        <v>4302</v>
      </c>
      <c r="B41" t="s">
        <v>534</v>
      </c>
      <c r="C41">
        <v>11</v>
      </c>
      <c r="D41" s="109">
        <f>'CRI-M'!P48</f>
        <v>20420</v>
      </c>
    </row>
    <row r="42" spans="1:4" x14ac:dyDescent="0.25">
      <c r="A42">
        <v>4303</v>
      </c>
      <c r="B42" t="s">
        <v>535</v>
      </c>
      <c r="C42">
        <v>11</v>
      </c>
      <c r="D42" s="109">
        <f>'CRI-M'!P49</f>
        <v>19800</v>
      </c>
    </row>
    <row r="43" spans="1:4" x14ac:dyDescent="0.25">
      <c r="A43">
        <v>4304</v>
      </c>
      <c r="B43" t="s">
        <v>536</v>
      </c>
      <c r="C43">
        <v>11</v>
      </c>
      <c r="D43" s="109">
        <f>'CRI-M'!P50</f>
        <v>0</v>
      </c>
    </row>
    <row r="44" spans="1:4" x14ac:dyDescent="0.25">
      <c r="A44">
        <v>4305</v>
      </c>
      <c r="B44" t="s">
        <v>537</v>
      </c>
      <c r="C44">
        <v>11</v>
      </c>
      <c r="D44" s="109">
        <f>'CRI-M'!P51</f>
        <v>3450</v>
      </c>
    </row>
    <row r="45" spans="1:4" x14ac:dyDescent="0.25">
      <c r="A45">
        <v>4306</v>
      </c>
      <c r="B45" t="s">
        <v>538</v>
      </c>
      <c r="C45">
        <v>11</v>
      </c>
      <c r="D45" s="109">
        <f>'CRI-M'!P52</f>
        <v>1500</v>
      </c>
    </row>
    <row r="46" spans="1:4" x14ac:dyDescent="0.25">
      <c r="A46">
        <v>4307</v>
      </c>
      <c r="B46" t="s">
        <v>539</v>
      </c>
      <c r="C46">
        <v>11</v>
      </c>
      <c r="D46" s="109">
        <f>'CRI-M'!P53</f>
        <v>1400</v>
      </c>
    </row>
    <row r="47" spans="1:4" x14ac:dyDescent="0.25">
      <c r="A47">
        <v>4308</v>
      </c>
      <c r="B47" t="s">
        <v>540</v>
      </c>
      <c r="C47">
        <v>11</v>
      </c>
      <c r="D47" s="109">
        <f>'CRI-M'!P54</f>
        <v>9000</v>
      </c>
    </row>
    <row r="48" spans="1:4" x14ac:dyDescent="0.25">
      <c r="A48">
        <v>4309</v>
      </c>
      <c r="B48" t="s">
        <v>541</v>
      </c>
      <c r="C48">
        <v>11</v>
      </c>
      <c r="D48" s="109">
        <f>'CRI-M'!P55</f>
        <v>20500</v>
      </c>
    </row>
    <row r="49" spans="1:4" x14ac:dyDescent="0.25">
      <c r="A49">
        <v>4310</v>
      </c>
      <c r="B49" t="s">
        <v>542</v>
      </c>
      <c r="C49">
        <v>11</v>
      </c>
      <c r="D49" s="109">
        <f>'CRI-M'!P56</f>
        <v>346450</v>
      </c>
    </row>
    <row r="50" spans="1:4" x14ac:dyDescent="0.25">
      <c r="A50">
        <v>4311</v>
      </c>
      <c r="B50" t="s">
        <v>543</v>
      </c>
      <c r="C50">
        <v>11</v>
      </c>
      <c r="D50" s="109">
        <f>'CRI-M'!P57</f>
        <v>491000</v>
      </c>
    </row>
    <row r="51" spans="1:4" x14ac:dyDescent="0.25">
      <c r="A51">
        <v>4312</v>
      </c>
      <c r="B51" t="s">
        <v>544</v>
      </c>
      <c r="C51">
        <v>11</v>
      </c>
      <c r="D51" s="109">
        <f>'CRI-M'!P58</f>
        <v>19500</v>
      </c>
    </row>
    <row r="52" spans="1:4" x14ac:dyDescent="0.25">
      <c r="A52">
        <v>4313</v>
      </c>
      <c r="B52" t="s">
        <v>545</v>
      </c>
      <c r="C52">
        <v>11</v>
      </c>
      <c r="D52" s="109">
        <f>'CRI-M'!P59</f>
        <v>144940</v>
      </c>
    </row>
    <row r="53" spans="1:4" x14ac:dyDescent="0.25">
      <c r="A53">
        <v>4314</v>
      </c>
      <c r="B53" t="s">
        <v>546</v>
      </c>
      <c r="C53">
        <v>11</v>
      </c>
      <c r="D53" s="109">
        <f>'CRI-M'!P60</f>
        <v>48920</v>
      </c>
    </row>
    <row r="54" spans="1:4" x14ac:dyDescent="0.25">
      <c r="A54">
        <v>4400</v>
      </c>
      <c r="B54" t="s">
        <v>547</v>
      </c>
      <c r="D54" s="109">
        <f>'CRI-M'!P61</f>
        <v>33050</v>
      </c>
    </row>
    <row r="55" spans="1:4" x14ac:dyDescent="0.25">
      <c r="A55">
        <v>4401</v>
      </c>
      <c r="B55" t="s">
        <v>547</v>
      </c>
      <c r="C55">
        <v>11</v>
      </c>
      <c r="D55" s="109">
        <f>'CRI-M'!P62</f>
        <v>33050</v>
      </c>
    </row>
    <row r="56" spans="1:4" x14ac:dyDescent="0.25">
      <c r="A56">
        <v>4500</v>
      </c>
      <c r="B56" t="s">
        <v>548</v>
      </c>
      <c r="D56" s="109">
        <f>'CRI-M'!P63</f>
        <v>9350</v>
      </c>
    </row>
    <row r="57" spans="1:4" x14ac:dyDescent="0.25">
      <c r="A57">
        <v>4501</v>
      </c>
      <c r="B57" t="s">
        <v>435</v>
      </c>
      <c r="C57">
        <v>11</v>
      </c>
      <c r="D57" s="109">
        <f>'CRI-M'!P64</f>
        <v>9350</v>
      </c>
    </row>
    <row r="58" spans="1:4" x14ac:dyDescent="0.25">
      <c r="A58">
        <v>4502</v>
      </c>
      <c r="B58" t="s">
        <v>517</v>
      </c>
      <c r="C58">
        <v>11</v>
      </c>
      <c r="D58" s="109">
        <f>'CRI-M'!P65</f>
        <v>0</v>
      </c>
    </row>
    <row r="59" spans="1:4" x14ac:dyDescent="0.25">
      <c r="A59">
        <v>4503</v>
      </c>
      <c r="B59" t="s">
        <v>436</v>
      </c>
      <c r="C59">
        <v>11</v>
      </c>
      <c r="D59" s="109">
        <f>'CRI-M'!P66</f>
        <v>0</v>
      </c>
    </row>
    <row r="60" spans="1:4" x14ac:dyDescent="0.25">
      <c r="A60">
        <v>4504</v>
      </c>
      <c r="B60" t="s">
        <v>518</v>
      </c>
      <c r="C60">
        <v>11</v>
      </c>
      <c r="D60" s="109">
        <f>'CRI-M'!P67</f>
        <v>0</v>
      </c>
    </row>
    <row r="61" spans="1:4" x14ac:dyDescent="0.25">
      <c r="A61">
        <v>4509</v>
      </c>
      <c r="B61" t="s">
        <v>437</v>
      </c>
      <c r="C61">
        <v>11</v>
      </c>
      <c r="D61" s="109">
        <f>'CRI-M'!P68</f>
        <v>0</v>
      </c>
    </row>
    <row r="62" spans="1:4" x14ac:dyDescent="0.25">
      <c r="A62">
        <v>5000</v>
      </c>
      <c r="B62" t="s">
        <v>441</v>
      </c>
      <c r="D62" s="109">
        <f>'CRI-M'!P71</f>
        <v>238590</v>
      </c>
    </row>
    <row r="63" spans="1:4" x14ac:dyDescent="0.25">
      <c r="A63">
        <v>5100</v>
      </c>
      <c r="B63" t="s">
        <v>501</v>
      </c>
      <c r="D63" s="109">
        <f>'CRI-M'!P72</f>
        <v>238590</v>
      </c>
    </row>
    <row r="64" spans="1:4" x14ac:dyDescent="0.25">
      <c r="A64">
        <v>5101</v>
      </c>
      <c r="B64" t="s">
        <v>549</v>
      </c>
      <c r="C64">
        <v>11</v>
      </c>
      <c r="D64" s="109">
        <f>'CRI-M'!P73</f>
        <v>0</v>
      </c>
    </row>
    <row r="65" spans="1:4" x14ac:dyDescent="0.25">
      <c r="A65">
        <v>5102</v>
      </c>
      <c r="B65" t="s">
        <v>442</v>
      </c>
      <c r="C65">
        <v>11</v>
      </c>
      <c r="D65" s="109">
        <f>'CRI-M'!P74</f>
        <v>238590</v>
      </c>
    </row>
    <row r="66" spans="1:4" x14ac:dyDescent="0.25">
      <c r="A66">
        <v>5200</v>
      </c>
      <c r="B66" t="s">
        <v>550</v>
      </c>
      <c r="D66" s="109">
        <f>'CRI-M'!P75</f>
        <v>0</v>
      </c>
    </row>
    <row r="67" spans="1:4" x14ac:dyDescent="0.25">
      <c r="A67">
        <v>6000</v>
      </c>
      <c r="B67" t="s">
        <v>443</v>
      </c>
      <c r="D67" s="109">
        <f>'CRI-M'!P78</f>
        <v>3500</v>
      </c>
    </row>
    <row r="68" spans="1:4" x14ac:dyDescent="0.25">
      <c r="A68">
        <v>6100</v>
      </c>
      <c r="B68" t="s">
        <v>502</v>
      </c>
      <c r="D68" s="109">
        <f>'CRI-M'!P79</f>
        <v>3500</v>
      </c>
    </row>
    <row r="69" spans="1:4" x14ac:dyDescent="0.25">
      <c r="A69">
        <v>6101</v>
      </c>
      <c r="B69" t="s">
        <v>551</v>
      </c>
      <c r="C69">
        <v>11</v>
      </c>
      <c r="D69" s="109">
        <f>'CRI-M'!P80</f>
        <v>3500</v>
      </c>
    </row>
    <row r="70" spans="1:4" x14ac:dyDescent="0.25">
      <c r="A70">
        <v>6102</v>
      </c>
      <c r="B70" t="s">
        <v>552</v>
      </c>
      <c r="C70">
        <v>11</v>
      </c>
      <c r="D70" s="109">
        <f>'CRI-M'!P81</f>
        <v>0</v>
      </c>
    </row>
    <row r="71" spans="1:4" x14ac:dyDescent="0.25">
      <c r="A71">
        <v>6103</v>
      </c>
      <c r="B71" t="s">
        <v>553</v>
      </c>
      <c r="C71">
        <v>11</v>
      </c>
      <c r="D71" s="109">
        <f>'CRI-M'!P82</f>
        <v>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0</v>
      </c>
    </row>
    <row r="86" spans="1:4" x14ac:dyDescent="0.25">
      <c r="A86">
        <v>7301</v>
      </c>
      <c r="B86" t="s">
        <v>560</v>
      </c>
      <c r="C86">
        <v>14</v>
      </c>
      <c r="D86" s="109">
        <f>'CRI-M'!P99</f>
        <v>0</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0</v>
      </c>
    </row>
    <row r="94" spans="1:4" x14ac:dyDescent="0.25">
      <c r="A94">
        <v>7901</v>
      </c>
      <c r="B94" t="s">
        <v>566</v>
      </c>
      <c r="C94">
        <v>14</v>
      </c>
      <c r="D94" s="109">
        <f>'CRI-M'!P107</f>
        <v>0</v>
      </c>
    </row>
    <row r="95" spans="1:4" x14ac:dyDescent="0.25">
      <c r="A95">
        <v>8000</v>
      </c>
      <c r="B95" t="s">
        <v>567</v>
      </c>
      <c r="D95" s="109">
        <f>'CRI-M'!P108</f>
        <v>74175869</v>
      </c>
    </row>
    <row r="96" spans="1:4" x14ac:dyDescent="0.25">
      <c r="A96">
        <v>8100</v>
      </c>
      <c r="B96" t="s">
        <v>568</v>
      </c>
      <c r="D96" s="109">
        <f>'CRI-M'!P109</f>
        <v>60697494</v>
      </c>
    </row>
    <row r="97" spans="1:4" x14ac:dyDescent="0.25">
      <c r="A97">
        <v>8101</v>
      </c>
      <c r="B97" t="s">
        <v>569</v>
      </c>
      <c r="C97">
        <v>15</v>
      </c>
      <c r="D97" s="109">
        <f>'CRI-M'!P110</f>
        <v>29482950</v>
      </c>
    </row>
    <row r="98" spans="1:4" x14ac:dyDescent="0.25">
      <c r="A98">
        <v>8102</v>
      </c>
      <c r="B98" t="s">
        <v>570</v>
      </c>
      <c r="C98">
        <v>15</v>
      </c>
      <c r="D98" s="109">
        <f>'CRI-M'!P111</f>
        <v>26552044</v>
      </c>
    </row>
    <row r="99" spans="1:4" x14ac:dyDescent="0.25">
      <c r="A99">
        <v>8103</v>
      </c>
      <c r="B99" t="s">
        <v>571</v>
      </c>
      <c r="C99">
        <v>15</v>
      </c>
      <c r="D99" s="109">
        <f>'CRI-M'!P112</f>
        <v>269507</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727800</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1228095</v>
      </c>
    </row>
    <row r="106" spans="1:4" x14ac:dyDescent="0.25">
      <c r="A106">
        <v>8110</v>
      </c>
      <c r="B106" t="s">
        <v>578</v>
      </c>
      <c r="C106">
        <v>15</v>
      </c>
      <c r="D106" s="109">
        <f>'CRI-M'!P119</f>
        <v>2410844</v>
      </c>
    </row>
    <row r="107" spans="1:4" x14ac:dyDescent="0.25">
      <c r="A107">
        <v>8111</v>
      </c>
      <c r="B107" t="s">
        <v>579</v>
      </c>
      <c r="C107">
        <v>15</v>
      </c>
      <c r="D107" s="109">
        <f>'CRI-M'!P120</f>
        <v>0</v>
      </c>
    </row>
    <row r="108" spans="1:4" x14ac:dyDescent="0.25">
      <c r="A108">
        <v>8112</v>
      </c>
      <c r="B108" t="s">
        <v>580</v>
      </c>
      <c r="C108">
        <v>16</v>
      </c>
      <c r="D108" s="109">
        <f>'CRI-M'!P121</f>
        <v>26254</v>
      </c>
    </row>
    <row r="109" spans="1:4" x14ac:dyDescent="0.25">
      <c r="A109">
        <v>8200</v>
      </c>
      <c r="B109" t="s">
        <v>581</v>
      </c>
      <c r="D109" s="109">
        <f>'CRI-M'!P122</f>
        <v>7572710</v>
      </c>
    </row>
    <row r="110" spans="1:4" x14ac:dyDescent="0.25">
      <c r="A110">
        <v>8201</v>
      </c>
      <c r="B110" t="s">
        <v>582</v>
      </c>
      <c r="C110">
        <v>25</v>
      </c>
      <c r="D110" s="109">
        <f>'CRI-M'!P123</f>
        <v>4803977</v>
      </c>
    </row>
    <row r="111" spans="1:4" x14ac:dyDescent="0.25">
      <c r="A111">
        <v>8202</v>
      </c>
      <c r="B111" t="s">
        <v>583</v>
      </c>
      <c r="C111">
        <v>25</v>
      </c>
      <c r="D111" s="109">
        <f>'CRI-M'!P124</f>
        <v>2768733</v>
      </c>
    </row>
    <row r="112" spans="1:4" x14ac:dyDescent="0.25">
      <c r="A112">
        <v>8300</v>
      </c>
      <c r="B112" t="s">
        <v>584</v>
      </c>
      <c r="D112" s="109">
        <f>'CRI-M'!P125</f>
        <v>5000000</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5000000</v>
      </c>
    </row>
    <row r="119" spans="1:4" x14ac:dyDescent="0.25">
      <c r="A119">
        <v>8400</v>
      </c>
      <c r="B119" t="s">
        <v>444</v>
      </c>
      <c r="D119" s="109">
        <f>'CRI-M'!P132</f>
        <v>905665</v>
      </c>
    </row>
    <row r="120" spans="1:4" x14ac:dyDescent="0.25">
      <c r="A120">
        <v>8401</v>
      </c>
      <c r="B120" t="s">
        <v>588</v>
      </c>
      <c r="C120">
        <v>15</v>
      </c>
      <c r="D120" s="109">
        <f>'CRI-M'!P133</f>
        <v>11</v>
      </c>
    </row>
    <row r="121" spans="1:4" x14ac:dyDescent="0.25">
      <c r="A121">
        <v>8402</v>
      </c>
      <c r="B121" t="s">
        <v>589</v>
      </c>
      <c r="C121">
        <v>15</v>
      </c>
      <c r="D121" s="109">
        <f>'CRI-M'!P134</f>
        <v>114936</v>
      </c>
    </row>
    <row r="122" spans="1:4" x14ac:dyDescent="0.25">
      <c r="A122">
        <v>8403</v>
      </c>
      <c r="B122" t="s">
        <v>590</v>
      </c>
      <c r="C122">
        <v>15</v>
      </c>
      <c r="D122" s="109">
        <f>'CRI-M'!P135</f>
        <v>790718</v>
      </c>
    </row>
    <row r="123" spans="1:4" x14ac:dyDescent="0.25">
      <c r="A123">
        <v>8404</v>
      </c>
      <c r="B123" t="s">
        <v>591</v>
      </c>
      <c r="C123">
        <v>15</v>
      </c>
      <c r="D123" s="109">
        <f>'CRI-M'!P136</f>
        <v>0</v>
      </c>
    </row>
    <row r="124" spans="1:4" x14ac:dyDescent="0.25">
      <c r="A124">
        <v>8405</v>
      </c>
      <c r="B124" t="s">
        <v>592</v>
      </c>
      <c r="C124">
        <v>15</v>
      </c>
      <c r="D124" s="109">
        <f>'CRI-M'!P137</f>
        <v>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0</v>
      </c>
    </row>
    <row r="129" spans="1:4" x14ac:dyDescent="0.25">
      <c r="A129">
        <v>9100</v>
      </c>
      <c r="B129" t="s">
        <v>597</v>
      </c>
      <c r="D129" s="109">
        <f>'CRI-M'!P142</f>
        <v>0</v>
      </c>
    </row>
    <row r="130" spans="1:4" x14ac:dyDescent="0.25">
      <c r="A130">
        <v>9101</v>
      </c>
      <c r="B130" t="s">
        <v>614</v>
      </c>
      <c r="C130">
        <v>17</v>
      </c>
      <c r="D130" s="109">
        <f>'CRI-M'!P143</f>
        <v>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79111403</v>
      </c>
    </row>
    <row r="150" spans="1:4" x14ac:dyDescent="0.25">
      <c r="B150" t="s">
        <v>1542</v>
      </c>
      <c r="D150" s="109">
        <f>'CRI-M'!P163</f>
        <v>0</v>
      </c>
    </row>
    <row r="151" spans="1:4" x14ac:dyDescent="0.25">
      <c r="B151" t="s">
        <v>1543</v>
      </c>
      <c r="D151" s="109">
        <f>'CRI-M'!P164</f>
        <v>0</v>
      </c>
    </row>
    <row r="152" spans="1:4" x14ac:dyDescent="0.25">
      <c r="B152" t="s">
        <v>1544</v>
      </c>
      <c r="D152" s="109">
        <f>'CRI-M'!P165</f>
        <v>0</v>
      </c>
    </row>
    <row r="153" spans="1:4" x14ac:dyDescent="0.25">
      <c r="B153" t="s">
        <v>1542</v>
      </c>
      <c r="D153" s="109">
        <f>'CRI-M'!P166</f>
        <v>0</v>
      </c>
    </row>
    <row r="154" spans="1:4" x14ac:dyDescent="0.25">
      <c r="B154" t="s">
        <v>1545</v>
      </c>
      <c r="D154" s="109">
        <f>'CRI-M'!P167</f>
        <v>0</v>
      </c>
    </row>
    <row r="155" spans="1:4" x14ac:dyDescent="0.25">
      <c r="B155" t="s">
        <v>1546</v>
      </c>
      <c r="D155" s="109">
        <f>'CRI-M'!P168</f>
        <v>0</v>
      </c>
    </row>
    <row r="156" spans="1:4" x14ac:dyDescent="0.25">
      <c r="B156" t="s">
        <v>1547</v>
      </c>
      <c r="D156" s="109">
        <f>'CRI-M'!P169</f>
        <v>0</v>
      </c>
    </row>
    <row r="157" spans="1:4" x14ac:dyDescent="0.25">
      <c r="B157" t="s">
        <v>1545</v>
      </c>
      <c r="D157" s="109">
        <f>'CRI-M'!P170</f>
        <v>0</v>
      </c>
    </row>
    <row r="158" spans="1:4" x14ac:dyDescent="0.25">
      <c r="B158" t="s">
        <v>1548</v>
      </c>
      <c r="D158" s="109">
        <f>'CRI-M'!P171</f>
        <v>0</v>
      </c>
    </row>
    <row r="159" spans="1:4" x14ac:dyDescent="0.25">
      <c r="B159" t="s">
        <v>1549</v>
      </c>
      <c r="D159" s="109">
        <f>'CRI-M'!P172</f>
        <v>79111403</v>
      </c>
    </row>
    <row r="160" spans="1:4" x14ac:dyDescent="0.25">
      <c r="A160" t="s">
        <v>504</v>
      </c>
      <c r="D160" s="109">
        <f>'CRI-M'!P162</f>
        <v>79111403</v>
      </c>
    </row>
    <row r="161" spans="1:4" x14ac:dyDescent="0.25">
      <c r="A161">
        <v>1000</v>
      </c>
      <c r="B161" t="s">
        <v>19</v>
      </c>
      <c r="D161" s="109">
        <f>'COG-M'!P7</f>
        <v>30899099</v>
      </c>
    </row>
    <row r="162" spans="1:4" x14ac:dyDescent="0.25">
      <c r="A162">
        <v>1100</v>
      </c>
      <c r="B162" t="s">
        <v>20</v>
      </c>
      <c r="D162" s="109">
        <f>'COG-M'!P8</f>
        <v>23020980</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2507832</v>
      </c>
    </row>
    <row r="168" spans="1:4" x14ac:dyDescent="0.25">
      <c r="C168">
        <v>16</v>
      </c>
      <c r="D168" s="109">
        <f>'COG-M'!P14</f>
        <v>0</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20513148</v>
      </c>
    </row>
    <row r="179" spans="1:4" x14ac:dyDescent="0.25">
      <c r="C179">
        <v>16</v>
      </c>
      <c r="D179" s="109">
        <f>'COG-M'!P25</f>
        <v>0</v>
      </c>
    </row>
    <row r="180" spans="1:4" x14ac:dyDescent="0.25">
      <c r="C180">
        <v>17</v>
      </c>
      <c r="D180" s="109">
        <f>'COG-M'!P26</f>
        <v>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2475553</v>
      </c>
    </row>
    <row r="195" spans="1:4" x14ac:dyDescent="0.25">
      <c r="A195">
        <v>121</v>
      </c>
      <c r="B195" t="s">
        <v>25</v>
      </c>
      <c r="C195">
        <v>11</v>
      </c>
      <c r="D195" s="109">
        <f>'COG-M'!P41</f>
        <v>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648650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1826903</v>
      </c>
    </row>
    <row r="210" spans="1:4" x14ac:dyDescent="0.25">
      <c r="C210">
        <v>16</v>
      </c>
      <c r="D210" s="109">
        <f>'COG-M'!P56</f>
        <v>0</v>
      </c>
    </row>
    <row r="211" spans="1:4" x14ac:dyDescent="0.25">
      <c r="C211">
        <v>17</v>
      </c>
      <c r="D211" s="109">
        <f>'COG-M'!P57</f>
        <v>0</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3997175</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3824236</v>
      </c>
    </row>
    <row r="242" spans="1:4" x14ac:dyDescent="0.25">
      <c r="C242">
        <v>16</v>
      </c>
      <c r="D242" s="109">
        <f>'COG-M'!P88</f>
        <v>0</v>
      </c>
    </row>
    <row r="243" spans="1:4" x14ac:dyDescent="0.25">
      <c r="C243">
        <v>17</v>
      </c>
      <c r="D243" s="109">
        <f>'COG-M'!P89</f>
        <v>0</v>
      </c>
    </row>
    <row r="244" spans="1:4" x14ac:dyDescent="0.25">
      <c r="C244">
        <v>25</v>
      </c>
      <c r="D244" s="109">
        <f>'COG-M'!P90</f>
        <v>0</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172939</v>
      </c>
    </row>
    <row r="252" spans="1:4" x14ac:dyDescent="0.25">
      <c r="C252">
        <v>16</v>
      </c>
      <c r="D252" s="109">
        <f>'COG-M'!P98</f>
        <v>0</v>
      </c>
    </row>
    <row r="253" spans="1:4" x14ac:dyDescent="0.25">
      <c r="C253">
        <v>17</v>
      </c>
      <c r="D253" s="109">
        <f>'COG-M'!P99</f>
        <v>0</v>
      </c>
    </row>
    <row r="254" spans="1:4" x14ac:dyDescent="0.25">
      <c r="C254">
        <v>25</v>
      </c>
      <c r="D254" s="109">
        <f>'COG-M'!P100</f>
        <v>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1405391</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107470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611292</v>
      </c>
    </row>
    <row r="346" spans="1:4" x14ac:dyDescent="0.25">
      <c r="C346">
        <v>16</v>
      </c>
      <c r="D346" s="109">
        <f>'COG-M'!P192</f>
        <v>0</v>
      </c>
    </row>
    <row r="347" spans="1:4" x14ac:dyDescent="0.25">
      <c r="C347">
        <v>17</v>
      </c>
      <c r="D347" s="109">
        <f>'COG-M'!P193</f>
        <v>0</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37895</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596273</v>
      </c>
    </row>
    <row r="386" spans="1:4" x14ac:dyDescent="0.25">
      <c r="C386">
        <v>16</v>
      </c>
      <c r="D386" s="109">
        <f>'COG-M'!P232</f>
        <v>0</v>
      </c>
    </row>
    <row r="387" spans="1:4" x14ac:dyDescent="0.25">
      <c r="C387">
        <v>17</v>
      </c>
      <c r="D387" s="109">
        <f>'COG-M'!P233</f>
        <v>0</v>
      </c>
    </row>
    <row r="388" spans="1:4" x14ac:dyDescent="0.25">
      <c r="C388">
        <v>25</v>
      </c>
      <c r="D388" s="109">
        <f>'COG-M'!P234</f>
        <v>52461</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15956061</v>
      </c>
    </row>
    <row r="424" spans="1:4" x14ac:dyDescent="0.25">
      <c r="A424">
        <v>2100</v>
      </c>
      <c r="B424" t="s">
        <v>56</v>
      </c>
      <c r="D424" s="109">
        <f>'COG-M'!P270</f>
        <v>1374553</v>
      </c>
    </row>
    <row r="425" spans="1:4" x14ac:dyDescent="0.25">
      <c r="A425">
        <v>211</v>
      </c>
      <c r="B425" t="s">
        <v>57</v>
      </c>
      <c r="C425">
        <v>11</v>
      </c>
      <c r="D425" s="109">
        <f>'COG-M'!P271</f>
        <v>159086</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346625</v>
      </c>
    </row>
    <row r="430" spans="1:4" x14ac:dyDescent="0.25">
      <c r="C430">
        <v>16</v>
      </c>
      <c r="D430" s="109">
        <f>'COG-M'!P276</f>
        <v>26254</v>
      </c>
    </row>
    <row r="431" spans="1:4" x14ac:dyDescent="0.25">
      <c r="C431">
        <v>17</v>
      </c>
      <c r="D431" s="109">
        <f>'COG-M'!P277</f>
        <v>0</v>
      </c>
    </row>
    <row r="432" spans="1:4" x14ac:dyDescent="0.25">
      <c r="C432">
        <v>25</v>
      </c>
      <c r="D432" s="109">
        <f>'COG-M'!P278</f>
        <v>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22540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13450</v>
      </c>
    </row>
    <row r="440" spans="1:4" x14ac:dyDescent="0.25">
      <c r="C440">
        <v>16</v>
      </c>
      <c r="D440" s="109">
        <f>'COG-M'!P286</f>
        <v>0</v>
      </c>
    </row>
    <row r="441" spans="1:4" x14ac:dyDescent="0.25">
      <c r="C441">
        <v>17</v>
      </c>
      <c r="D441" s="109">
        <f>'COG-M'!P287</f>
        <v>0</v>
      </c>
    </row>
    <row r="442" spans="1:4" x14ac:dyDescent="0.25">
      <c r="C442">
        <v>25</v>
      </c>
      <c r="D442" s="109">
        <f>'COG-M'!P288</f>
        <v>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42238</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276305</v>
      </c>
    </row>
    <row r="460" spans="1:4" x14ac:dyDescent="0.25">
      <c r="C460">
        <v>16</v>
      </c>
      <c r="D460" s="109">
        <f>'COG-M'!P306</f>
        <v>0</v>
      </c>
    </row>
    <row r="461" spans="1:4" x14ac:dyDescent="0.25">
      <c r="C461">
        <v>17</v>
      </c>
      <c r="D461" s="109">
        <f>'COG-M'!P307</f>
        <v>0</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2562</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2560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116665</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306833</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10158</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49277</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922680</v>
      </c>
    </row>
    <row r="506" spans="1:4" x14ac:dyDescent="0.25">
      <c r="A506">
        <v>221</v>
      </c>
      <c r="B506" t="s">
        <v>66</v>
      </c>
      <c r="C506">
        <v>11</v>
      </c>
      <c r="D506" s="109">
        <f>'COG-M'!P352</f>
        <v>141707</v>
      </c>
    </row>
    <row r="507" spans="1:4" x14ac:dyDescent="0.25">
      <c r="C507">
        <v>12</v>
      </c>
      <c r="D507" s="109">
        <f>'COG-M'!P353</f>
        <v>0</v>
      </c>
    </row>
    <row r="508" spans="1:4" x14ac:dyDescent="0.25">
      <c r="C508">
        <v>13</v>
      </c>
      <c r="D508" s="109">
        <f>'COG-M'!P354</f>
        <v>0</v>
      </c>
    </row>
    <row r="509" spans="1:4" x14ac:dyDescent="0.25">
      <c r="C509">
        <v>14</v>
      </c>
      <c r="D509" s="109">
        <f>'COG-M'!P355</f>
        <v>0</v>
      </c>
    </row>
    <row r="510" spans="1:4" x14ac:dyDescent="0.25">
      <c r="C510">
        <v>15</v>
      </c>
      <c r="D510" s="109">
        <f>'COG-M'!P356</f>
        <v>751975</v>
      </c>
    </row>
    <row r="511" spans="1:4" x14ac:dyDescent="0.25">
      <c r="C511">
        <v>16</v>
      </c>
      <c r="D511" s="109">
        <f>'COG-M'!P357</f>
        <v>0</v>
      </c>
    </row>
    <row r="512" spans="1:4" x14ac:dyDescent="0.25">
      <c r="C512">
        <v>17</v>
      </c>
      <c r="D512" s="109">
        <f>'COG-M'!P358</f>
        <v>0</v>
      </c>
    </row>
    <row r="513" spans="1:4" x14ac:dyDescent="0.25">
      <c r="C513">
        <v>25</v>
      </c>
      <c r="D513" s="109">
        <f>'COG-M'!P359</f>
        <v>0</v>
      </c>
    </row>
    <row r="514" spans="1:4" x14ac:dyDescent="0.25">
      <c r="C514">
        <v>26</v>
      </c>
      <c r="D514" s="109">
        <f>'COG-M'!P360</f>
        <v>0</v>
      </c>
    </row>
    <row r="515" spans="1:4" x14ac:dyDescent="0.25">
      <c r="C515">
        <v>27</v>
      </c>
      <c r="D515" s="109">
        <f>'COG-M'!P361</f>
        <v>0</v>
      </c>
    </row>
    <row r="516" spans="1:4" x14ac:dyDescent="0.25">
      <c r="A516">
        <v>222</v>
      </c>
      <c r="B516" t="s">
        <v>67</v>
      </c>
      <c r="C516">
        <v>11</v>
      </c>
      <c r="D516" s="109">
        <f>'COG-M'!P362</f>
        <v>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19148</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9850</v>
      </c>
    </row>
    <row r="531" spans="1:4" x14ac:dyDescent="0.25">
      <c r="C531">
        <v>16</v>
      </c>
      <c r="D531" s="109">
        <f>'COG-M'!P377</f>
        <v>0</v>
      </c>
    </row>
    <row r="532" spans="1:4" x14ac:dyDescent="0.25">
      <c r="C532">
        <v>17</v>
      </c>
      <c r="D532" s="109">
        <f>'COG-M'!P378</f>
        <v>0</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2263797</v>
      </c>
    </row>
    <row r="547" spans="1:4" x14ac:dyDescent="0.25">
      <c r="A547">
        <v>241</v>
      </c>
      <c r="B547" t="s">
        <v>80</v>
      </c>
      <c r="C547">
        <v>11</v>
      </c>
      <c r="D547" s="109">
        <f>'COG-M'!P393</f>
        <v>27433</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141251</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222699</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286707</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23715</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33448</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4560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5890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2690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1890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166600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331715</v>
      </c>
    </row>
    <row r="602" spans="1:4" x14ac:dyDescent="0.25">
      <c r="C602">
        <v>16</v>
      </c>
      <c r="D602" s="109">
        <f>'COG-M'!P448</f>
        <v>0</v>
      </c>
    </row>
    <row r="603" spans="1:4" x14ac:dyDescent="0.25">
      <c r="C603">
        <v>17</v>
      </c>
      <c r="D603" s="109">
        <f>'COG-M'!P449</f>
        <v>0</v>
      </c>
    </row>
    <row r="604" spans="1:4" x14ac:dyDescent="0.25">
      <c r="C604">
        <v>25</v>
      </c>
      <c r="D604" s="109">
        <f>'COG-M'!P450</f>
        <v>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59738</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280745</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16895</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150695</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507126</v>
      </c>
    </row>
    <row r="632" spans="1:4" x14ac:dyDescent="0.25">
      <c r="C632">
        <v>16</v>
      </c>
      <c r="D632" s="109">
        <f>'COG-M'!P478</f>
        <v>0</v>
      </c>
    </row>
    <row r="633" spans="1:4" x14ac:dyDescent="0.25">
      <c r="C633">
        <v>17</v>
      </c>
      <c r="D633" s="109">
        <f>'COG-M'!P479</f>
        <v>0</v>
      </c>
    </row>
    <row r="634" spans="1:4" x14ac:dyDescent="0.25">
      <c r="C634">
        <v>25</v>
      </c>
      <c r="D634" s="109">
        <f>'COG-M'!P480</f>
        <v>0</v>
      </c>
    </row>
    <row r="635" spans="1:4" x14ac:dyDescent="0.25">
      <c r="C635">
        <v>26</v>
      </c>
      <c r="D635" s="109">
        <f>'COG-M'!P481</f>
        <v>0</v>
      </c>
    </row>
    <row r="636" spans="1:4" x14ac:dyDescent="0.25">
      <c r="C636">
        <v>27</v>
      </c>
      <c r="D636" s="109">
        <f>'COG-M'!P482</f>
        <v>0</v>
      </c>
    </row>
    <row r="637" spans="1:4" x14ac:dyDescent="0.25">
      <c r="A637">
        <v>2500</v>
      </c>
      <c r="B637" t="s">
        <v>89</v>
      </c>
      <c r="D637" s="109">
        <f>'COG-M'!P483</f>
        <v>984353</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17700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54710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86580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542439</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38975</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56312</v>
      </c>
    </row>
    <row r="673" spans="1:4" x14ac:dyDescent="0.25">
      <c r="C673">
        <v>16</v>
      </c>
      <c r="D673" s="109">
        <f>'COG-M'!P519</f>
        <v>0</v>
      </c>
    </row>
    <row r="674" spans="1:4" x14ac:dyDescent="0.25">
      <c r="C674">
        <v>17</v>
      </c>
      <c r="D674" s="109">
        <f>'COG-M'!P520</f>
        <v>0</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21426</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44423</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33544</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88244</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8056545</v>
      </c>
    </row>
    <row r="709" spans="1:4" x14ac:dyDescent="0.25">
      <c r="A709">
        <v>261</v>
      </c>
      <c r="B709" t="s">
        <v>98</v>
      </c>
      <c r="C709">
        <v>11</v>
      </c>
      <c r="D709" s="109">
        <f>'COG-M'!P555</f>
        <v>979111</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5002664</v>
      </c>
    </row>
    <row r="714" spans="1:4" x14ac:dyDescent="0.25">
      <c r="C714">
        <v>16</v>
      </c>
      <c r="D714" s="109">
        <f>'COG-M'!P560</f>
        <v>0</v>
      </c>
    </row>
    <row r="715" spans="1:4" x14ac:dyDescent="0.25">
      <c r="C715">
        <v>17</v>
      </c>
      <c r="D715" s="109">
        <f>'COG-M'!P561</f>
        <v>0</v>
      </c>
    </row>
    <row r="716" spans="1:4" x14ac:dyDescent="0.25">
      <c r="C716">
        <v>25</v>
      </c>
      <c r="D716" s="109">
        <f>'COG-M'!P562</f>
        <v>2074770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487140</v>
      </c>
    </row>
    <row r="730" spans="1:4" x14ac:dyDescent="0.25">
      <c r="A730">
        <v>271</v>
      </c>
      <c r="B730" t="s">
        <v>101</v>
      </c>
      <c r="C730">
        <v>11</v>
      </c>
      <c r="D730" s="109">
        <f>'COG-M'!P576</f>
        <v>15690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164072</v>
      </c>
    </row>
    <row r="735" spans="1:4" x14ac:dyDescent="0.25">
      <c r="C735">
        <v>16</v>
      </c>
      <c r="D735" s="109">
        <f>'COG-M'!P581</f>
        <v>0</v>
      </c>
    </row>
    <row r="736" spans="1:4" x14ac:dyDescent="0.25">
      <c r="C736">
        <v>17</v>
      </c>
      <c r="D736" s="109">
        <f>'COG-M'!P582</f>
        <v>0</v>
      </c>
    </row>
    <row r="737" spans="1:4" x14ac:dyDescent="0.25">
      <c r="C737">
        <v>25</v>
      </c>
      <c r="D737" s="109">
        <f>'COG-M'!P583</f>
        <v>127592</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53192</v>
      </c>
    </row>
    <row r="745" spans="1:4" x14ac:dyDescent="0.25">
      <c r="C745">
        <v>16</v>
      </c>
      <c r="D745" s="109">
        <f>'COG-M'!P591</f>
        <v>0</v>
      </c>
    </row>
    <row r="746" spans="1:4" x14ac:dyDescent="0.25">
      <c r="C746">
        <v>17</v>
      </c>
      <c r="D746" s="109">
        <f>'COG-M'!P592</f>
        <v>0</v>
      </c>
    </row>
    <row r="747" spans="1:4" x14ac:dyDescent="0.25">
      <c r="C747">
        <v>25</v>
      </c>
      <c r="D747" s="109">
        <f>'COG-M'!P593</f>
        <v>46868</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19430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30729</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8885</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20682</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1866993</v>
      </c>
    </row>
    <row r="812" spans="1:4" x14ac:dyDescent="0.25">
      <c r="A812">
        <v>291</v>
      </c>
      <c r="B812" t="s">
        <v>111</v>
      </c>
      <c r="C812">
        <v>11</v>
      </c>
      <c r="D812" s="109">
        <f>'COG-M'!P658</f>
        <v>6259</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26363</v>
      </c>
    </row>
    <row r="817" spans="1:4" x14ac:dyDescent="0.25">
      <c r="C817">
        <v>16</v>
      </c>
      <c r="D817" s="109">
        <f>'COG-M'!P663</f>
        <v>0</v>
      </c>
    </row>
    <row r="818" spans="1:4" x14ac:dyDescent="0.25">
      <c r="C818">
        <v>17</v>
      </c>
      <c r="D818" s="109">
        <f>'COG-M'!P664</f>
        <v>0</v>
      </c>
    </row>
    <row r="819" spans="1:4" x14ac:dyDescent="0.25">
      <c r="C819">
        <v>25</v>
      </c>
      <c r="D819" s="109">
        <f>'COG-M'!P665</f>
        <v>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983</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2096</v>
      </c>
    </row>
    <row r="827" spans="1:4" x14ac:dyDescent="0.25">
      <c r="C827">
        <v>16</v>
      </c>
      <c r="D827" s="109">
        <f>'COG-M'!P673</f>
        <v>0</v>
      </c>
    </row>
    <row r="828" spans="1:4" x14ac:dyDescent="0.25">
      <c r="C828">
        <v>17</v>
      </c>
      <c r="D828" s="109">
        <f>'COG-M'!P674</f>
        <v>0</v>
      </c>
    </row>
    <row r="829" spans="1:4" x14ac:dyDescent="0.25">
      <c r="C829">
        <v>25</v>
      </c>
      <c r="D829" s="109">
        <f>'COG-M'!P675</f>
        <v>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41036</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54190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11108</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20702</v>
      </c>
    </row>
    <row r="847" spans="1:4" x14ac:dyDescent="0.25">
      <c r="C847">
        <v>16</v>
      </c>
      <c r="D847" s="109">
        <f>'COG-M'!P693</f>
        <v>0</v>
      </c>
    </row>
    <row r="848" spans="1:4" x14ac:dyDescent="0.25">
      <c r="C848">
        <v>17</v>
      </c>
      <c r="D848" s="109">
        <f>'COG-M'!P694</f>
        <v>0</v>
      </c>
    </row>
    <row r="849" spans="1:4" x14ac:dyDescent="0.25">
      <c r="C849">
        <v>25</v>
      </c>
      <c r="D849" s="109">
        <f>'COG-M'!P695</f>
        <v>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12256</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191959</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530136</v>
      </c>
    </row>
    <row r="867" spans="1:4" x14ac:dyDescent="0.25">
      <c r="C867">
        <v>16</v>
      </c>
      <c r="D867" s="109">
        <f>'COG-M'!P713</f>
        <v>0</v>
      </c>
    </row>
    <row r="868" spans="1:4" x14ac:dyDescent="0.25">
      <c r="C868">
        <v>17</v>
      </c>
      <c r="D868" s="109">
        <f>'COG-M'!P714</f>
        <v>0</v>
      </c>
    </row>
    <row r="869" spans="1:4" x14ac:dyDescent="0.25">
      <c r="C869">
        <v>25</v>
      </c>
      <c r="D869" s="109">
        <f>'COG-M'!P715</f>
        <v>161640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16856</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12789</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170667</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607953</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12671520</v>
      </c>
    </row>
    <row r="903" spans="1:4" x14ac:dyDescent="0.25">
      <c r="A903">
        <v>3100</v>
      </c>
      <c r="B903" t="s">
        <v>121</v>
      </c>
      <c r="D903" s="109">
        <f>'COG-M'!P749</f>
        <v>2096019</v>
      </c>
    </row>
    <row r="904" spans="1:4" x14ac:dyDescent="0.25">
      <c r="A904">
        <v>311</v>
      </c>
      <c r="B904" t="s">
        <v>122</v>
      </c>
      <c r="C904">
        <v>11</v>
      </c>
      <c r="D904" s="109">
        <f>'COG-M'!P750</f>
        <v>378166</v>
      </c>
    </row>
    <row r="905" spans="1:4" x14ac:dyDescent="0.25">
      <c r="C905">
        <v>12</v>
      </c>
      <c r="D905" s="109">
        <f>'COG-M'!P751</f>
        <v>0</v>
      </c>
    </row>
    <row r="906" spans="1:4" x14ac:dyDescent="0.25">
      <c r="C906">
        <v>13</v>
      </c>
      <c r="D906" s="109">
        <f>'COG-M'!P752</f>
        <v>0</v>
      </c>
    </row>
    <row r="907" spans="1:4" x14ac:dyDescent="0.25">
      <c r="C907">
        <v>14</v>
      </c>
      <c r="D907" s="109">
        <f>'COG-M'!P753</f>
        <v>0</v>
      </c>
    </row>
    <row r="908" spans="1:4" x14ac:dyDescent="0.25">
      <c r="C908">
        <v>15</v>
      </c>
      <c r="D908" s="109">
        <f>'COG-M'!P754</f>
        <v>1510972</v>
      </c>
    </row>
    <row r="909" spans="1:4" x14ac:dyDescent="0.25">
      <c r="C909">
        <v>16</v>
      </c>
      <c r="D909" s="109">
        <f>'COG-M'!P755</f>
        <v>0</v>
      </c>
    </row>
    <row r="910" spans="1:4" x14ac:dyDescent="0.25">
      <c r="C910">
        <v>17</v>
      </c>
      <c r="D910" s="109">
        <f>'COG-M'!P756</f>
        <v>0</v>
      </c>
    </row>
    <row r="911" spans="1:4" x14ac:dyDescent="0.25">
      <c r="C911">
        <v>25</v>
      </c>
      <c r="D911" s="109">
        <f>'COG-M'!P757</f>
        <v>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0</v>
      </c>
    </row>
    <row r="915" spans="1:4" x14ac:dyDescent="0.25">
      <c r="C915">
        <v>12</v>
      </c>
      <c r="D915" s="109">
        <f>'COG-M'!P761</f>
        <v>0</v>
      </c>
    </row>
    <row r="916" spans="1:4" x14ac:dyDescent="0.25">
      <c r="C916">
        <v>13</v>
      </c>
      <c r="D916" s="109">
        <f>'COG-M'!P762</f>
        <v>0</v>
      </c>
    </row>
    <row r="917" spans="1:4" x14ac:dyDescent="0.25">
      <c r="C917">
        <v>14</v>
      </c>
      <c r="D917" s="109">
        <f>'COG-M'!P763</f>
        <v>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47321</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4450</v>
      </c>
    </row>
    <row r="935" spans="1:4" x14ac:dyDescent="0.25">
      <c r="C935">
        <v>12</v>
      </c>
      <c r="D935" s="109">
        <f>'COG-M'!P781</f>
        <v>0</v>
      </c>
    </row>
    <row r="936" spans="1:4" x14ac:dyDescent="0.25">
      <c r="C936">
        <v>13</v>
      </c>
      <c r="D936" s="109">
        <f>'COG-M'!P782</f>
        <v>0</v>
      </c>
    </row>
    <row r="937" spans="1:4" x14ac:dyDescent="0.25">
      <c r="C937">
        <v>14</v>
      </c>
      <c r="D937" s="109">
        <f>'COG-M'!P783</f>
        <v>0</v>
      </c>
    </row>
    <row r="938" spans="1:4" x14ac:dyDescent="0.25">
      <c r="C938">
        <v>15</v>
      </c>
      <c r="D938" s="109">
        <f>'COG-M'!P784</f>
        <v>22677</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50103</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12650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68610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1070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3420286</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30000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9000</v>
      </c>
    </row>
    <row r="1006" spans="1:4" x14ac:dyDescent="0.25">
      <c r="C1006">
        <v>12</v>
      </c>
      <c r="D1006" s="109">
        <f>'COG-M'!P852</f>
        <v>0</v>
      </c>
    </row>
    <row r="1007" spans="1:4" x14ac:dyDescent="0.25">
      <c r="C1007">
        <v>13</v>
      </c>
      <c r="D1007" s="109">
        <f>'COG-M'!P853</f>
        <v>0</v>
      </c>
    </row>
    <row r="1008" spans="1:4" x14ac:dyDescent="0.25">
      <c r="C1008">
        <v>14</v>
      </c>
      <c r="D1008" s="109">
        <f>'COG-M'!P854</f>
        <v>0</v>
      </c>
    </row>
    <row r="1009" spans="1:4" x14ac:dyDescent="0.25">
      <c r="C1009">
        <v>15</v>
      </c>
      <c r="D1009" s="109">
        <f>'COG-M'!P855</f>
        <v>36000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33650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3306000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5636</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794137</v>
      </c>
    </row>
    <row r="1086" spans="1:4" x14ac:dyDescent="0.25">
      <c r="A1086">
        <v>331</v>
      </c>
      <c r="B1086" t="s">
        <v>142</v>
      </c>
      <c r="C1086">
        <v>11</v>
      </c>
      <c r="D1086" s="109">
        <f>'COG-M'!P932</f>
        <v>0</v>
      </c>
    </row>
    <row r="1087" spans="1:4" x14ac:dyDescent="0.25">
      <c r="C1087">
        <v>12</v>
      </c>
      <c r="D1087" s="109">
        <f>'COG-M'!P933</f>
        <v>0</v>
      </c>
    </row>
    <row r="1088" spans="1:4" x14ac:dyDescent="0.25">
      <c r="C1088">
        <v>13</v>
      </c>
      <c r="D1088" s="109">
        <f>'COG-M'!P934</f>
        <v>0</v>
      </c>
    </row>
    <row r="1089" spans="1:4" x14ac:dyDescent="0.25">
      <c r="C1089">
        <v>14</v>
      </c>
      <c r="D1089" s="109">
        <f>'COG-M'!P935</f>
        <v>0</v>
      </c>
    </row>
    <row r="1090" spans="1:4" x14ac:dyDescent="0.25">
      <c r="C1090">
        <v>15</v>
      </c>
      <c r="D1090" s="109">
        <f>'COG-M'!P936</f>
        <v>330557</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45980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417600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511941</v>
      </c>
    </row>
    <row r="1177" spans="1:4" x14ac:dyDescent="0.25">
      <c r="A1177">
        <v>341</v>
      </c>
      <c r="B1177" t="s">
        <v>152</v>
      </c>
      <c r="C1177">
        <v>11</v>
      </c>
      <c r="D1177" s="109">
        <f>'COG-M'!P1023</f>
        <v>477</v>
      </c>
    </row>
    <row r="1178" spans="1:4" x14ac:dyDescent="0.25">
      <c r="C1178">
        <v>12</v>
      </c>
      <c r="D1178" s="109">
        <f>'COG-M'!P1024</f>
        <v>0</v>
      </c>
    </row>
    <row r="1179" spans="1:4" x14ac:dyDescent="0.25">
      <c r="C1179">
        <v>13</v>
      </c>
      <c r="D1179" s="109">
        <f>'COG-M'!P1025</f>
        <v>0</v>
      </c>
    </row>
    <row r="1180" spans="1:4" x14ac:dyDescent="0.25">
      <c r="C1180">
        <v>14</v>
      </c>
      <c r="D1180" s="109">
        <f>'COG-M'!P1026</f>
        <v>0</v>
      </c>
    </row>
    <row r="1181" spans="1:4" x14ac:dyDescent="0.25">
      <c r="C1181">
        <v>15</v>
      </c>
      <c r="D1181" s="109">
        <f>'COG-M'!P1027</f>
        <v>70309</v>
      </c>
    </row>
    <row r="1182" spans="1:4" x14ac:dyDescent="0.25">
      <c r="C1182">
        <v>16</v>
      </c>
      <c r="D1182" s="109">
        <f>'COG-M'!P1028</f>
        <v>0</v>
      </c>
    </row>
    <row r="1183" spans="1:4" x14ac:dyDescent="0.25">
      <c r="C1183">
        <v>17</v>
      </c>
      <c r="D1183" s="109">
        <f>'COG-M'!P1029</f>
        <v>0</v>
      </c>
    </row>
    <row r="1184" spans="1:4" x14ac:dyDescent="0.25">
      <c r="C1184">
        <v>25</v>
      </c>
      <c r="D1184" s="109">
        <f>'COG-M'!P1030</f>
        <v>680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27500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0</v>
      </c>
    </row>
    <row r="1218" spans="1:4" x14ac:dyDescent="0.25">
      <c r="C1218">
        <v>12</v>
      </c>
      <c r="D1218" s="109">
        <f>'COG-M'!P1064</f>
        <v>0</v>
      </c>
    </row>
    <row r="1219" spans="1:4" x14ac:dyDescent="0.25">
      <c r="C1219">
        <v>13</v>
      </c>
      <c r="D1219" s="109">
        <f>'COG-M'!P1065</f>
        <v>0</v>
      </c>
    </row>
    <row r="1220" spans="1:4" x14ac:dyDescent="0.25">
      <c r="C1220">
        <v>14</v>
      </c>
      <c r="D1220" s="109">
        <f>'COG-M'!P1066</f>
        <v>0</v>
      </c>
    </row>
    <row r="1221" spans="1:4" x14ac:dyDescent="0.25">
      <c r="C1221">
        <v>15</v>
      </c>
      <c r="D1221" s="109">
        <f>'COG-M'!P1067</f>
        <v>334701</v>
      </c>
    </row>
    <row r="1222" spans="1:4" x14ac:dyDescent="0.25">
      <c r="C1222">
        <v>16</v>
      </c>
      <c r="D1222" s="109">
        <f>'COG-M'!P1068</f>
        <v>0</v>
      </c>
    </row>
    <row r="1223" spans="1:4" x14ac:dyDescent="0.25">
      <c r="C1223">
        <v>17</v>
      </c>
      <c r="D1223" s="109">
        <f>'COG-M'!P1069</f>
        <v>0</v>
      </c>
    </row>
    <row r="1224" spans="1:4" x14ac:dyDescent="0.25">
      <c r="C1224">
        <v>25</v>
      </c>
      <c r="D1224" s="109">
        <f>'COG-M'!P1070</f>
        <v>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16205</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62069</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2500077</v>
      </c>
    </row>
    <row r="1268" spans="1:4" x14ac:dyDescent="0.25">
      <c r="A1268">
        <v>351</v>
      </c>
      <c r="B1268" t="s">
        <v>162</v>
      </c>
      <c r="C1268">
        <v>11</v>
      </c>
      <c r="D1268" s="109">
        <f>'COG-M'!P1114</f>
        <v>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279471</v>
      </c>
    </row>
    <row r="1273" spans="1:4" x14ac:dyDescent="0.25">
      <c r="C1273">
        <v>16</v>
      </c>
      <c r="D1273" s="109">
        <f>'COG-M'!P1119</f>
        <v>0</v>
      </c>
    </row>
    <row r="1274" spans="1:4" x14ac:dyDescent="0.25">
      <c r="C1274">
        <v>17</v>
      </c>
      <c r="D1274" s="109">
        <f>'COG-M'!P1120</f>
        <v>0</v>
      </c>
    </row>
    <row r="1275" spans="1:4" x14ac:dyDescent="0.25">
      <c r="C1275">
        <v>25</v>
      </c>
      <c r="D1275" s="109">
        <f>'COG-M'!P1121</f>
        <v>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0</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13298</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187570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70043</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718660</v>
      </c>
    </row>
    <row r="1313" spans="1:4" x14ac:dyDescent="0.25">
      <c r="C1313">
        <v>16</v>
      </c>
      <c r="D1313" s="109">
        <f>'COG-M'!P1159</f>
        <v>0</v>
      </c>
    </row>
    <row r="1314" spans="1:4" x14ac:dyDescent="0.25">
      <c r="C1314">
        <v>17</v>
      </c>
      <c r="D1314" s="109">
        <f>'COG-M'!P1160</f>
        <v>0</v>
      </c>
    </row>
    <row r="1315" spans="1:4" x14ac:dyDescent="0.25">
      <c r="C1315">
        <v>25</v>
      </c>
      <c r="D1315" s="109">
        <f>'COG-M'!P1161</f>
        <v>305072</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168465</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757498</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0</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0</v>
      </c>
    </row>
    <row r="1349" spans="1:4" x14ac:dyDescent="0.25">
      <c r="C1349">
        <v>12</v>
      </c>
      <c r="D1349" s="109">
        <f>'COG-M'!P1195</f>
        <v>0</v>
      </c>
    </row>
    <row r="1350" spans="1:4" x14ac:dyDescent="0.25">
      <c r="C1350">
        <v>13</v>
      </c>
      <c r="D1350" s="109">
        <f>'COG-M'!P1196</f>
        <v>0</v>
      </c>
    </row>
    <row r="1351" spans="1:4" x14ac:dyDescent="0.25">
      <c r="C1351">
        <v>14</v>
      </c>
      <c r="D1351" s="109">
        <f>'COG-M'!P1197</f>
        <v>0</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25300</v>
      </c>
    </row>
    <row r="1359" spans="1:4" x14ac:dyDescent="0.25">
      <c r="A1359">
        <v>361</v>
      </c>
      <c r="B1359" t="s">
        <v>172</v>
      </c>
      <c r="C1359">
        <v>11</v>
      </c>
      <c r="D1359" s="109">
        <f>'COG-M'!P1205</f>
        <v>7900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17400</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85736</v>
      </c>
    </row>
    <row r="1430" spans="1:4" x14ac:dyDescent="0.25">
      <c r="A1430">
        <v>371</v>
      </c>
      <c r="B1430" t="s">
        <v>179</v>
      </c>
      <c r="C1430">
        <v>11</v>
      </c>
      <c r="D1430" s="109">
        <f>'COG-M'!P1276</f>
        <v>22150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3690</v>
      </c>
    </row>
    <row r="1471" spans="1:4" x14ac:dyDescent="0.25">
      <c r="C1471">
        <v>12</v>
      </c>
      <c r="D1471" s="109">
        <f>'COG-M'!P1317</f>
        <v>0</v>
      </c>
    </row>
    <row r="1472" spans="1:4" x14ac:dyDescent="0.25">
      <c r="C1472">
        <v>13</v>
      </c>
      <c r="D1472" s="109">
        <f>'COG-M'!P1318</f>
        <v>0</v>
      </c>
    </row>
    <row r="1473" spans="1:4" x14ac:dyDescent="0.25">
      <c r="C1473">
        <v>14</v>
      </c>
      <c r="D1473" s="109">
        <f>'COG-M'!P1319</f>
        <v>0</v>
      </c>
    </row>
    <row r="1474" spans="1:4" x14ac:dyDescent="0.25">
      <c r="C1474">
        <v>15</v>
      </c>
      <c r="D1474" s="109">
        <f>'COG-M'!P1320</f>
        <v>59896</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2591578</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507472</v>
      </c>
    </row>
    <row r="1532" spans="1:4" x14ac:dyDescent="0.25">
      <c r="C1532">
        <v>12</v>
      </c>
      <c r="D1532" s="109">
        <f>'COG-M'!P1378</f>
        <v>0</v>
      </c>
    </row>
    <row r="1533" spans="1:4" x14ac:dyDescent="0.25">
      <c r="C1533">
        <v>13</v>
      </c>
      <c r="D1533" s="109">
        <f>'COG-M'!P1379</f>
        <v>0</v>
      </c>
    </row>
    <row r="1534" spans="1:4" x14ac:dyDescent="0.25">
      <c r="C1534">
        <v>14</v>
      </c>
      <c r="D1534" s="109">
        <f>'COG-M'!P1380</f>
        <v>0</v>
      </c>
    </row>
    <row r="1535" spans="1:4" x14ac:dyDescent="0.25">
      <c r="C1535">
        <v>15</v>
      </c>
      <c r="D1535" s="109">
        <f>'COG-M'!P1381</f>
        <v>2084106</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646446</v>
      </c>
    </row>
    <row r="1572" spans="1:4" x14ac:dyDescent="0.25">
      <c r="A1572">
        <v>391</v>
      </c>
      <c r="B1572" t="s">
        <v>195</v>
      </c>
      <c r="C1572">
        <v>11</v>
      </c>
      <c r="D1572" s="109">
        <f>'COG-M'!P1418</f>
        <v>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45800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0</v>
      </c>
    </row>
    <row r="1583" spans="1:4" x14ac:dyDescent="0.25">
      <c r="C1583">
        <v>12</v>
      </c>
      <c r="D1583" s="109">
        <f>'COG-M'!P1429</f>
        <v>0</v>
      </c>
    </row>
    <row r="1584" spans="1:4" x14ac:dyDescent="0.25">
      <c r="C1584">
        <v>13</v>
      </c>
      <c r="D1584" s="109">
        <f>'COG-M'!P1430</f>
        <v>0</v>
      </c>
    </row>
    <row r="1585" spans="1:4" x14ac:dyDescent="0.25">
      <c r="C1585">
        <v>14</v>
      </c>
      <c r="D1585" s="109">
        <f>'COG-M'!P1431</f>
        <v>0</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595437</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5209</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4796833</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2611236</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2611236</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2062141</v>
      </c>
    </row>
    <row r="1780" spans="1:4" x14ac:dyDescent="0.25">
      <c r="A1780">
        <v>441</v>
      </c>
      <c r="B1780" t="s">
        <v>231</v>
      </c>
      <c r="C1780">
        <v>11</v>
      </c>
      <c r="D1780" s="109">
        <f>'COG-M'!P1626</f>
        <v>0</v>
      </c>
    </row>
    <row r="1781" spans="1:4" x14ac:dyDescent="0.25">
      <c r="C1781">
        <v>12</v>
      </c>
      <c r="D1781" s="109">
        <f>'COG-M'!P1627</f>
        <v>0</v>
      </c>
    </row>
    <row r="1782" spans="1:4" x14ac:dyDescent="0.25">
      <c r="C1782">
        <v>13</v>
      </c>
      <c r="D1782" s="109">
        <f>'COG-M'!P1628</f>
        <v>0</v>
      </c>
    </row>
    <row r="1783" spans="1:4" x14ac:dyDescent="0.25">
      <c r="C1783">
        <v>14</v>
      </c>
      <c r="D1783" s="109">
        <f>'COG-M'!P1629</f>
        <v>0</v>
      </c>
    </row>
    <row r="1784" spans="1:4" x14ac:dyDescent="0.25">
      <c r="C1784">
        <v>15</v>
      </c>
      <c r="D1784" s="109">
        <f>'COG-M'!P1630</f>
        <v>1274141</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0</v>
      </c>
    </row>
    <row r="1789" spans="1:4" x14ac:dyDescent="0.25">
      <c r="C1789">
        <v>27</v>
      </c>
      <c r="D1789" s="109">
        <f>'COG-M'!P1635</f>
        <v>0</v>
      </c>
    </row>
    <row r="1790" spans="1:4" x14ac:dyDescent="0.25">
      <c r="A1790">
        <v>442</v>
      </c>
      <c r="B1790" t="s">
        <v>232</v>
      </c>
      <c r="C1790">
        <v>11</v>
      </c>
      <c r="D1790" s="109">
        <f>'COG-M'!P1636</f>
        <v>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104800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287200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396000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123456</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0</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123456</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1634263</v>
      </c>
    </row>
    <row r="2020" spans="1:4" x14ac:dyDescent="0.25">
      <c r="A2020">
        <v>5100</v>
      </c>
      <c r="B2020" t="s">
        <v>262</v>
      </c>
      <c r="D2020" s="109">
        <f>'COG-M'!P1866</f>
        <v>200417</v>
      </c>
    </row>
    <row r="2021" spans="1:4" x14ac:dyDescent="0.25">
      <c r="A2021">
        <v>511</v>
      </c>
      <c r="B2021" t="s">
        <v>263</v>
      </c>
      <c r="C2021">
        <v>11</v>
      </c>
      <c r="D2021" s="109">
        <f>'COG-M'!P1867</f>
        <v>0</v>
      </c>
    </row>
    <row r="2022" spans="1:4" x14ac:dyDescent="0.25">
      <c r="C2022">
        <v>12</v>
      </c>
      <c r="D2022" s="109">
        <f>'COG-M'!P1868</f>
        <v>0</v>
      </c>
    </row>
    <row r="2023" spans="1:4" x14ac:dyDescent="0.25">
      <c r="C2023">
        <v>13</v>
      </c>
      <c r="D2023" s="109">
        <f>'COG-M'!P1869</f>
        <v>0</v>
      </c>
    </row>
    <row r="2024" spans="1:4" x14ac:dyDescent="0.25">
      <c r="C2024">
        <v>14</v>
      </c>
      <c r="D2024" s="109">
        <f>'COG-M'!P1870</f>
        <v>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23795</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16895</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159727</v>
      </c>
    </row>
    <row r="2066" spans="1:4" x14ac:dyDescent="0.25">
      <c r="C2066">
        <v>16</v>
      </c>
      <c r="D2066" s="109">
        <f>'COG-M'!P1912</f>
        <v>0</v>
      </c>
    </row>
    <row r="2067" spans="1:4" x14ac:dyDescent="0.25">
      <c r="C2067">
        <v>17</v>
      </c>
      <c r="D2067" s="109">
        <f>'COG-M'!P1913</f>
        <v>0</v>
      </c>
    </row>
    <row r="2068" spans="1:4" x14ac:dyDescent="0.25">
      <c r="C2068">
        <v>25</v>
      </c>
      <c r="D2068" s="109">
        <f>'COG-M'!P1914</f>
        <v>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22998</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22998</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1238120</v>
      </c>
    </row>
    <row r="2144" spans="1:4" x14ac:dyDescent="0.25">
      <c r="A2144">
        <v>541</v>
      </c>
      <c r="B2144" t="s">
        <v>621</v>
      </c>
      <c r="C2144">
        <v>11</v>
      </c>
      <c r="D2144" s="109">
        <f>'COG-M'!P1990</f>
        <v>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1238120</v>
      </c>
    </row>
    <row r="2149" spans="1:4" x14ac:dyDescent="0.25">
      <c r="C2149">
        <v>16</v>
      </c>
      <c r="D2149" s="109">
        <f>'COG-M'!P1995</f>
        <v>0</v>
      </c>
    </row>
    <row r="2150" spans="1:4" x14ac:dyDescent="0.25">
      <c r="C2150">
        <v>17</v>
      </c>
      <c r="D2150" s="109">
        <f>'COG-M'!P1996</f>
        <v>0</v>
      </c>
    </row>
    <row r="2151" spans="1:4" x14ac:dyDescent="0.25">
      <c r="C2151">
        <v>25</v>
      </c>
      <c r="D2151" s="109">
        <f>'COG-M'!P1997</f>
        <v>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53200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26600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26600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119528</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119528</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13153627</v>
      </c>
    </row>
    <row r="2520" spans="1:4" x14ac:dyDescent="0.25">
      <c r="A2520">
        <v>6100</v>
      </c>
      <c r="B2520" t="s">
        <v>320</v>
      </c>
      <c r="D2520" s="109">
        <f>'COG-M'!P2366</f>
        <v>13153627</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500000</v>
      </c>
    </row>
    <row r="2526" spans="1:4" x14ac:dyDescent="0.25">
      <c r="C2526">
        <v>16</v>
      </c>
      <c r="D2526" s="109">
        <f>'COG-M'!P2372</f>
        <v>0</v>
      </c>
    </row>
    <row r="2527" spans="1:4" x14ac:dyDescent="0.25">
      <c r="C2527">
        <v>17</v>
      </c>
      <c r="D2527" s="109">
        <f>'COG-M'!P2373</f>
        <v>0</v>
      </c>
    </row>
    <row r="2528" spans="1:4" x14ac:dyDescent="0.25">
      <c r="C2528">
        <v>25</v>
      </c>
      <c r="D2528" s="109">
        <f>'COG-M'!P2374</f>
        <v>1000000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500000</v>
      </c>
    </row>
    <row r="2536" spans="1:4" x14ac:dyDescent="0.25">
      <c r="C2536">
        <v>16</v>
      </c>
      <c r="D2536" s="109">
        <f>'COG-M'!P2382</f>
        <v>0</v>
      </c>
    </row>
    <row r="2537" spans="1:4" x14ac:dyDescent="0.25">
      <c r="C2537">
        <v>17</v>
      </c>
      <c r="D2537" s="109">
        <f>'COG-M'!P2383</f>
        <v>0</v>
      </c>
    </row>
    <row r="2538" spans="1:4" x14ac:dyDescent="0.25">
      <c r="C2538">
        <v>25</v>
      </c>
      <c r="D2538" s="109">
        <f>'COG-M'!P2384</f>
        <v>2303627</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500000</v>
      </c>
    </row>
    <row r="2546" spans="1:4" x14ac:dyDescent="0.25">
      <c r="C2546">
        <v>16</v>
      </c>
      <c r="D2546" s="109">
        <f>'COG-M'!P2392</f>
        <v>0</v>
      </c>
    </row>
    <row r="2547" spans="1:4" x14ac:dyDescent="0.25">
      <c r="C2547">
        <v>17</v>
      </c>
      <c r="D2547" s="109">
        <f>'COG-M'!P2393</f>
        <v>0</v>
      </c>
    </row>
    <row r="2548" spans="1:4" x14ac:dyDescent="0.25">
      <c r="C2548">
        <v>25</v>
      </c>
      <c r="D2548" s="109">
        <f>'COG-M'!P2394</f>
        <v>500000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1850000</v>
      </c>
    </row>
    <row r="2556" spans="1:4" x14ac:dyDescent="0.25">
      <c r="C2556">
        <v>16</v>
      </c>
      <c r="D2556" s="109">
        <f>'COG-M'!P2402</f>
        <v>0</v>
      </c>
    </row>
    <row r="2557" spans="1:4" x14ac:dyDescent="0.25">
      <c r="C2557">
        <v>17</v>
      </c>
      <c r="D2557" s="109">
        <f>'COG-M'!P2403</f>
        <v>0</v>
      </c>
    </row>
    <row r="2558" spans="1:4" x14ac:dyDescent="0.25">
      <c r="C2558">
        <v>25</v>
      </c>
      <c r="D2558" s="109">
        <f>'COG-M'!P2404</f>
        <v>1000000</v>
      </c>
    </row>
    <row r="2559" spans="1:4" x14ac:dyDescent="0.25">
      <c r="C2559">
        <v>26</v>
      </c>
      <c r="D2559" s="109">
        <f>'COG-M'!P2405</f>
        <v>5000000</v>
      </c>
    </row>
    <row r="2560" spans="1:4" x14ac:dyDescent="0.25">
      <c r="C2560">
        <v>27</v>
      </c>
      <c r="D2560" s="109">
        <f>'COG-M'!P2406</f>
        <v>0</v>
      </c>
    </row>
    <row r="2561" spans="1:4" x14ac:dyDescent="0.25">
      <c r="A2561">
        <v>615</v>
      </c>
      <c r="B2561" t="s">
        <v>325</v>
      </c>
      <c r="C2561">
        <v>11</v>
      </c>
      <c r="D2561" s="109">
        <f>'COG-M'!P2407</f>
        <v>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0</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0</v>
      </c>
    </row>
    <row r="3067" spans="1:4" x14ac:dyDescent="0.25">
      <c r="A3067">
        <v>9100</v>
      </c>
      <c r="B3067" t="s">
        <v>400</v>
      </c>
      <c r="D3067" s="109">
        <f>'COG-M'!P2913</f>
        <v>0</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0</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0</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0</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0</v>
      </c>
    </row>
    <row r="3178" spans="1:4" x14ac:dyDescent="0.25">
      <c r="A3178">
        <v>991</v>
      </c>
      <c r="B3178" t="s">
        <v>429</v>
      </c>
      <c r="C3178">
        <v>11</v>
      </c>
      <c r="D3178" s="109">
        <f>'COG-M'!P3024</f>
        <v>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79111403</v>
      </c>
    </row>
    <row r="3189" spans="2:4" x14ac:dyDescent="0.25">
      <c r="B3189">
        <v>1</v>
      </c>
      <c r="C3189" t="s">
        <v>447</v>
      </c>
      <c r="D3189" s="109">
        <f>CF!C8</f>
        <v>6981746</v>
      </c>
    </row>
    <row r="3190" spans="2:4" x14ac:dyDescent="0.25">
      <c r="B3190">
        <v>11</v>
      </c>
      <c r="C3190" t="s">
        <v>723</v>
      </c>
      <c r="D3190" s="109">
        <f>CF!C9</f>
        <v>6981746</v>
      </c>
    </row>
    <row r="3191" spans="2:4" x14ac:dyDescent="0.25">
      <c r="B3191">
        <v>111</v>
      </c>
      <c r="C3191" t="s">
        <v>448</v>
      </c>
      <c r="D3191" s="109">
        <f>CF!C10</f>
        <v>6981746</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0</v>
      </c>
    </row>
    <row r="3199" spans="2:4" x14ac:dyDescent="0.25">
      <c r="B3199">
        <v>131</v>
      </c>
      <c r="C3199" t="s">
        <v>452</v>
      </c>
      <c r="D3199" s="109">
        <f>CF!C18</f>
        <v>0</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0</v>
      </c>
    </row>
    <row r="3211" spans="2:4" x14ac:dyDescent="0.25">
      <c r="B3211">
        <v>151</v>
      </c>
      <c r="C3211" t="s">
        <v>639</v>
      </c>
      <c r="D3211" s="109">
        <f>CF!C30</f>
        <v>0</v>
      </c>
    </row>
    <row r="3212" spans="2:4" x14ac:dyDescent="0.25">
      <c r="B3212">
        <v>152</v>
      </c>
      <c r="C3212" t="s">
        <v>640</v>
      </c>
      <c r="D3212" s="109">
        <f>CF!C31</f>
        <v>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0</v>
      </c>
    </row>
    <row r="3218" spans="2:4" x14ac:dyDescent="0.25">
      <c r="B3218">
        <v>171</v>
      </c>
      <c r="C3218" t="s">
        <v>461</v>
      </c>
      <c r="D3218" s="109">
        <f>CF!C37</f>
        <v>0</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0</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0</v>
      </c>
    </row>
    <row r="3228" spans="2:4" x14ac:dyDescent="0.25">
      <c r="B3228">
        <v>2</v>
      </c>
      <c r="C3228" t="s">
        <v>462</v>
      </c>
      <c r="D3228" s="109">
        <f>CF!C47</f>
        <v>70629366</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65316972</v>
      </c>
    </row>
    <row r="3237" spans="2:4" x14ac:dyDescent="0.25">
      <c r="B3237">
        <v>221</v>
      </c>
      <c r="C3237" t="s">
        <v>656</v>
      </c>
      <c r="D3237" s="109">
        <f>CF!C56</f>
        <v>22723581</v>
      </c>
    </row>
    <row r="3238" spans="2:4" x14ac:dyDescent="0.25">
      <c r="B3238">
        <v>222</v>
      </c>
      <c r="C3238" t="s">
        <v>657</v>
      </c>
      <c r="D3238" s="109">
        <f>CF!C57</f>
        <v>0</v>
      </c>
    </row>
    <row r="3239" spans="2:4" x14ac:dyDescent="0.25">
      <c r="B3239">
        <v>223</v>
      </c>
      <c r="C3239" t="s">
        <v>658</v>
      </c>
      <c r="D3239" s="109">
        <f>CF!C58</f>
        <v>1000000</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41593391</v>
      </c>
    </row>
    <row r="3243" spans="2:4" x14ac:dyDescent="0.25">
      <c r="B3243">
        <v>227</v>
      </c>
      <c r="C3243" t="s">
        <v>661</v>
      </c>
      <c r="D3243" s="109">
        <f>CF!C62</f>
        <v>0</v>
      </c>
    </row>
    <row r="3244" spans="2:4" x14ac:dyDescent="0.25">
      <c r="B3244">
        <v>23</v>
      </c>
      <c r="C3244" t="s">
        <v>465</v>
      </c>
      <c r="D3244" s="109">
        <f>CF!C63</f>
        <v>0</v>
      </c>
    </row>
    <row r="3245" spans="2:4" x14ac:dyDescent="0.25">
      <c r="B3245">
        <v>231</v>
      </c>
      <c r="C3245" t="s">
        <v>662</v>
      </c>
      <c r="D3245" s="109">
        <f>CF!C64</f>
        <v>0</v>
      </c>
    </row>
    <row r="3246" spans="2:4" x14ac:dyDescent="0.25">
      <c r="B3246">
        <v>232</v>
      </c>
      <c r="C3246" t="s">
        <v>663</v>
      </c>
      <c r="D3246" s="109">
        <f>CF!C65</f>
        <v>0</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5312394</v>
      </c>
    </row>
    <row r="3256" spans="2:4" x14ac:dyDescent="0.25">
      <c r="B3256">
        <v>251</v>
      </c>
      <c r="C3256" t="s">
        <v>670</v>
      </c>
      <c r="D3256" s="109">
        <f>CF!C75</f>
        <v>0</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5312394</v>
      </c>
    </row>
    <row r="3262" spans="2:4" x14ac:dyDescent="0.25">
      <c r="B3262">
        <v>26</v>
      </c>
      <c r="C3262" t="s">
        <v>675</v>
      </c>
      <c r="D3262" s="109">
        <f>CF!C81</f>
        <v>0</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0</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0</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1500291</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715012</v>
      </c>
    </row>
    <row r="3279" spans="2:4" x14ac:dyDescent="0.25">
      <c r="B3279">
        <v>321</v>
      </c>
      <c r="C3279" t="s">
        <v>475</v>
      </c>
      <c r="D3279" s="109">
        <f>CF!C98</f>
        <v>715012</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785279</v>
      </c>
    </row>
    <row r="3306" spans="2:4" x14ac:dyDescent="0.25">
      <c r="B3306">
        <v>371</v>
      </c>
      <c r="C3306" t="s">
        <v>488</v>
      </c>
      <c r="D3306" s="109">
        <f>CF!C125</f>
        <v>785279</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79111403</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3.1.1.1.0</v>
      </c>
      <c r="B3336">
        <f>CA!B11</f>
        <v>1</v>
      </c>
      <c r="C3336" t="str">
        <f>CA!C11</f>
        <v>Presidencia</v>
      </c>
      <c r="D3336">
        <f>CA!D11</f>
        <v>7512256</v>
      </c>
    </row>
    <row r="3337" spans="1:4" x14ac:dyDescent="0.25">
      <c r="A3337" t="str">
        <f>CA!A12</f>
        <v>3.1.1.1.0</v>
      </c>
      <c r="B3337">
        <f>CA!B12</f>
        <v>2</v>
      </c>
      <c r="C3337" t="str">
        <f>CA!C12</f>
        <v>Sindicatura</v>
      </c>
      <c r="D3337">
        <f>CA!D12</f>
        <v>1908089</v>
      </c>
    </row>
    <row r="3338" spans="1:4" x14ac:dyDescent="0.25">
      <c r="A3338" t="str">
        <f>CA!A13</f>
        <v>3.1.1.1.0</v>
      </c>
      <c r="B3338">
        <f>CA!B13</f>
        <v>3</v>
      </c>
      <c r="C3338" t="str">
        <f>CA!C13</f>
        <v>Secretaria General</v>
      </c>
      <c r="D3338">
        <f>CA!D13</f>
        <v>532192</v>
      </c>
    </row>
    <row r="3339" spans="1:4" x14ac:dyDescent="0.25">
      <c r="A3339" t="str">
        <f>CA!A14</f>
        <v>3.1.1.1.0</v>
      </c>
      <c r="B3339">
        <f>CA!B14</f>
        <v>4</v>
      </c>
      <c r="C3339" t="str">
        <f>CA!C14</f>
        <v>Hacienda Municipal</v>
      </c>
      <c r="D3339">
        <f>CA!D14</f>
        <v>629430</v>
      </c>
    </row>
    <row r="3340" spans="1:4" x14ac:dyDescent="0.25">
      <c r="A3340" t="str">
        <f>CA!A15</f>
        <v>3.1.1.1.0</v>
      </c>
      <c r="B3340">
        <f>CA!B15</f>
        <v>5</v>
      </c>
      <c r="C3340" t="str">
        <f>CA!C15</f>
        <v>Obras Públicas</v>
      </c>
      <c r="D3340">
        <f>CA!D15</f>
        <v>23364703</v>
      </c>
    </row>
    <row r="3341" spans="1:4" x14ac:dyDescent="0.25">
      <c r="A3341" t="str">
        <f>CA!A16</f>
        <v>3.1.1.1.0</v>
      </c>
      <c r="B3341">
        <f>CA!B16</f>
        <v>6</v>
      </c>
      <c r="C3341" t="str">
        <f>CA!C16</f>
        <v>Servicios Públicos</v>
      </c>
      <c r="D3341">
        <f>CA!D16</f>
        <v>19307867</v>
      </c>
    </row>
    <row r="3342" spans="1:4" x14ac:dyDescent="0.25">
      <c r="A3342" t="str">
        <f>CA!A17</f>
        <v>3.1.1.1.0</v>
      </c>
      <c r="B3342">
        <f>CA!B17</f>
        <v>7</v>
      </c>
      <c r="C3342" t="str">
        <f>CA!C17</f>
        <v>Seguridad Pública</v>
      </c>
      <c r="D3342">
        <f>CA!D17</f>
        <v>9647681</v>
      </c>
    </row>
    <row r="3343" spans="1:4" x14ac:dyDescent="0.25">
      <c r="A3343" t="str">
        <f>CA!A18</f>
        <v>3.1.1.1.0</v>
      </c>
      <c r="B3343">
        <f>CA!B18</f>
        <v>8</v>
      </c>
      <c r="C3343" t="str">
        <f>CA!C18</f>
        <v>Servicios Médicos</v>
      </c>
      <c r="D3343">
        <f>CA!D18</f>
        <v>3874875</v>
      </c>
    </row>
    <row r="3344" spans="1:4" x14ac:dyDescent="0.25">
      <c r="A3344" t="str">
        <f>CA!A19</f>
        <v>3.1.1.1.0</v>
      </c>
      <c r="B3344">
        <f>CA!B19</f>
        <v>9</v>
      </c>
      <c r="C3344" t="str">
        <f>CA!C19</f>
        <v>Contraloría Municipal</v>
      </c>
      <c r="D3344">
        <f>CA!D19</f>
        <v>532192</v>
      </c>
    </row>
    <row r="3345" spans="1:4" x14ac:dyDescent="0.25">
      <c r="A3345" t="str">
        <f>CA!A20</f>
        <v>3.1.1.1.0</v>
      </c>
      <c r="B3345">
        <f>CA!B20</f>
        <v>10</v>
      </c>
      <c r="C3345" t="str">
        <f>CA!C20</f>
        <v>Catastro Municipal</v>
      </c>
      <c r="D3345">
        <f>CA!D20</f>
        <v>708216</v>
      </c>
    </row>
    <row r="3346" spans="1:4" x14ac:dyDescent="0.25">
      <c r="A3346" t="str">
        <f>CA!A21</f>
        <v>3.1.1.1.0</v>
      </c>
      <c r="B3346">
        <f>CA!B21</f>
        <v>11</v>
      </c>
      <c r="C3346" t="str">
        <f>CA!C21</f>
        <v>Registro Civil</v>
      </c>
      <c r="D3346">
        <f>CA!D21</f>
        <v>245623</v>
      </c>
    </row>
    <row r="3347" spans="1:4" x14ac:dyDescent="0.25">
      <c r="A3347" t="str">
        <f>CA!A22</f>
        <v>3.1.1.1.0</v>
      </c>
      <c r="B3347">
        <f>CA!B22</f>
        <v>12</v>
      </c>
      <c r="C3347" t="str">
        <f>CA!C22</f>
        <v>Juzgado Municipal</v>
      </c>
      <c r="D3347">
        <f>CA!D22</f>
        <v>329605</v>
      </c>
    </row>
    <row r="3348" spans="1:4" x14ac:dyDescent="0.25">
      <c r="A3348" t="str">
        <f>CA!A23</f>
        <v>3.1.1.1.0</v>
      </c>
      <c r="B3348">
        <f>CA!B23</f>
        <v>13</v>
      </c>
      <c r="C3348" t="str">
        <f>CA!C23</f>
        <v>Protección Civil</v>
      </c>
      <c r="D3348">
        <f>CA!D23</f>
        <v>1656694</v>
      </c>
    </row>
    <row r="3349" spans="1:4" x14ac:dyDescent="0.25">
      <c r="A3349" t="str">
        <f>CA!A24</f>
        <v>3.1.1.1.0</v>
      </c>
      <c r="B3349">
        <f>CA!B24</f>
        <v>14</v>
      </c>
      <c r="C3349" t="str">
        <f>CA!C24</f>
        <v>Unidad de Transparencia</v>
      </c>
      <c r="D3349">
        <f>CA!D24</f>
        <v>285173</v>
      </c>
    </row>
    <row r="3350" spans="1:4" x14ac:dyDescent="0.25">
      <c r="A3350" t="str">
        <f>CA!A25</f>
        <v>3.1.1.1.0</v>
      </c>
      <c r="B3350">
        <f>CA!B25</f>
        <v>15</v>
      </c>
      <c r="C3350" t="str">
        <f>CA!C25</f>
        <v>Educación Pública</v>
      </c>
      <c r="D3350">
        <f>CA!D25</f>
        <v>3312394</v>
      </c>
    </row>
    <row r="3351" spans="1:4" x14ac:dyDescent="0.25">
      <c r="A3351" t="str">
        <f>CA!A26</f>
        <v>3.1.1.1.0</v>
      </c>
      <c r="B3351">
        <f>CA!B26</f>
        <v>16</v>
      </c>
      <c r="C3351" t="str">
        <f>CA!C26</f>
        <v>Cultura/Casa de la Cultura</v>
      </c>
      <c r="D3351">
        <f>CA!D26</f>
        <v>688782</v>
      </c>
    </row>
    <row r="3352" spans="1:4" x14ac:dyDescent="0.25">
      <c r="A3352" t="str">
        <f>CA!A27</f>
        <v>3.1.1.1.0</v>
      </c>
      <c r="B3352">
        <f>CA!B27</f>
        <v>17</v>
      </c>
      <c r="C3352" t="str">
        <f>CA!C27</f>
        <v>Medios Audiovisuales / Tursimo / Informática</v>
      </c>
      <c r="D3352">
        <f>CA!D27</f>
        <v>787224</v>
      </c>
    </row>
    <row r="3353" spans="1:4" x14ac:dyDescent="0.25">
      <c r="A3353" t="str">
        <f>CA!A28</f>
        <v>3.1.1.1.0</v>
      </c>
      <c r="B3353">
        <f>CA!B28</f>
        <v>18</v>
      </c>
      <c r="C3353" t="str">
        <f>CA!C28</f>
        <v>Desarrollo Social</v>
      </c>
      <c r="D3353">
        <f>CA!D28</f>
        <v>2456890</v>
      </c>
    </row>
    <row r="3354" spans="1:4" x14ac:dyDescent="0.25">
      <c r="A3354" t="str">
        <f>CA!A29</f>
        <v>3.1.1.1.0</v>
      </c>
      <c r="B3354">
        <f>CA!B29</f>
        <v>19</v>
      </c>
      <c r="C3354" t="str">
        <f>CA!C29</f>
        <v>Proyectos Productivos</v>
      </c>
      <c r="D3354">
        <f>CA!D29</f>
        <v>713789</v>
      </c>
    </row>
    <row r="3355" spans="1:4" x14ac:dyDescent="0.25">
      <c r="A3355" t="str">
        <f>CA!A30</f>
        <v>3.1.1.1.0</v>
      </c>
      <c r="B3355">
        <f>CA!B30</f>
        <v>20</v>
      </c>
      <c r="C3355" t="str">
        <f>CA!C30</f>
        <v>Instituto Municipal de la Mujer</v>
      </c>
      <c r="D3355">
        <f>CA!D30</f>
        <v>308864</v>
      </c>
    </row>
    <row r="3356" spans="1:4" x14ac:dyDescent="0.25">
      <c r="A3356" t="str">
        <f>CA!A31</f>
        <v>3.1.1.1.0</v>
      </c>
      <c r="B3356">
        <f>CA!B31</f>
        <v>21</v>
      </c>
      <c r="C3356" t="str">
        <f>CA!C31</f>
        <v>Rastro Municipal</v>
      </c>
      <c r="D3356">
        <f>CA!D31</f>
        <v>308864</v>
      </c>
    </row>
    <row r="3357" spans="1:4" x14ac:dyDescent="0.25">
      <c r="A3357" t="str">
        <f>CA!A32</f>
        <v>3.1.1.1.0</v>
      </c>
      <c r="B3357">
        <f>CA!B32</f>
        <v>22</v>
      </c>
      <c r="C3357" t="str">
        <f>CA!C32</f>
        <v>DIF Municipal</v>
      </c>
      <c r="D3357">
        <f>CA!D32</f>
        <v>0</v>
      </c>
    </row>
    <row r="3358" spans="1:4" x14ac:dyDescent="0.25">
      <c r="A3358">
        <f>CA!A33</f>
        <v>0</v>
      </c>
      <c r="B3358">
        <f>CA!B33</f>
        <v>0</v>
      </c>
      <c r="C3358">
        <f>CA!C33</f>
        <v>0</v>
      </c>
      <c r="D3358">
        <f>CA!D33</f>
        <v>0</v>
      </c>
    </row>
    <row r="3359" spans="1:4" x14ac:dyDescent="0.25">
      <c r="A3359">
        <f>CA!A34</f>
        <v>0</v>
      </c>
      <c r="B3359">
        <f>CA!B34</f>
        <v>0</v>
      </c>
      <c r="C3359">
        <f>CA!C34</f>
        <v>0</v>
      </c>
      <c r="D3359">
        <f>CA!D34</f>
        <v>0</v>
      </c>
    </row>
    <row r="3360" spans="1:4" x14ac:dyDescent="0.25">
      <c r="A3360">
        <f>CA!A35</f>
        <v>0</v>
      </c>
      <c r="B3360">
        <f>CA!B35</f>
        <v>0</v>
      </c>
      <c r="C3360">
        <f>CA!C35</f>
        <v>0</v>
      </c>
      <c r="D3360">
        <f>CA!D35</f>
        <v>0</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79111403</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47" t="s">
        <v>732</v>
      </c>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row>
    <row r="3" spans="2:39" ht="15" customHeight="1" x14ac:dyDescent="0.25">
      <c r="K3" s="448" t="s">
        <v>733</v>
      </c>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row>
    <row r="4" spans="2:39" ht="15" customHeight="1" x14ac:dyDescent="0.25"/>
    <row r="5" spans="2:39" ht="15" customHeight="1" x14ac:dyDescent="0.25">
      <c r="B5" s="386" t="s">
        <v>1132</v>
      </c>
      <c r="C5" s="387"/>
      <c r="D5" s="387"/>
      <c r="E5" s="388"/>
      <c r="F5" s="386" t="s">
        <v>4</v>
      </c>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t="str">
        <f>Inconsistencias!Z5</f>
        <v>Versión 2025.01</v>
      </c>
      <c r="AI5" s="387"/>
      <c r="AJ5" s="387"/>
      <c r="AK5" s="387"/>
      <c r="AL5" s="387"/>
      <c r="AM5" s="388"/>
    </row>
    <row r="6" spans="2:39" ht="15" customHeight="1" x14ac:dyDescent="0.25">
      <c r="B6" s="451">
        <f>INDEX(EF!$M$2:$M$1001,MATCH($F$6,EF!$C$2:$C$1001,0))</f>
        <v>707100</v>
      </c>
      <c r="C6" s="452"/>
      <c r="D6" s="452"/>
      <c r="E6" s="453"/>
      <c r="F6" s="426" t="str">
        <f>Inconsistencias!B6</f>
        <v>San Cristóbal de la Barranca</v>
      </c>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8"/>
    </row>
    <row r="7" spans="2:39" ht="15" customHeight="1" x14ac:dyDescent="0.25">
      <c r="B7" s="454"/>
      <c r="C7" s="455"/>
      <c r="D7" s="455"/>
      <c r="E7" s="456"/>
      <c r="F7" s="427"/>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20"/>
    </row>
    <row r="8" spans="2:39" ht="15" customHeight="1" x14ac:dyDescent="0.25">
      <c r="B8" s="421" t="s">
        <v>1133</v>
      </c>
      <c r="C8" s="422"/>
      <c r="D8" s="422"/>
      <c r="E8" s="422"/>
      <c r="F8" s="422"/>
      <c r="G8" s="422"/>
      <c r="H8" s="422"/>
      <c r="I8" s="413" t="s">
        <v>1134</v>
      </c>
      <c r="J8" s="413"/>
      <c r="K8" s="413"/>
      <c r="L8" s="413" t="s">
        <v>1135</v>
      </c>
      <c r="M8" s="413"/>
      <c r="N8" s="413"/>
      <c r="O8" s="413"/>
      <c r="P8" s="413"/>
      <c r="Q8" s="413"/>
      <c r="R8" s="413" t="s">
        <v>1139</v>
      </c>
      <c r="S8" s="413"/>
      <c r="T8" s="413"/>
      <c r="U8" s="413"/>
      <c r="V8" s="413"/>
      <c r="W8" s="413"/>
      <c r="X8" s="413" t="s">
        <v>1138</v>
      </c>
      <c r="Y8" s="413"/>
      <c r="Z8" s="413"/>
      <c r="AA8" s="413"/>
      <c r="AB8" s="413"/>
      <c r="AC8" s="413"/>
      <c r="AD8" s="413"/>
      <c r="AE8" s="413"/>
      <c r="AF8" s="413"/>
      <c r="AG8" s="413"/>
      <c r="AH8" s="413"/>
      <c r="AI8" s="413"/>
      <c r="AJ8" s="413"/>
      <c r="AK8" s="413"/>
      <c r="AL8" s="413"/>
      <c r="AM8" s="414"/>
    </row>
    <row r="9" spans="2:39" s="155" customFormat="1" ht="15" customHeight="1" x14ac:dyDescent="0.25">
      <c r="B9" s="449" t="str">
        <f>INDEX(EF!$D$2:$D$1001,MATCH($F$6,EF!$C$2:$C$1001,0))</f>
        <v>Municipal</v>
      </c>
      <c r="C9" s="450"/>
      <c r="D9" s="450"/>
      <c r="E9" s="450"/>
      <c r="F9" s="450"/>
      <c r="G9" s="450"/>
      <c r="H9" s="450"/>
      <c r="I9" s="412" t="str">
        <f>INDEX(EF!$E$2:$E$1001,MATCH($F$6,EF!$C$2:$C$1001,0))</f>
        <v>Sí</v>
      </c>
      <c r="J9" s="412"/>
      <c r="K9" s="412"/>
      <c r="L9" s="412" t="str">
        <f>INDEX(EF!$G$2:$G$1001,MATCH($F$6,EF!$C$2:$C$1001,0))</f>
        <v>Gobierno</v>
      </c>
      <c r="M9" s="412"/>
      <c r="N9" s="412"/>
      <c r="O9" s="412"/>
      <c r="P9" s="412"/>
      <c r="Q9" s="412"/>
      <c r="R9" s="412" t="str">
        <f>INDEX(EF!$H$2:$H$1001,MATCH($F$6,EF!$C$2:$C$1001,0))</f>
        <v>Ejecutivo</v>
      </c>
      <c r="S9" s="412"/>
      <c r="T9" s="412"/>
      <c r="U9" s="412"/>
      <c r="V9" s="412"/>
      <c r="W9" s="412"/>
      <c r="X9" s="415" t="str">
        <f>INDEX(EF!$I$2:$I$1001,MATCH($F$6,EF!$C$2:$C$1001,0))</f>
        <v>Dependencia</v>
      </c>
      <c r="Y9" s="416"/>
      <c r="Z9" s="416"/>
      <c r="AA9" s="416"/>
      <c r="AB9" s="416"/>
      <c r="AC9" s="416"/>
      <c r="AD9" s="416"/>
      <c r="AE9" s="416"/>
      <c r="AF9" s="416"/>
      <c r="AG9" s="416"/>
      <c r="AH9" s="416"/>
      <c r="AI9" s="416"/>
      <c r="AJ9" s="416"/>
      <c r="AK9" s="416"/>
      <c r="AL9" s="416"/>
      <c r="AM9" s="416"/>
    </row>
    <row r="10" spans="2:39" ht="15" customHeight="1" x14ac:dyDescent="0.25">
      <c r="B10" s="421" t="s">
        <v>1212</v>
      </c>
      <c r="C10" s="422"/>
      <c r="D10" s="422"/>
      <c r="E10" s="422"/>
      <c r="F10" s="422"/>
      <c r="G10" s="422"/>
      <c r="H10" s="422"/>
      <c r="I10" s="422" t="s">
        <v>1215</v>
      </c>
      <c r="J10" s="422"/>
      <c r="K10" s="422"/>
      <c r="L10" s="422"/>
      <c r="M10" s="422"/>
      <c r="N10" s="422"/>
      <c r="O10" s="422"/>
      <c r="P10" s="432" t="s">
        <v>1141</v>
      </c>
      <c r="Q10" s="432"/>
      <c r="R10" s="432"/>
      <c r="S10" s="432"/>
      <c r="T10" s="432"/>
      <c r="U10" s="432"/>
      <c r="V10" s="432"/>
      <c r="W10" s="432"/>
      <c r="X10" s="432"/>
      <c r="Y10" s="432"/>
      <c r="Z10" s="432"/>
      <c r="AA10" s="432"/>
      <c r="AB10" s="413" t="s">
        <v>1136</v>
      </c>
      <c r="AC10" s="413"/>
      <c r="AD10" s="413"/>
      <c r="AE10" s="413"/>
      <c r="AF10" s="413"/>
      <c r="AG10" s="413"/>
      <c r="AH10" s="413" t="s">
        <v>1137</v>
      </c>
      <c r="AI10" s="413"/>
      <c r="AJ10" s="413"/>
      <c r="AK10" s="413"/>
      <c r="AL10" s="413"/>
      <c r="AM10" s="414"/>
    </row>
    <row r="11" spans="2:39" s="155" customFormat="1" ht="15" customHeight="1" x14ac:dyDescent="0.25">
      <c r="B11" s="428">
        <f>INDEX(EF!$R$2:$R$1001,MATCH($F$6,EF!$C$2:$C$1001,0))</f>
        <v>3117</v>
      </c>
      <c r="C11" s="429"/>
      <c r="D11" s="429"/>
      <c r="E11" s="429"/>
      <c r="F11" s="429"/>
      <c r="G11" s="429"/>
      <c r="H11" s="429"/>
      <c r="I11" s="429">
        <f>INDEX(EF!$S$2:$S$1001,MATCH($F$6,EF!$C$2:$C$1001,0))</f>
        <v>2924</v>
      </c>
      <c r="J11" s="429"/>
      <c r="K11" s="429"/>
      <c r="L11" s="429"/>
      <c r="M11" s="429"/>
      <c r="N11" s="429"/>
      <c r="O11" s="429"/>
      <c r="P11" s="412" t="str">
        <f>INDEX(EF!$Q$2:$Q$1001,MATCH($F$6,EF!$C$2:$C$1001,0))</f>
        <v>Centro</v>
      </c>
      <c r="Q11" s="412"/>
      <c r="R11" s="412"/>
      <c r="S11" s="412"/>
      <c r="T11" s="412"/>
      <c r="U11" s="412"/>
      <c r="V11" s="412"/>
      <c r="W11" s="412"/>
      <c r="X11" s="412"/>
      <c r="Y11" s="412"/>
      <c r="Z11" s="412"/>
      <c r="AA11" s="412"/>
      <c r="AB11" s="430">
        <f>INDEX(EF!$J$2:$J$1001,MATCH($F$6,EF!$C$2:$C$1001,0))</f>
        <v>1824</v>
      </c>
      <c r="AC11" s="430"/>
      <c r="AD11" s="430"/>
      <c r="AE11" s="430"/>
      <c r="AF11" s="430"/>
      <c r="AG11" s="430"/>
      <c r="AH11" s="430" t="str">
        <f>INDEX(EF!$K$2:$K$1001,MATCH($F$6,EF!$C$2:$C$1001,0))</f>
        <v>NA</v>
      </c>
      <c r="AI11" s="430"/>
      <c r="AJ11" s="430"/>
      <c r="AK11" s="430"/>
      <c r="AL11" s="430"/>
      <c r="AM11" s="431"/>
    </row>
    <row r="12" spans="2:39" ht="15" customHeight="1" x14ac:dyDescent="0.25"/>
    <row r="13" spans="2:39" ht="15" customHeight="1" x14ac:dyDescent="0.25">
      <c r="B13" s="397" t="s">
        <v>5</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row>
    <row r="14" spans="2:39" ht="15" customHeight="1" x14ac:dyDescent="0.25">
      <c r="B14" s="394" t="s">
        <v>10</v>
      </c>
      <c r="C14" s="395"/>
      <c r="D14" s="395"/>
      <c r="E14" s="395"/>
      <c r="F14" s="395"/>
      <c r="G14" s="395"/>
      <c r="H14" s="395"/>
      <c r="I14" s="395"/>
      <c r="J14" s="395"/>
      <c r="K14" s="396"/>
      <c r="L14" s="394" t="s">
        <v>2</v>
      </c>
      <c r="M14" s="395"/>
      <c r="N14" s="395"/>
      <c r="O14" s="395"/>
      <c r="P14" s="395"/>
      <c r="Q14" s="395"/>
      <c r="R14" s="395"/>
      <c r="S14" s="395"/>
      <c r="T14" s="395"/>
      <c r="U14" s="395"/>
      <c r="V14" s="395"/>
      <c r="W14" s="395"/>
      <c r="X14" s="395"/>
      <c r="Y14" s="395"/>
      <c r="Z14" s="395"/>
      <c r="AA14" s="395" t="s">
        <v>11</v>
      </c>
      <c r="AB14" s="395"/>
      <c r="AC14" s="395"/>
      <c r="AD14" s="395"/>
      <c r="AE14" s="395"/>
      <c r="AF14" s="395"/>
      <c r="AG14" s="395"/>
      <c r="AH14" s="395"/>
      <c r="AI14" s="395"/>
      <c r="AJ14" s="395"/>
      <c r="AK14" s="395"/>
      <c r="AL14" s="395"/>
      <c r="AM14" s="396"/>
    </row>
    <row r="15" spans="2:39" ht="15" customHeight="1" x14ac:dyDescent="0.25">
      <c r="B15" s="385" t="s">
        <v>1</v>
      </c>
      <c r="C15" s="385"/>
      <c r="D15" s="385"/>
      <c r="E15" s="434" t="s">
        <v>6</v>
      </c>
      <c r="F15" s="435"/>
      <c r="G15" s="435"/>
      <c r="H15" s="435"/>
      <c r="I15" s="435"/>
      <c r="J15" s="435"/>
      <c r="K15" s="436"/>
      <c r="L15" s="434" t="s">
        <v>7</v>
      </c>
      <c r="M15" s="435"/>
      <c r="N15" s="435"/>
      <c r="O15" s="435"/>
      <c r="P15" s="435"/>
      <c r="Q15" s="435"/>
      <c r="R15" s="435"/>
      <c r="S15" s="435"/>
      <c r="T15" s="435"/>
      <c r="U15" s="436"/>
      <c r="V15" s="434" t="s">
        <v>8</v>
      </c>
      <c r="W15" s="435"/>
      <c r="X15" s="435"/>
      <c r="Y15" s="435"/>
      <c r="Z15" s="436"/>
      <c r="AA15" s="434" t="s">
        <v>981</v>
      </c>
      <c r="AB15" s="435"/>
      <c r="AC15" s="435"/>
      <c r="AD15" s="435"/>
      <c r="AE15" s="435"/>
      <c r="AF15" s="436"/>
      <c r="AG15" s="434" t="s">
        <v>980</v>
      </c>
      <c r="AH15" s="435"/>
      <c r="AI15" s="435"/>
      <c r="AJ15" s="435"/>
      <c r="AK15" s="435"/>
      <c r="AL15" s="435"/>
      <c r="AM15" s="436"/>
    </row>
    <row r="16" spans="2:39" ht="15" customHeight="1" x14ac:dyDescent="0.25">
      <c r="B16" s="441"/>
      <c r="C16" s="442"/>
      <c r="D16" s="442"/>
      <c r="E16" s="443"/>
      <c r="F16" s="443"/>
      <c r="G16" s="443"/>
      <c r="H16" s="443"/>
      <c r="I16" s="443"/>
      <c r="J16" s="443"/>
      <c r="K16" s="443"/>
      <c r="L16" s="439"/>
      <c r="M16" s="439"/>
      <c r="N16" s="439"/>
      <c r="O16" s="439"/>
      <c r="P16" s="439"/>
      <c r="Q16" s="439"/>
      <c r="R16" s="439"/>
      <c r="S16" s="439"/>
      <c r="T16" s="439"/>
      <c r="U16" s="439"/>
      <c r="V16" s="443"/>
      <c r="W16" s="443"/>
      <c r="X16" s="443"/>
      <c r="Y16" s="443"/>
      <c r="Z16" s="443"/>
      <c r="AA16" s="439"/>
      <c r="AB16" s="439"/>
      <c r="AC16" s="439"/>
      <c r="AD16" s="439"/>
      <c r="AE16" s="439"/>
      <c r="AF16" s="439"/>
      <c r="AG16" s="439"/>
      <c r="AH16" s="439"/>
      <c r="AI16" s="439"/>
      <c r="AJ16" s="439"/>
      <c r="AK16" s="439"/>
      <c r="AL16" s="439"/>
      <c r="AM16" s="440"/>
    </row>
    <row r="17" spans="2:39" ht="15" customHeight="1" x14ac:dyDescent="0.25">
      <c r="B17" s="434" t="s">
        <v>18</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6"/>
      <c r="AA17" s="435" t="s">
        <v>3</v>
      </c>
      <c r="AB17" s="435"/>
      <c r="AC17" s="435"/>
      <c r="AD17" s="435"/>
      <c r="AE17" s="435"/>
      <c r="AF17" s="435"/>
      <c r="AG17" s="435"/>
      <c r="AH17" s="435"/>
      <c r="AI17" s="435"/>
      <c r="AJ17" s="435"/>
      <c r="AK17" s="435"/>
      <c r="AL17" s="435"/>
      <c r="AM17" s="436"/>
    </row>
    <row r="18" spans="2:39" ht="15" customHeight="1" x14ac:dyDescent="0.25">
      <c r="B18" s="437"/>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9"/>
      <c r="AB18" s="439"/>
      <c r="AC18" s="439"/>
      <c r="AD18" s="439"/>
      <c r="AE18" s="439"/>
      <c r="AF18" s="439"/>
      <c r="AG18" s="439"/>
      <c r="AH18" s="439"/>
      <c r="AI18" s="439"/>
      <c r="AJ18" s="439"/>
      <c r="AK18" s="439"/>
      <c r="AL18" s="439"/>
      <c r="AM18" s="440"/>
    </row>
    <row r="19" spans="2:39" ht="15" customHeight="1" x14ac:dyDescent="0.25">
      <c r="B19" s="386" t="s">
        <v>17</v>
      </c>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8"/>
      <c r="AJ19" s="386" t="s">
        <v>0</v>
      </c>
      <c r="AK19" s="387"/>
      <c r="AL19" s="387"/>
      <c r="AM19" s="387"/>
    </row>
    <row r="20" spans="2:39" ht="15" customHeight="1" x14ac:dyDescent="0.25">
      <c r="B20" s="426" t="str">
        <f>INDEX(B!G2:G75,MATCH($E$20,B!H2:H75,0))</f>
        <v>PAI</v>
      </c>
      <c r="C20" s="417"/>
      <c r="D20" s="417"/>
      <c r="E20" s="423" t="s">
        <v>1176</v>
      </c>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5"/>
      <c r="AJ20" s="417">
        <f>Inconsistencias!U2</f>
        <v>2025</v>
      </c>
      <c r="AK20" s="417"/>
      <c r="AL20" s="417"/>
      <c r="AM20" s="418"/>
    </row>
    <row r="21" spans="2:39" ht="15" customHeight="1" x14ac:dyDescent="0.25">
      <c r="B21" s="427"/>
      <c r="C21" s="419"/>
      <c r="D21" s="419"/>
      <c r="E21" s="423"/>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5"/>
      <c r="AJ21" s="419"/>
      <c r="AK21" s="419"/>
      <c r="AL21" s="419"/>
      <c r="AM21" s="420"/>
    </row>
    <row r="22" spans="2:39" ht="15" customHeight="1" x14ac:dyDescent="0.25">
      <c r="B22" s="386" t="s">
        <v>506</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row>
    <row r="23" spans="2:39" ht="15" customHeight="1" x14ac:dyDescent="0.25">
      <c r="B23" s="389" t="s">
        <v>499</v>
      </c>
      <c r="C23" s="389"/>
      <c r="D23" s="389"/>
      <c r="E23" s="389"/>
      <c r="F23" s="389"/>
      <c r="G23" s="389"/>
      <c r="H23" s="389"/>
      <c r="I23" s="389"/>
      <c r="J23" s="389"/>
      <c r="K23" s="389"/>
      <c r="L23" s="389"/>
      <c r="M23" s="389"/>
      <c r="N23" s="389"/>
      <c r="O23" s="389"/>
      <c r="P23" s="389"/>
      <c r="Q23" s="389"/>
      <c r="R23" s="389"/>
      <c r="S23" s="389"/>
      <c r="T23" s="389"/>
      <c r="U23" s="389"/>
      <c r="V23" s="389"/>
      <c r="W23" s="389"/>
      <c r="X23" s="389" t="s">
        <v>1209</v>
      </c>
      <c r="Y23" s="389"/>
      <c r="Z23" s="389"/>
      <c r="AA23" s="389"/>
      <c r="AB23" s="389"/>
      <c r="AC23" s="389"/>
      <c r="AD23" s="389"/>
      <c r="AE23" s="389"/>
      <c r="AF23" s="389"/>
      <c r="AG23" s="389"/>
      <c r="AH23" s="389"/>
      <c r="AI23" s="389"/>
      <c r="AJ23" s="389"/>
      <c r="AK23" s="389"/>
      <c r="AL23" s="389"/>
      <c r="AM23" s="389"/>
    </row>
    <row r="24" spans="2:39" ht="15" customHeight="1" x14ac:dyDescent="0.25">
      <c r="B24" s="385" t="s">
        <v>1216</v>
      </c>
      <c r="C24" s="385"/>
      <c r="D24" s="385"/>
      <c r="E24" s="385"/>
      <c r="F24" s="385"/>
      <c r="G24" s="385"/>
      <c r="H24" s="385"/>
      <c r="I24" s="385" t="s">
        <v>507</v>
      </c>
      <c r="J24" s="385"/>
      <c r="K24" s="385"/>
      <c r="L24" s="385"/>
      <c r="M24" s="385"/>
      <c r="N24" s="385"/>
      <c r="O24" s="385" t="s">
        <v>1945</v>
      </c>
      <c r="P24" s="385"/>
      <c r="Q24" s="385"/>
      <c r="R24" s="385"/>
      <c r="S24" s="385"/>
      <c r="T24" s="385"/>
      <c r="U24" s="385"/>
      <c r="V24" s="385"/>
      <c r="W24" s="385"/>
      <c r="X24" s="390" t="s">
        <v>1174</v>
      </c>
      <c r="Y24" s="390"/>
      <c r="Z24" s="390"/>
      <c r="AA24" s="390"/>
      <c r="AB24" s="390"/>
      <c r="AC24" s="390"/>
      <c r="AD24" s="390"/>
      <c r="AE24" s="390"/>
      <c r="AF24" s="390" t="s">
        <v>1175</v>
      </c>
      <c r="AG24" s="390"/>
      <c r="AH24" s="390"/>
      <c r="AI24" s="390"/>
      <c r="AJ24" s="390"/>
      <c r="AK24" s="390"/>
      <c r="AL24" s="390"/>
      <c r="AM24" s="390"/>
    </row>
    <row r="25" spans="2:39" ht="15" customHeight="1" x14ac:dyDescent="0.25">
      <c r="B25" s="393"/>
      <c r="C25" s="393"/>
      <c r="D25" s="393"/>
      <c r="E25" s="393"/>
      <c r="F25" s="393"/>
      <c r="G25" s="393"/>
      <c r="H25" s="393"/>
      <c r="I25" s="392"/>
      <c r="J25" s="392"/>
      <c r="K25" s="392"/>
      <c r="L25" s="392"/>
      <c r="M25" s="392"/>
      <c r="N25" s="392"/>
      <c r="O25" s="393"/>
      <c r="P25" s="393"/>
      <c r="Q25" s="393"/>
      <c r="R25" s="393"/>
      <c r="S25" s="393"/>
      <c r="T25" s="393"/>
      <c r="U25" s="393"/>
      <c r="V25" s="393"/>
      <c r="W25" s="393"/>
      <c r="X25" s="391"/>
      <c r="Y25" s="391"/>
      <c r="Z25" s="391"/>
      <c r="AA25" s="391"/>
      <c r="AB25" s="391"/>
      <c r="AC25" s="391"/>
      <c r="AD25" s="391"/>
      <c r="AE25" s="391"/>
      <c r="AF25" s="391"/>
      <c r="AG25" s="391"/>
      <c r="AH25" s="391"/>
      <c r="AI25" s="391"/>
      <c r="AJ25" s="391"/>
      <c r="AK25" s="391"/>
      <c r="AL25" s="391"/>
      <c r="AM25" s="391"/>
    </row>
    <row r="26" spans="2:39" ht="15" customHeight="1" x14ac:dyDescent="0.25"/>
    <row r="27" spans="2:39" ht="15" customHeight="1" x14ac:dyDescent="0.25">
      <c r="B27" s="397" t="s">
        <v>9</v>
      </c>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8"/>
      <c r="AG27" s="398"/>
      <c r="AH27" s="398"/>
      <c r="AI27" s="398"/>
      <c r="AJ27" s="398"/>
      <c r="AK27" s="398"/>
      <c r="AL27" s="398"/>
      <c r="AM27" s="398"/>
    </row>
    <row r="28" spans="2:39" ht="15" customHeight="1" x14ac:dyDescent="0.25">
      <c r="B28" s="394" t="s">
        <v>1756</v>
      </c>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6"/>
    </row>
    <row r="29" spans="2:39" ht="15" customHeight="1" x14ac:dyDescent="0.25">
      <c r="B29" s="262" t="str">
        <f>Inconsistencias!B10</f>
        <v>X</v>
      </c>
      <c r="C29" s="273" t="s">
        <v>1726</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394" t="s">
        <v>1757</v>
      </c>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6"/>
    </row>
    <row r="40" spans="2:39" ht="15" customHeight="1" x14ac:dyDescent="0.25">
      <c r="B40" s="276" t="str">
        <f>IF(C40="• No adjunta la información del presupuesto en formato electrónico.",1,"")</f>
        <v/>
      </c>
      <c r="C40" s="383" t="str">
        <f>IF(C41="• No se envía el acta de aprobación al presupuesto.","",IF(AG16&gt;0,"","• No adjunta la información del presupuesto en formato electrónico."))</f>
        <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4"/>
    </row>
    <row r="41" spans="2:39" ht="15" customHeight="1" x14ac:dyDescent="0.25">
      <c r="B41" s="276">
        <f>IF(C41="• No se envía el acta de aprobación al presupuesto.",1,"")</f>
        <v>1</v>
      </c>
      <c r="C41" s="383" t="str">
        <f>IF(B25="","• No se envía el acta de aprobación al presupuesto.","")</f>
        <v>• No se envía el acta de aprobación al presupuesto.</v>
      </c>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4"/>
    </row>
    <row r="42" spans="2:39" ht="15" customHeight="1" x14ac:dyDescent="0.25">
      <c r="B42" s="276" t="str">
        <f>IF(C42="• El presupuesto se aprobó posterior al 30 de diciembre de "&amp;AJ20-1&amp;", incumpliendo lo establecido en el art. 218 de la LHM.",1,"")</f>
        <v/>
      </c>
      <c r="C42" s="383" t="str">
        <f>IF(I25&gt;45290,"• El presupuesto se aprobó posterior al 30 de diciembre de "&amp;AJ20-1&amp;", incumpliendo lo establecido en el art. 218 de la LHM.","")</f>
        <v/>
      </c>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4"/>
    </row>
    <row r="43" spans="2:39" ht="15" customHeight="1" x14ac:dyDescent="0.25">
      <c r="B43" s="276" t="str">
        <f>IF(C43="• En el acta unicamente hace referencia a la aprobación del presupuesto sin indicar por cuanto se aprobo.",1,"")</f>
        <v/>
      </c>
      <c r="C43" s="383" t="str">
        <f>IF(C41="• No se envía el acta de aprobación al presupuesto.","",IF(AF25&gt;0,IF(X25="","• En el acta únicamente hace referencia a la aprobación del presupuesto sin indicar por cuanto se aprobó.","")))</f>
        <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4"/>
    </row>
    <row r="44" spans="2:39" ht="15" customHeight="1" x14ac:dyDescent="0.25">
      <c r="B44" s="276" t="str">
        <f>IF(C44="• Existe diferencia entre lo establecido en el acta de aprobación y la información remitida en los formatos del presupuesto.",1,"")</f>
        <v/>
      </c>
      <c r="C44" s="383" t="str">
        <f>IF(C41="• No se envía el acta de aprobación al presupuesto.","",IF(X25="","",IF(X25=AF25,"","• Existe diferencia entre lo establecido en el acta de aprobación y la información remitida en los formatos del presupuesto.")))</f>
        <v/>
      </c>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4"/>
    </row>
    <row r="45" spans="2:39" ht="50.25" customHeight="1" x14ac:dyDescent="0.25">
      <c r="B45" s="276" t="str">
        <f>IF(C45="","",1)</f>
        <v/>
      </c>
      <c r="C45" s="44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5"/>
    </row>
    <row r="46" spans="2:39" ht="15" customHeight="1" x14ac:dyDescent="0.25">
      <c r="B46" s="276" t="str">
        <f>IF(C46="• El total de la estimación de ingresos es diferente al total del presupuesto de egresos.",1,"")</f>
        <v/>
      </c>
      <c r="C46" s="322" t="str">
        <f>Inconsistencias!B31</f>
        <v/>
      </c>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3"/>
    </row>
    <row r="47" spans="2:39" ht="15" customHeight="1" x14ac:dyDescent="0.25">
      <c r="B47" s="276" t="str">
        <f>IF(C47="• Se observa diferencia entre la estimación de ingresos fiscales (11) y los egresos pagaderos con dicha fuente de financiamiento.",1,"")</f>
        <v/>
      </c>
      <c r="C47" s="322" t="str">
        <f>Inconsistencias!B32</f>
        <v/>
      </c>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3"/>
    </row>
    <row r="48" spans="2:39" ht="15" customHeight="1" x14ac:dyDescent="0.25">
      <c r="B48" s="276" t="str">
        <f>IF(C48="• Se observa diferencia entre la estimación de financiamiento interno (12) y los egresos pagaderos con dicha fuente de financiamiento.",1,"")</f>
        <v/>
      </c>
      <c r="C48" s="322" t="str">
        <f>Inconsistencias!B33</f>
        <v/>
      </c>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3"/>
    </row>
    <row r="49" spans="2:39" ht="15" customHeight="1" x14ac:dyDescent="0.25">
      <c r="B49" s="276" t="str">
        <f>IF(C49="• Se observa diferencia entre la estimación de ingresos propios (14) y los egresos pagaderos con dicha fuente de financiamiento.",1,"")</f>
        <v/>
      </c>
      <c r="C49" s="322" t="str">
        <f>Inconsistencias!B34</f>
        <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3"/>
    </row>
    <row r="50" spans="2:39" ht="15" customHeight="1" x14ac:dyDescent="0.25">
      <c r="B50" s="276" t="str">
        <f>IF(C50="• Se observa diferencia entre la estimación de ingresos de recursos federales de libre disposición (15) y los egresos pagaderos con dicha fuente de financiamiento.",1,"")</f>
        <v/>
      </c>
      <c r="C50" s="322" t="str">
        <f>Inconsistencias!B35</f>
        <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3"/>
    </row>
    <row r="51" spans="2:39" ht="15" customHeight="1" x14ac:dyDescent="0.25">
      <c r="B51" s="276" t="str">
        <f>IF(C51="• Se observa diferencia entre la estimación de ingresos de recursos estatales de libre disposición (16) y los egresos pagaderos con dicha fuente de financiamiento.",1,"")</f>
        <v/>
      </c>
      <c r="C51" s="322" t="str">
        <f>Inconsistencias!B36</f>
        <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3"/>
    </row>
    <row r="52" spans="2:39" ht="15" customHeight="1" x14ac:dyDescent="0.25">
      <c r="B52" s="276" t="str">
        <f>IF(C52="• Se observa diferencia entre la estimación de ingresos de otros recursos de libre disposición (17) y los egresos pagaderos con dicha fuente de financiamiento.",1,"")</f>
        <v/>
      </c>
      <c r="C52" s="322" t="str">
        <f>Inconsistencias!B37</f>
        <v/>
      </c>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row>
    <row r="53" spans="2:39" ht="15" customHeight="1" x14ac:dyDescent="0.25">
      <c r="B53" s="276" t="str">
        <f>IF(C53="• Se observa diferencia entre la estimación de ingresos de recursos federales etiquetados (25) y los egresos pagaderos con dicha fuente de financiamiento.",1,"")</f>
        <v/>
      </c>
      <c r="C53" s="322" t="str">
        <f>Inconsistencias!B38</f>
        <v/>
      </c>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3"/>
    </row>
    <row r="54" spans="2:39" ht="15" customHeight="1" x14ac:dyDescent="0.25">
      <c r="B54" s="276" t="str">
        <f>IF(C54="• Se observa diferencia entre la estimación de ingresos de recursos estatales etiquetados (26) y los egresos pagaderos con dicha fuente de financiamiento.",1,"")</f>
        <v/>
      </c>
      <c r="C54" s="322" t="str">
        <f>Inconsistencias!B39</f>
        <v/>
      </c>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3"/>
    </row>
    <row r="55" spans="2:39" ht="22.5" customHeight="1" x14ac:dyDescent="0.25">
      <c r="B55" s="276" t="str">
        <f>IF(C55="• Se observa diferencia entre la estimación de ingresos otros recursos de transferencia federal etiquetados (27) y los egresos pagaderos con dicha fuente de financiamiento.",1,"")</f>
        <v/>
      </c>
      <c r="C55" s="322" t="str">
        <f>Inconsistencias!B40</f>
        <v/>
      </c>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3"/>
    </row>
    <row r="56" spans="2:39" ht="15" customHeight="1" x14ac:dyDescent="0.25">
      <c r="B56" s="276" t="str">
        <f>IF(C56="• El total del presupuesto de egresos en su clasificación por objeto del gasto difiere con el total de los egresos por clasificación funcional del gasto.",1,"")</f>
        <v/>
      </c>
      <c r="C56" s="322" t="str">
        <f>Inconsistencias!B42</f>
        <v/>
      </c>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3"/>
    </row>
    <row r="57" spans="2:39" ht="15" customHeight="1" x14ac:dyDescent="0.25">
      <c r="B57" s="276" t="str">
        <f>IF(C57="• El total del presupuesto de egresos en su clasificación por objeto del gasto difiere con el total de los egresos en la clasificación administrativa.",1,"")</f>
        <v/>
      </c>
      <c r="C57" s="322" t="str">
        <f>Inconsistencias!B43</f>
        <v/>
      </c>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3"/>
    </row>
    <row r="58" spans="2:39" ht="15" customHeight="1" x14ac:dyDescent="0.25">
      <c r="B58" s="276" t="str">
        <f>IF(C58="• A todo FIN debe existir un PROPÓSITO, en este caso, en el nivel de MIR se establece FIN(ES) y no se tiene el mismo número de PROPÓSITO(S).",1,"")</f>
        <v/>
      </c>
      <c r="C58" s="322" t="str">
        <f>Inconsistencias!B45</f>
        <v/>
      </c>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3"/>
    </row>
    <row r="59" spans="2:39" ht="15" customHeight="1" x14ac:dyDescent="0.25">
      <c r="B59" s="276" t="str">
        <f>IF(C59="• A todo PROPÓSITO debe existir un FIN, en este caso, en el nivel de MIR se establece PROPÓSITO(S) y no se tiene el mismo número de FIN(ES).",1,"")</f>
        <v/>
      </c>
      <c r="C59" s="322" t="str">
        <f>Inconsistencias!B46</f>
        <v/>
      </c>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3"/>
    </row>
    <row r="60" spans="2:39" ht="15" customHeight="1" x14ac:dyDescent="0.25">
      <c r="B60" s="276" t="str">
        <f>IF(C60="• Establecido el FIN y PROPÓSITO se construyen los COMPONENTES, en este caso, en el Nivel de MIR se establece FIN(ES) y PROPÓSITO(S) y no se tiene o es menor al número de COMPONENTE(S).",1,"")</f>
        <v/>
      </c>
      <c r="C60" s="322" t="str">
        <f>Inconsistencias!B47</f>
        <v/>
      </c>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3"/>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322" t="str">
        <f>Inconsistencias!B48</f>
        <v/>
      </c>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3"/>
    </row>
    <row r="62" spans="2:39" ht="22.35" customHeight="1" x14ac:dyDescent="0.25">
      <c r="B62" s="276" t="str">
        <f>IF(C62="• El presupuesto de egresos en su clasificación por objeto del gasto difiere con lo erogado en la MIR y/o Indicadores de gestión, en lo correspondiente al capítulo 1000.",1,"")</f>
        <v/>
      </c>
      <c r="C62" s="322" t="str">
        <f>Inconsistencias!B49</f>
        <v/>
      </c>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3"/>
    </row>
    <row r="63" spans="2:39" ht="22.35" customHeight="1" x14ac:dyDescent="0.25">
      <c r="B63" s="276" t="str">
        <f>IF(C63="• El presupuesto de egresos en su clasificación por objeto del gasto difiere con lo erogado en la MIR y/o Indicadores de gestión, en lo correspondiente al capítulo 2000.",1,"")</f>
        <v/>
      </c>
      <c r="C63" s="322" t="str">
        <f>Inconsistencias!B50</f>
        <v/>
      </c>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3"/>
    </row>
    <row r="64" spans="2:39" ht="26.25" customHeight="1" x14ac:dyDescent="0.25">
      <c r="B64" s="276" t="str">
        <f>IF(C64="• El presupuesto de egresos en su clasificación por objeto del gasto difiere con lo erogado en la MIR y/o Indicadores de gestión, en lo correspondiente al capítulo 3000.",1,"")</f>
        <v/>
      </c>
      <c r="C64" s="322" t="str">
        <f>Inconsistencias!B51</f>
        <v/>
      </c>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row>
    <row r="65" spans="2:39" ht="26.25" customHeight="1" x14ac:dyDescent="0.25">
      <c r="B65" s="276" t="str">
        <f>IF(C65="• El presupuesto de egresos en su clasificación por objeto del gasto difiere con lo erogado en la MIR y/o Indicadores de gestión, en lo correspondiente al capítulo 4000.",1,"")</f>
        <v/>
      </c>
      <c r="C65" s="322" t="str">
        <f>Inconsistencias!B52</f>
        <v/>
      </c>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3"/>
    </row>
    <row r="66" spans="2:39" ht="26.25" customHeight="1" x14ac:dyDescent="0.25">
      <c r="B66" s="276" t="str">
        <f>IF(C66="• El presupuesto de egresos en su clasificación por objeto del gasto difiere con lo erogado en la MIR y/o Indicadores de gestión, en lo correspondiente al capítulo 5000.",1,"")</f>
        <v/>
      </c>
      <c r="C66" s="322" t="str">
        <f>Inconsistencias!B53</f>
        <v/>
      </c>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3"/>
    </row>
    <row r="67" spans="2:39" ht="26.25" customHeight="1" x14ac:dyDescent="0.25">
      <c r="B67" s="276" t="str">
        <f>IF(C67="• El presupuesto de egresos en su clasificación por objeto del gasto difiere con lo erogado en la MIR y/o Indicadores de gestión, en lo correspondiente al capítulo 6000.",1,"")</f>
        <v/>
      </c>
      <c r="C67" s="322" t="str">
        <f>Inconsistencias!B54</f>
        <v/>
      </c>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3"/>
    </row>
    <row r="68" spans="2:39" ht="26.25" customHeight="1" x14ac:dyDescent="0.25">
      <c r="B68" s="276" t="str">
        <f>IF(C68="• El presupuesto de egresos en su clasificación por objeto del gasto difiere con lo erogado en la MIR y/o Indicadores de gestión, en lo correspondiente al capítulo 7000.",1,"")</f>
        <v/>
      </c>
      <c r="C68" s="322" t="str">
        <f>Inconsistencias!B55</f>
        <v/>
      </c>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3"/>
    </row>
    <row r="69" spans="2:39" ht="26.25" customHeight="1" x14ac:dyDescent="0.25">
      <c r="B69" s="276" t="str">
        <f>IF(C69="• El presupuesto de egresos en su clasificación por objeto del gasto difiere con lo erogado en la MIR y/o Indicadores de gestión, en lo correspondiente al capítulo 8000.",1,"")</f>
        <v/>
      </c>
      <c r="C69" s="322" t="str">
        <f>Inconsistencias!B56</f>
        <v/>
      </c>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3"/>
    </row>
    <row r="70" spans="2:39" ht="26.25" customHeight="1" x14ac:dyDescent="0.25">
      <c r="B70" s="276" t="str">
        <f>IF(C70="• El presupuesto de egresos en su clasificación por objeto del gasto difiere con lo erogado en la MIR y/o Indicadores de gestión, en lo correspondiente al capítulo 9000.",1,"")</f>
        <v/>
      </c>
      <c r="C70" s="322" t="str">
        <f>Inconsistencias!B57</f>
        <v/>
      </c>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3"/>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86" t="s">
        <v>1142</v>
      </c>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8"/>
    </row>
    <row r="73" spans="2:39" ht="15" customHeight="1" x14ac:dyDescent="0.25">
      <c r="B73" s="346" t="s">
        <v>1730</v>
      </c>
      <c r="C73" s="347"/>
      <c r="D73" s="347"/>
      <c r="E73" s="347"/>
      <c r="F73" s="347"/>
      <c r="G73" s="348"/>
      <c r="H73" s="346" t="s">
        <v>1732</v>
      </c>
      <c r="I73" s="347"/>
      <c r="J73" s="347"/>
      <c r="K73" s="348"/>
      <c r="L73" s="346" t="s">
        <v>1734</v>
      </c>
      <c r="M73" s="347"/>
      <c r="N73" s="347"/>
      <c r="O73" s="347"/>
      <c r="P73" s="347"/>
      <c r="Q73" s="347"/>
      <c r="R73" s="347"/>
      <c r="S73" s="347"/>
      <c r="T73" s="348"/>
      <c r="U73" s="346" t="s">
        <v>1735</v>
      </c>
      <c r="V73" s="348"/>
      <c r="W73" s="346" t="s">
        <v>1736</v>
      </c>
      <c r="X73" s="347"/>
      <c r="Y73" s="347"/>
      <c r="Z73" s="347"/>
      <c r="AA73" s="348"/>
      <c r="AB73" s="346" t="s">
        <v>1737</v>
      </c>
      <c r="AC73" s="348"/>
      <c r="AD73" s="346" t="s">
        <v>1738</v>
      </c>
      <c r="AE73" s="347"/>
      <c r="AF73" s="347"/>
      <c r="AG73" s="347"/>
      <c r="AH73" s="347"/>
      <c r="AI73" s="347"/>
      <c r="AJ73" s="347"/>
      <c r="AK73" s="347"/>
      <c r="AL73" s="347"/>
      <c r="AM73" s="348"/>
    </row>
    <row r="74" spans="2:39" ht="17.45" customHeight="1" x14ac:dyDescent="0.25">
      <c r="B74" s="311" t="s">
        <v>1731</v>
      </c>
      <c r="C74" s="312"/>
      <c r="D74" s="312"/>
      <c r="E74" s="312"/>
      <c r="F74" s="312"/>
      <c r="G74" s="324"/>
      <c r="H74" s="311" t="s">
        <v>1783</v>
      </c>
      <c r="I74" s="312"/>
      <c r="J74" s="312"/>
      <c r="K74" s="324"/>
      <c r="L74" s="311" t="s">
        <v>1733</v>
      </c>
      <c r="M74" s="312"/>
      <c r="N74" s="312"/>
      <c r="O74" s="312"/>
      <c r="P74" s="312"/>
      <c r="Q74" s="312"/>
      <c r="R74" s="312"/>
      <c r="S74" s="312"/>
      <c r="T74" s="324"/>
      <c r="U74" s="331"/>
      <c r="V74" s="332"/>
      <c r="W74" s="357" t="s">
        <v>1729</v>
      </c>
      <c r="X74" s="358"/>
      <c r="Y74" s="358"/>
      <c r="Z74" s="358"/>
      <c r="AA74" s="359"/>
      <c r="AB74" s="311" t="s">
        <v>1729</v>
      </c>
      <c r="AC74" s="324"/>
      <c r="AD74" s="368"/>
      <c r="AE74" s="369"/>
      <c r="AF74" s="369"/>
      <c r="AG74" s="369"/>
      <c r="AH74" s="369"/>
      <c r="AI74" s="369"/>
      <c r="AJ74" s="369"/>
      <c r="AK74" s="369"/>
      <c r="AL74" s="369"/>
      <c r="AM74" s="370"/>
    </row>
    <row r="75" spans="2:39" ht="17.45" customHeight="1" x14ac:dyDescent="0.25">
      <c r="B75" s="325"/>
      <c r="C75" s="326"/>
      <c r="D75" s="326"/>
      <c r="E75" s="326"/>
      <c r="F75" s="326"/>
      <c r="G75" s="327"/>
      <c r="H75" s="325"/>
      <c r="I75" s="326"/>
      <c r="J75" s="326"/>
      <c r="K75" s="327"/>
      <c r="L75" s="325"/>
      <c r="M75" s="326"/>
      <c r="N75" s="326"/>
      <c r="O75" s="326"/>
      <c r="P75" s="326"/>
      <c r="Q75" s="326"/>
      <c r="R75" s="326"/>
      <c r="S75" s="326"/>
      <c r="T75" s="327"/>
      <c r="U75" s="333"/>
      <c r="V75" s="334"/>
      <c r="W75" s="360"/>
      <c r="X75" s="361"/>
      <c r="Y75" s="361"/>
      <c r="Z75" s="361"/>
      <c r="AA75" s="362"/>
      <c r="AB75" s="325"/>
      <c r="AC75" s="327"/>
      <c r="AD75" s="371"/>
      <c r="AE75" s="372"/>
      <c r="AF75" s="372"/>
      <c r="AG75" s="372"/>
      <c r="AH75" s="372"/>
      <c r="AI75" s="372"/>
      <c r="AJ75" s="372"/>
      <c r="AK75" s="372"/>
      <c r="AL75" s="372"/>
      <c r="AM75" s="373"/>
    </row>
    <row r="76" spans="2:39" ht="17.45" customHeight="1" x14ac:dyDescent="0.25">
      <c r="B76" s="328"/>
      <c r="C76" s="329"/>
      <c r="D76" s="329"/>
      <c r="E76" s="329"/>
      <c r="F76" s="329"/>
      <c r="G76" s="330"/>
      <c r="H76" s="328"/>
      <c r="I76" s="329"/>
      <c r="J76" s="329"/>
      <c r="K76" s="330"/>
      <c r="L76" s="328"/>
      <c r="M76" s="329"/>
      <c r="N76" s="329"/>
      <c r="O76" s="329"/>
      <c r="P76" s="329"/>
      <c r="Q76" s="329"/>
      <c r="R76" s="329"/>
      <c r="S76" s="329"/>
      <c r="T76" s="330"/>
      <c r="U76" s="335"/>
      <c r="V76" s="336"/>
      <c r="W76" s="363"/>
      <c r="X76" s="364"/>
      <c r="Y76" s="364"/>
      <c r="Z76" s="364"/>
      <c r="AA76" s="365"/>
      <c r="AB76" s="328"/>
      <c r="AC76" s="330"/>
      <c r="AD76" s="374"/>
      <c r="AE76" s="375"/>
      <c r="AF76" s="375"/>
      <c r="AG76" s="375"/>
      <c r="AH76" s="375"/>
      <c r="AI76" s="375"/>
      <c r="AJ76" s="375"/>
      <c r="AK76" s="375"/>
      <c r="AL76" s="375"/>
      <c r="AM76" s="376"/>
    </row>
    <row r="77" spans="2:39" ht="15" customHeight="1" x14ac:dyDescent="0.25">
      <c r="B77" s="311" t="s">
        <v>1739</v>
      </c>
      <c r="C77" s="312"/>
      <c r="D77" s="312"/>
      <c r="E77" s="312"/>
      <c r="F77" s="312"/>
      <c r="G77" s="324"/>
      <c r="H77" s="311" t="s">
        <v>1740</v>
      </c>
      <c r="I77" s="312"/>
      <c r="J77" s="312"/>
      <c r="K77" s="324"/>
      <c r="L77" s="311" t="s">
        <v>1741</v>
      </c>
      <c r="M77" s="312"/>
      <c r="N77" s="312"/>
      <c r="O77" s="312"/>
      <c r="P77" s="312"/>
      <c r="Q77" s="312"/>
      <c r="R77" s="312"/>
      <c r="S77" s="312"/>
      <c r="T77" s="324"/>
      <c r="U77" s="331"/>
      <c r="V77" s="332"/>
      <c r="W77" s="357" t="s">
        <v>1729</v>
      </c>
      <c r="X77" s="358"/>
      <c r="Y77" s="358"/>
      <c r="Z77" s="358"/>
      <c r="AA77" s="359"/>
      <c r="AB77" s="311" t="s">
        <v>1729</v>
      </c>
      <c r="AC77" s="324"/>
      <c r="AD77" s="368"/>
      <c r="AE77" s="369"/>
      <c r="AF77" s="369"/>
      <c r="AG77" s="369"/>
      <c r="AH77" s="369"/>
      <c r="AI77" s="369"/>
      <c r="AJ77" s="369"/>
      <c r="AK77" s="369"/>
      <c r="AL77" s="369"/>
      <c r="AM77" s="370"/>
    </row>
    <row r="78" spans="2:39" ht="15" customHeight="1" x14ac:dyDescent="0.25">
      <c r="B78" s="325"/>
      <c r="C78" s="326"/>
      <c r="D78" s="326"/>
      <c r="E78" s="326"/>
      <c r="F78" s="326"/>
      <c r="G78" s="327"/>
      <c r="H78" s="325"/>
      <c r="I78" s="326"/>
      <c r="J78" s="326"/>
      <c r="K78" s="327"/>
      <c r="L78" s="325"/>
      <c r="M78" s="326"/>
      <c r="N78" s="326"/>
      <c r="O78" s="326"/>
      <c r="P78" s="326"/>
      <c r="Q78" s="326"/>
      <c r="R78" s="326"/>
      <c r="S78" s="326"/>
      <c r="T78" s="327"/>
      <c r="U78" s="333"/>
      <c r="V78" s="334"/>
      <c r="W78" s="360"/>
      <c r="X78" s="361"/>
      <c r="Y78" s="361"/>
      <c r="Z78" s="361"/>
      <c r="AA78" s="362"/>
      <c r="AB78" s="325"/>
      <c r="AC78" s="327"/>
      <c r="AD78" s="371"/>
      <c r="AE78" s="372"/>
      <c r="AF78" s="372"/>
      <c r="AG78" s="372"/>
      <c r="AH78" s="372"/>
      <c r="AI78" s="372"/>
      <c r="AJ78" s="372"/>
      <c r="AK78" s="372"/>
      <c r="AL78" s="372"/>
      <c r="AM78" s="373"/>
    </row>
    <row r="79" spans="2:39" ht="15" customHeight="1" x14ac:dyDescent="0.25">
      <c r="B79" s="328"/>
      <c r="C79" s="329"/>
      <c r="D79" s="329"/>
      <c r="E79" s="329"/>
      <c r="F79" s="329"/>
      <c r="G79" s="330"/>
      <c r="H79" s="328"/>
      <c r="I79" s="329"/>
      <c r="J79" s="329"/>
      <c r="K79" s="330"/>
      <c r="L79" s="328"/>
      <c r="M79" s="329"/>
      <c r="N79" s="329"/>
      <c r="O79" s="329"/>
      <c r="P79" s="329"/>
      <c r="Q79" s="329"/>
      <c r="R79" s="329"/>
      <c r="S79" s="329"/>
      <c r="T79" s="330"/>
      <c r="U79" s="335"/>
      <c r="V79" s="336"/>
      <c r="W79" s="363"/>
      <c r="X79" s="364"/>
      <c r="Y79" s="364"/>
      <c r="Z79" s="364"/>
      <c r="AA79" s="365"/>
      <c r="AB79" s="328"/>
      <c r="AC79" s="330"/>
      <c r="AD79" s="374"/>
      <c r="AE79" s="375"/>
      <c r="AF79" s="375"/>
      <c r="AG79" s="375"/>
      <c r="AH79" s="375"/>
      <c r="AI79" s="375"/>
      <c r="AJ79" s="375"/>
      <c r="AK79" s="375"/>
      <c r="AL79" s="375"/>
      <c r="AM79" s="376"/>
    </row>
    <row r="80" spans="2:39" ht="15" customHeight="1" x14ac:dyDescent="0.25">
      <c r="B80" s="311" t="s">
        <v>1933</v>
      </c>
      <c r="C80" s="312"/>
      <c r="D80" s="312"/>
      <c r="E80" s="312"/>
      <c r="F80" s="312"/>
      <c r="G80" s="324"/>
      <c r="H80" s="311" t="s">
        <v>1932</v>
      </c>
      <c r="I80" s="312"/>
      <c r="J80" s="312"/>
      <c r="K80" s="324"/>
      <c r="L80" s="311" t="s">
        <v>1948</v>
      </c>
      <c r="M80" s="312"/>
      <c r="N80" s="312"/>
      <c r="O80" s="312"/>
      <c r="P80" s="312"/>
      <c r="Q80" s="312"/>
      <c r="R80" s="312"/>
      <c r="S80" s="312"/>
      <c r="T80" s="324"/>
      <c r="U80" s="349">
        <f>IF(W81=W83,1,2)</f>
        <v>2</v>
      </c>
      <c r="V80" s="350"/>
      <c r="W80" s="340" t="s">
        <v>1934</v>
      </c>
      <c r="X80" s="341"/>
      <c r="Y80" s="341"/>
      <c r="Z80" s="341"/>
      <c r="AA80" s="342"/>
      <c r="AB80" s="377" t="e">
        <f>(W83/W81)-1</f>
        <v>#DIV/0!</v>
      </c>
      <c r="AC80" s="378"/>
      <c r="AD80" s="368"/>
      <c r="AE80" s="369"/>
      <c r="AF80" s="369"/>
      <c r="AG80" s="369"/>
      <c r="AH80" s="369"/>
      <c r="AI80" s="369"/>
      <c r="AJ80" s="369"/>
      <c r="AK80" s="369"/>
      <c r="AL80" s="369"/>
      <c r="AM80" s="370"/>
    </row>
    <row r="81" spans="2:39" ht="15" customHeight="1" x14ac:dyDescent="0.25">
      <c r="B81" s="325"/>
      <c r="C81" s="326"/>
      <c r="D81" s="326"/>
      <c r="E81" s="326"/>
      <c r="F81" s="326"/>
      <c r="G81" s="327"/>
      <c r="H81" s="325"/>
      <c r="I81" s="326"/>
      <c r="J81" s="326"/>
      <c r="K81" s="327"/>
      <c r="L81" s="325"/>
      <c r="M81" s="326"/>
      <c r="N81" s="326"/>
      <c r="O81" s="326"/>
      <c r="P81" s="326"/>
      <c r="Q81" s="326"/>
      <c r="R81" s="326"/>
      <c r="S81" s="326"/>
      <c r="T81" s="327"/>
      <c r="U81" s="351"/>
      <c r="V81" s="352"/>
      <c r="W81" s="343"/>
      <c r="X81" s="344"/>
      <c r="Y81" s="344"/>
      <c r="Z81" s="344"/>
      <c r="AA81" s="345"/>
      <c r="AB81" s="379"/>
      <c r="AC81" s="380"/>
      <c r="AD81" s="371"/>
      <c r="AE81" s="372"/>
      <c r="AF81" s="372"/>
      <c r="AG81" s="372"/>
      <c r="AH81" s="372"/>
      <c r="AI81" s="372"/>
      <c r="AJ81" s="372"/>
      <c r="AK81" s="372"/>
      <c r="AL81" s="372"/>
      <c r="AM81" s="373"/>
    </row>
    <row r="82" spans="2:39" ht="15" customHeight="1" x14ac:dyDescent="0.25">
      <c r="B82" s="325"/>
      <c r="C82" s="326"/>
      <c r="D82" s="326"/>
      <c r="E82" s="326"/>
      <c r="F82" s="326"/>
      <c r="G82" s="327"/>
      <c r="H82" s="325"/>
      <c r="I82" s="326"/>
      <c r="J82" s="326"/>
      <c r="K82" s="327"/>
      <c r="L82" s="325"/>
      <c r="M82" s="326"/>
      <c r="N82" s="326"/>
      <c r="O82" s="326"/>
      <c r="P82" s="326"/>
      <c r="Q82" s="326"/>
      <c r="R82" s="326"/>
      <c r="S82" s="326"/>
      <c r="T82" s="327"/>
      <c r="U82" s="351"/>
      <c r="V82" s="352"/>
      <c r="W82" s="340" t="s">
        <v>1946</v>
      </c>
      <c r="X82" s="341"/>
      <c r="Y82" s="341"/>
      <c r="Z82" s="341"/>
      <c r="AA82" s="342"/>
      <c r="AB82" s="379"/>
      <c r="AC82" s="380"/>
      <c r="AD82" s="371"/>
      <c r="AE82" s="372"/>
      <c r="AF82" s="372"/>
      <c r="AG82" s="372"/>
      <c r="AH82" s="372"/>
      <c r="AI82" s="372"/>
      <c r="AJ82" s="372"/>
      <c r="AK82" s="372"/>
      <c r="AL82" s="372"/>
      <c r="AM82" s="373"/>
    </row>
    <row r="83" spans="2:39" ht="15" customHeight="1" x14ac:dyDescent="0.25">
      <c r="B83" s="328"/>
      <c r="C83" s="329"/>
      <c r="D83" s="329"/>
      <c r="E83" s="329"/>
      <c r="F83" s="329"/>
      <c r="G83" s="330"/>
      <c r="H83" s="328"/>
      <c r="I83" s="329"/>
      <c r="J83" s="329"/>
      <c r="K83" s="330"/>
      <c r="L83" s="328"/>
      <c r="M83" s="329"/>
      <c r="N83" s="329"/>
      <c r="O83" s="329"/>
      <c r="P83" s="329"/>
      <c r="Q83" s="329"/>
      <c r="R83" s="329"/>
      <c r="S83" s="329"/>
      <c r="T83" s="330"/>
      <c r="U83" s="353"/>
      <c r="V83" s="354"/>
      <c r="W83" s="337">
        <f>'CRI-RYP'!E35</f>
        <v>79111403</v>
      </c>
      <c r="X83" s="338"/>
      <c r="Y83" s="338"/>
      <c r="Z83" s="338"/>
      <c r="AA83" s="339"/>
      <c r="AB83" s="381"/>
      <c r="AC83" s="382"/>
      <c r="AD83" s="374"/>
      <c r="AE83" s="375"/>
      <c r="AF83" s="375"/>
      <c r="AG83" s="375"/>
      <c r="AH83" s="375"/>
      <c r="AI83" s="375"/>
      <c r="AJ83" s="375"/>
      <c r="AK83" s="375"/>
      <c r="AL83" s="375"/>
      <c r="AM83" s="376"/>
    </row>
    <row r="84" spans="2:39" ht="15" customHeight="1" x14ac:dyDescent="0.25">
      <c r="B84" s="311" t="s">
        <v>1742</v>
      </c>
      <c r="C84" s="312"/>
      <c r="D84" s="312"/>
      <c r="E84" s="312"/>
      <c r="F84" s="312"/>
      <c r="G84" s="324"/>
      <c r="H84" s="311" t="s">
        <v>1745</v>
      </c>
      <c r="I84" s="312"/>
      <c r="J84" s="312"/>
      <c r="K84" s="324"/>
      <c r="L84" s="311" t="s">
        <v>1746</v>
      </c>
      <c r="M84" s="312"/>
      <c r="N84" s="312"/>
      <c r="O84" s="312"/>
      <c r="P84" s="312"/>
      <c r="Q84" s="312"/>
      <c r="R84" s="312"/>
      <c r="S84" s="312"/>
      <c r="T84" s="324"/>
      <c r="U84" s="349">
        <f>IF(W85&lt;=W87,1,2)</f>
        <v>2</v>
      </c>
      <c r="V84" s="350"/>
      <c r="W84" s="340" t="s">
        <v>1753</v>
      </c>
      <c r="X84" s="341"/>
      <c r="Y84" s="341"/>
      <c r="Z84" s="341"/>
      <c r="AA84" s="342"/>
      <c r="AB84" s="377" t="e">
        <f>(W85/W87)-1</f>
        <v>#DIV/0!</v>
      </c>
      <c r="AC84" s="378"/>
      <c r="AD84" s="368"/>
      <c r="AE84" s="369"/>
      <c r="AF84" s="369"/>
      <c r="AG84" s="369"/>
      <c r="AH84" s="369"/>
      <c r="AI84" s="369"/>
      <c r="AJ84" s="369"/>
      <c r="AK84" s="369"/>
      <c r="AL84" s="369"/>
      <c r="AM84" s="370"/>
    </row>
    <row r="85" spans="2:39" ht="15" customHeight="1" x14ac:dyDescent="0.25">
      <c r="B85" s="325"/>
      <c r="C85" s="326"/>
      <c r="D85" s="326"/>
      <c r="E85" s="326"/>
      <c r="F85" s="326"/>
      <c r="G85" s="327"/>
      <c r="H85" s="325"/>
      <c r="I85" s="326"/>
      <c r="J85" s="326"/>
      <c r="K85" s="327"/>
      <c r="L85" s="325"/>
      <c r="M85" s="326"/>
      <c r="N85" s="326"/>
      <c r="O85" s="326"/>
      <c r="P85" s="326"/>
      <c r="Q85" s="326"/>
      <c r="R85" s="326"/>
      <c r="S85" s="326"/>
      <c r="T85" s="327"/>
      <c r="U85" s="351"/>
      <c r="V85" s="352"/>
      <c r="W85" s="337">
        <f>'CRI-DE'!F109-'CRI-DE'!F121+'CRI-DE'!F130</f>
        <v>61576905</v>
      </c>
      <c r="X85" s="338"/>
      <c r="Y85" s="338"/>
      <c r="Z85" s="338"/>
      <c r="AA85" s="339"/>
      <c r="AB85" s="379"/>
      <c r="AC85" s="380"/>
      <c r="AD85" s="371"/>
      <c r="AE85" s="372"/>
      <c r="AF85" s="372"/>
      <c r="AG85" s="372"/>
      <c r="AH85" s="372"/>
      <c r="AI85" s="372"/>
      <c r="AJ85" s="372"/>
      <c r="AK85" s="372"/>
      <c r="AL85" s="372"/>
      <c r="AM85" s="373"/>
    </row>
    <row r="86" spans="2:39" ht="15" customHeight="1" x14ac:dyDescent="0.25">
      <c r="B86" s="325"/>
      <c r="C86" s="326"/>
      <c r="D86" s="326"/>
      <c r="E86" s="326"/>
      <c r="F86" s="326"/>
      <c r="G86" s="327"/>
      <c r="H86" s="325"/>
      <c r="I86" s="326"/>
      <c r="J86" s="326"/>
      <c r="K86" s="327"/>
      <c r="L86" s="325"/>
      <c r="M86" s="326"/>
      <c r="N86" s="326"/>
      <c r="O86" s="326"/>
      <c r="P86" s="326"/>
      <c r="Q86" s="326"/>
      <c r="R86" s="326"/>
      <c r="S86" s="326"/>
      <c r="T86" s="327"/>
      <c r="U86" s="351"/>
      <c r="V86" s="352"/>
      <c r="W86" s="340" t="s">
        <v>1747</v>
      </c>
      <c r="X86" s="341"/>
      <c r="Y86" s="341"/>
      <c r="Z86" s="341"/>
      <c r="AA86" s="342"/>
      <c r="AB86" s="379"/>
      <c r="AC86" s="380"/>
      <c r="AD86" s="371"/>
      <c r="AE86" s="372"/>
      <c r="AF86" s="372"/>
      <c r="AG86" s="372"/>
      <c r="AH86" s="372"/>
      <c r="AI86" s="372"/>
      <c r="AJ86" s="372"/>
      <c r="AK86" s="372"/>
      <c r="AL86" s="372"/>
      <c r="AM86" s="373"/>
    </row>
    <row r="87" spans="2:39" ht="15" customHeight="1" x14ac:dyDescent="0.25">
      <c r="B87" s="328"/>
      <c r="C87" s="329"/>
      <c r="D87" s="329"/>
      <c r="E87" s="329"/>
      <c r="F87" s="329"/>
      <c r="G87" s="330"/>
      <c r="H87" s="328"/>
      <c r="I87" s="329"/>
      <c r="J87" s="329"/>
      <c r="K87" s="330"/>
      <c r="L87" s="328"/>
      <c r="M87" s="329"/>
      <c r="N87" s="329"/>
      <c r="O87" s="329"/>
      <c r="P87" s="329"/>
      <c r="Q87" s="329"/>
      <c r="R87" s="329"/>
      <c r="S87" s="329"/>
      <c r="T87" s="330"/>
      <c r="U87" s="353"/>
      <c r="V87" s="354"/>
      <c r="W87" s="343"/>
      <c r="X87" s="344"/>
      <c r="Y87" s="344"/>
      <c r="Z87" s="344"/>
      <c r="AA87" s="345"/>
      <c r="AB87" s="381"/>
      <c r="AC87" s="382"/>
      <c r="AD87" s="374"/>
      <c r="AE87" s="375"/>
      <c r="AF87" s="375"/>
      <c r="AG87" s="375"/>
      <c r="AH87" s="375"/>
      <c r="AI87" s="375"/>
      <c r="AJ87" s="375"/>
      <c r="AK87" s="375"/>
      <c r="AL87" s="375"/>
      <c r="AM87" s="376"/>
    </row>
    <row r="88" spans="2:39" ht="15" customHeight="1" x14ac:dyDescent="0.25">
      <c r="B88" s="311" t="s">
        <v>1743</v>
      </c>
      <c r="C88" s="312"/>
      <c r="D88" s="312"/>
      <c r="E88" s="312"/>
      <c r="F88" s="312"/>
      <c r="G88" s="324"/>
      <c r="H88" s="311" t="s">
        <v>1745</v>
      </c>
      <c r="I88" s="312"/>
      <c r="J88" s="312"/>
      <c r="K88" s="324"/>
      <c r="L88" s="311" t="s">
        <v>2165</v>
      </c>
      <c r="M88" s="312"/>
      <c r="N88" s="312"/>
      <c r="O88" s="312"/>
      <c r="P88" s="312"/>
      <c r="Q88" s="312"/>
      <c r="R88" s="312"/>
      <c r="S88" s="312"/>
      <c r="T88" s="324"/>
      <c r="U88" s="349">
        <f>IF(W89&lt;=W91,1,2)</f>
        <v>2</v>
      </c>
      <c r="V88" s="350"/>
      <c r="W88" s="340" t="s">
        <v>1753</v>
      </c>
      <c r="X88" s="341"/>
      <c r="Y88" s="341"/>
      <c r="Z88" s="341"/>
      <c r="AA88" s="342"/>
      <c r="AB88" s="377" t="e">
        <f>(W89/W91)-1</f>
        <v>#DIV/0!</v>
      </c>
      <c r="AC88" s="378"/>
      <c r="AD88" s="368"/>
      <c r="AE88" s="369"/>
      <c r="AF88" s="369"/>
      <c r="AG88" s="369"/>
      <c r="AH88" s="369"/>
      <c r="AI88" s="369"/>
      <c r="AJ88" s="369"/>
      <c r="AK88" s="369"/>
      <c r="AL88" s="369"/>
      <c r="AM88" s="370"/>
    </row>
    <row r="89" spans="2:39" ht="15" customHeight="1" x14ac:dyDescent="0.25">
      <c r="B89" s="325"/>
      <c r="C89" s="326"/>
      <c r="D89" s="326"/>
      <c r="E89" s="326"/>
      <c r="F89" s="326"/>
      <c r="G89" s="327"/>
      <c r="H89" s="325"/>
      <c r="I89" s="326"/>
      <c r="J89" s="326"/>
      <c r="K89" s="327"/>
      <c r="L89" s="325"/>
      <c r="M89" s="326"/>
      <c r="N89" s="326"/>
      <c r="O89" s="326"/>
      <c r="P89" s="326"/>
      <c r="Q89" s="326"/>
      <c r="R89" s="326"/>
      <c r="S89" s="326"/>
      <c r="T89" s="327"/>
      <c r="U89" s="351"/>
      <c r="V89" s="352"/>
      <c r="W89" s="337">
        <f>'CRI-DE'!F122</f>
        <v>7572710</v>
      </c>
      <c r="X89" s="338"/>
      <c r="Y89" s="338"/>
      <c r="Z89" s="338"/>
      <c r="AA89" s="339"/>
      <c r="AB89" s="379"/>
      <c r="AC89" s="380"/>
      <c r="AD89" s="371"/>
      <c r="AE89" s="372"/>
      <c r="AF89" s="372"/>
      <c r="AG89" s="372"/>
      <c r="AH89" s="372"/>
      <c r="AI89" s="372"/>
      <c r="AJ89" s="372"/>
      <c r="AK89" s="372"/>
      <c r="AL89" s="372"/>
      <c r="AM89" s="373"/>
    </row>
    <row r="90" spans="2:39" ht="15" customHeight="1" x14ac:dyDescent="0.25">
      <c r="B90" s="325"/>
      <c r="C90" s="326"/>
      <c r="D90" s="326"/>
      <c r="E90" s="326"/>
      <c r="F90" s="326"/>
      <c r="G90" s="327"/>
      <c r="H90" s="325"/>
      <c r="I90" s="326"/>
      <c r="J90" s="326"/>
      <c r="K90" s="327"/>
      <c r="L90" s="325"/>
      <c r="M90" s="326"/>
      <c r="N90" s="326"/>
      <c r="O90" s="326"/>
      <c r="P90" s="326"/>
      <c r="Q90" s="326"/>
      <c r="R90" s="326"/>
      <c r="S90" s="326"/>
      <c r="T90" s="327"/>
      <c r="U90" s="351"/>
      <c r="V90" s="352"/>
      <c r="W90" s="340" t="s">
        <v>1747</v>
      </c>
      <c r="X90" s="341"/>
      <c r="Y90" s="341"/>
      <c r="Z90" s="341"/>
      <c r="AA90" s="342"/>
      <c r="AB90" s="379"/>
      <c r="AC90" s="380"/>
      <c r="AD90" s="371"/>
      <c r="AE90" s="372"/>
      <c r="AF90" s="372"/>
      <c r="AG90" s="372"/>
      <c r="AH90" s="372"/>
      <c r="AI90" s="372"/>
      <c r="AJ90" s="372"/>
      <c r="AK90" s="372"/>
      <c r="AL90" s="372"/>
      <c r="AM90" s="373"/>
    </row>
    <row r="91" spans="2:39" ht="15" customHeight="1" x14ac:dyDescent="0.25">
      <c r="B91" s="328"/>
      <c r="C91" s="329"/>
      <c r="D91" s="329"/>
      <c r="E91" s="329"/>
      <c r="F91" s="329"/>
      <c r="G91" s="330"/>
      <c r="H91" s="328"/>
      <c r="I91" s="329"/>
      <c r="J91" s="329"/>
      <c r="K91" s="330"/>
      <c r="L91" s="328"/>
      <c r="M91" s="329"/>
      <c r="N91" s="329"/>
      <c r="O91" s="329"/>
      <c r="P91" s="329"/>
      <c r="Q91" s="329"/>
      <c r="R91" s="329"/>
      <c r="S91" s="329"/>
      <c r="T91" s="330"/>
      <c r="U91" s="353"/>
      <c r="V91" s="354"/>
      <c r="W91" s="343"/>
      <c r="X91" s="344"/>
      <c r="Y91" s="344"/>
      <c r="Z91" s="344"/>
      <c r="AA91" s="345"/>
      <c r="AB91" s="381"/>
      <c r="AC91" s="382"/>
      <c r="AD91" s="374"/>
      <c r="AE91" s="375"/>
      <c r="AF91" s="375"/>
      <c r="AG91" s="375"/>
      <c r="AH91" s="375"/>
      <c r="AI91" s="375"/>
      <c r="AJ91" s="375"/>
      <c r="AK91" s="375"/>
      <c r="AL91" s="375"/>
      <c r="AM91" s="376"/>
    </row>
    <row r="92" spans="2:39" ht="18.600000000000001" customHeight="1" x14ac:dyDescent="0.25">
      <c r="B92" s="311" t="s">
        <v>1744</v>
      </c>
      <c r="C92" s="312"/>
      <c r="D92" s="312"/>
      <c r="E92" s="312"/>
      <c r="F92" s="312"/>
      <c r="G92" s="324"/>
      <c r="H92" s="311" t="s">
        <v>2158</v>
      </c>
      <c r="I92" s="312"/>
      <c r="J92" s="312"/>
      <c r="K92" s="324"/>
      <c r="L92" s="311" t="s">
        <v>1775</v>
      </c>
      <c r="M92" s="312"/>
      <c r="N92" s="312"/>
      <c r="O92" s="312"/>
      <c r="P92" s="312"/>
      <c r="Q92" s="312"/>
      <c r="R92" s="312"/>
      <c r="S92" s="312"/>
      <c r="T92" s="324"/>
      <c r="U92" s="331"/>
      <c r="V92" s="332"/>
      <c r="W92" s="357" t="s">
        <v>1729</v>
      </c>
      <c r="X92" s="358"/>
      <c r="Y92" s="358"/>
      <c r="Z92" s="358"/>
      <c r="AA92" s="359"/>
      <c r="AB92" s="311" t="s">
        <v>1729</v>
      </c>
      <c r="AC92" s="324"/>
      <c r="AD92" s="368"/>
      <c r="AE92" s="369"/>
      <c r="AF92" s="369"/>
      <c r="AG92" s="369"/>
      <c r="AH92" s="369"/>
      <c r="AI92" s="369"/>
      <c r="AJ92" s="369"/>
      <c r="AK92" s="369"/>
      <c r="AL92" s="369"/>
      <c r="AM92" s="370"/>
    </row>
    <row r="93" spans="2:39" ht="18.600000000000001" customHeight="1" x14ac:dyDescent="0.25">
      <c r="B93" s="325"/>
      <c r="C93" s="326"/>
      <c r="D93" s="326"/>
      <c r="E93" s="326"/>
      <c r="F93" s="326"/>
      <c r="G93" s="327"/>
      <c r="H93" s="325"/>
      <c r="I93" s="326"/>
      <c r="J93" s="326"/>
      <c r="K93" s="327"/>
      <c r="L93" s="325"/>
      <c r="M93" s="326"/>
      <c r="N93" s="326"/>
      <c r="O93" s="326"/>
      <c r="P93" s="326"/>
      <c r="Q93" s="326"/>
      <c r="R93" s="326"/>
      <c r="S93" s="326"/>
      <c r="T93" s="327"/>
      <c r="U93" s="333"/>
      <c r="V93" s="334"/>
      <c r="W93" s="360"/>
      <c r="X93" s="361"/>
      <c r="Y93" s="361"/>
      <c r="Z93" s="361"/>
      <c r="AA93" s="362"/>
      <c r="AB93" s="325"/>
      <c r="AC93" s="327"/>
      <c r="AD93" s="371"/>
      <c r="AE93" s="372"/>
      <c r="AF93" s="372"/>
      <c r="AG93" s="372"/>
      <c r="AH93" s="372"/>
      <c r="AI93" s="372"/>
      <c r="AJ93" s="372"/>
      <c r="AK93" s="372"/>
      <c r="AL93" s="372"/>
      <c r="AM93" s="373"/>
    </row>
    <row r="94" spans="2:39" ht="18.600000000000001" customHeight="1" x14ac:dyDescent="0.25">
      <c r="B94" s="325"/>
      <c r="C94" s="326"/>
      <c r="D94" s="326"/>
      <c r="E94" s="326"/>
      <c r="F94" s="326"/>
      <c r="G94" s="327"/>
      <c r="H94" s="325"/>
      <c r="I94" s="326"/>
      <c r="J94" s="326"/>
      <c r="K94" s="327"/>
      <c r="L94" s="325"/>
      <c r="M94" s="326"/>
      <c r="N94" s="326"/>
      <c r="O94" s="326"/>
      <c r="P94" s="326"/>
      <c r="Q94" s="326"/>
      <c r="R94" s="326"/>
      <c r="S94" s="326"/>
      <c r="T94" s="327"/>
      <c r="U94" s="333"/>
      <c r="V94" s="334"/>
      <c r="W94" s="360"/>
      <c r="X94" s="361"/>
      <c r="Y94" s="361"/>
      <c r="Z94" s="361"/>
      <c r="AA94" s="362"/>
      <c r="AB94" s="325"/>
      <c r="AC94" s="327"/>
      <c r="AD94" s="371"/>
      <c r="AE94" s="372"/>
      <c r="AF94" s="372"/>
      <c r="AG94" s="372"/>
      <c r="AH94" s="372"/>
      <c r="AI94" s="372"/>
      <c r="AJ94" s="372"/>
      <c r="AK94" s="372"/>
      <c r="AL94" s="372"/>
      <c r="AM94" s="373"/>
    </row>
    <row r="95" spans="2:39" ht="18.600000000000001" customHeight="1" x14ac:dyDescent="0.25">
      <c r="B95" s="328"/>
      <c r="C95" s="329"/>
      <c r="D95" s="329"/>
      <c r="E95" s="329"/>
      <c r="F95" s="329"/>
      <c r="G95" s="330"/>
      <c r="H95" s="328"/>
      <c r="I95" s="329"/>
      <c r="J95" s="329"/>
      <c r="K95" s="330"/>
      <c r="L95" s="328"/>
      <c r="M95" s="329"/>
      <c r="N95" s="329"/>
      <c r="O95" s="329"/>
      <c r="P95" s="329"/>
      <c r="Q95" s="329"/>
      <c r="R95" s="329"/>
      <c r="S95" s="329"/>
      <c r="T95" s="330"/>
      <c r="U95" s="335"/>
      <c r="V95" s="336"/>
      <c r="W95" s="363"/>
      <c r="X95" s="364"/>
      <c r="Y95" s="364"/>
      <c r="Z95" s="364"/>
      <c r="AA95" s="365"/>
      <c r="AB95" s="328"/>
      <c r="AC95" s="330"/>
      <c r="AD95" s="374"/>
      <c r="AE95" s="375"/>
      <c r="AF95" s="375"/>
      <c r="AG95" s="375"/>
      <c r="AH95" s="375"/>
      <c r="AI95" s="375"/>
      <c r="AJ95" s="375"/>
      <c r="AK95" s="375"/>
      <c r="AL95" s="375"/>
      <c r="AM95" s="376"/>
    </row>
    <row r="96" spans="2:39" ht="21.6" customHeight="1" x14ac:dyDescent="0.25">
      <c r="B96" s="311" t="s">
        <v>1748</v>
      </c>
      <c r="C96" s="312"/>
      <c r="D96" s="312"/>
      <c r="E96" s="312"/>
      <c r="F96" s="312"/>
      <c r="G96" s="324"/>
      <c r="H96" s="311" t="s">
        <v>1749</v>
      </c>
      <c r="I96" s="312"/>
      <c r="J96" s="312"/>
      <c r="K96" s="324"/>
      <c r="L96" s="311"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12"/>
      <c r="N96" s="312"/>
      <c r="O96" s="312"/>
      <c r="P96" s="312"/>
      <c r="Q96" s="312"/>
      <c r="R96" s="312"/>
      <c r="S96" s="312"/>
      <c r="T96" s="324"/>
      <c r="U96" s="355">
        <f>IF(AB96&lt;3%,1,2)</f>
        <v>2</v>
      </c>
      <c r="V96" s="356"/>
      <c r="W96" s="279">
        <f>RIGHT(AJ20,2)+1</f>
        <v>26</v>
      </c>
      <c r="X96" s="337">
        <f>'CRI-RYP'!F33</f>
        <v>99801298</v>
      </c>
      <c r="Y96" s="338"/>
      <c r="Z96" s="338"/>
      <c r="AA96" s="339"/>
      <c r="AB96" s="366">
        <f>(X96/'CRI-RYP'!E33)-1</f>
        <v>0.26152860669150302</v>
      </c>
      <c r="AC96" s="367"/>
      <c r="AD96" s="368"/>
      <c r="AE96" s="369"/>
      <c r="AF96" s="369"/>
      <c r="AG96" s="369"/>
      <c r="AH96" s="369"/>
      <c r="AI96" s="369"/>
      <c r="AJ96" s="369"/>
      <c r="AK96" s="369"/>
      <c r="AL96" s="369"/>
      <c r="AM96" s="370"/>
    </row>
    <row r="97" spans="2:39" ht="21.6" customHeight="1" x14ac:dyDescent="0.25">
      <c r="B97" s="325"/>
      <c r="C97" s="326"/>
      <c r="D97" s="326"/>
      <c r="E97" s="326"/>
      <c r="F97" s="326"/>
      <c r="G97" s="327"/>
      <c r="H97" s="325"/>
      <c r="I97" s="326"/>
      <c r="J97" s="326"/>
      <c r="K97" s="327"/>
      <c r="L97" s="325"/>
      <c r="M97" s="326"/>
      <c r="N97" s="326"/>
      <c r="O97" s="326"/>
      <c r="P97" s="326"/>
      <c r="Q97" s="326"/>
      <c r="R97" s="326"/>
      <c r="S97" s="326"/>
      <c r="T97" s="327"/>
      <c r="U97" s="355">
        <f>IF(AB97&lt;3%,1,2)</f>
        <v>1</v>
      </c>
      <c r="V97" s="356"/>
      <c r="W97" s="279">
        <f>W96+1</f>
        <v>27</v>
      </c>
      <c r="X97" s="337">
        <f>'CRI-RYP'!G33</f>
        <v>0</v>
      </c>
      <c r="Y97" s="338"/>
      <c r="Z97" s="338"/>
      <c r="AA97" s="339"/>
      <c r="AB97" s="366">
        <f>(X97/X96)-1</f>
        <v>-1</v>
      </c>
      <c r="AC97" s="367"/>
      <c r="AD97" s="371"/>
      <c r="AE97" s="372"/>
      <c r="AF97" s="372"/>
      <c r="AG97" s="372"/>
      <c r="AH97" s="372"/>
      <c r="AI97" s="372"/>
      <c r="AJ97" s="372"/>
      <c r="AK97" s="372"/>
      <c r="AL97" s="372"/>
      <c r="AM97" s="373"/>
    </row>
    <row r="98" spans="2:39" ht="21.6" customHeight="1" x14ac:dyDescent="0.25">
      <c r="B98" s="328"/>
      <c r="C98" s="329"/>
      <c r="D98" s="329"/>
      <c r="E98" s="329"/>
      <c r="F98" s="329"/>
      <c r="G98" s="330"/>
      <c r="H98" s="328"/>
      <c r="I98" s="329"/>
      <c r="J98" s="329"/>
      <c r="K98" s="330"/>
      <c r="L98" s="328"/>
      <c r="M98" s="329"/>
      <c r="N98" s="329"/>
      <c r="O98" s="329"/>
      <c r="P98" s="329"/>
      <c r="Q98" s="329"/>
      <c r="R98" s="329"/>
      <c r="S98" s="329"/>
      <c r="T98" s="330"/>
      <c r="U98" s="355" t="e">
        <f>IF(AB98&lt;3%,1,2)</f>
        <v>#DIV/0!</v>
      </c>
      <c r="V98" s="356"/>
      <c r="W98" s="279">
        <f>W97+1</f>
        <v>28</v>
      </c>
      <c r="X98" s="337">
        <f>'CRI-RYP'!H33</f>
        <v>0</v>
      </c>
      <c r="Y98" s="338"/>
      <c r="Z98" s="338"/>
      <c r="AA98" s="339"/>
      <c r="AB98" s="366" t="e">
        <f>(X98/X97)-1</f>
        <v>#DIV/0!</v>
      </c>
      <c r="AC98" s="367"/>
      <c r="AD98" s="374"/>
      <c r="AE98" s="375"/>
      <c r="AF98" s="375"/>
      <c r="AG98" s="375"/>
      <c r="AH98" s="375"/>
      <c r="AI98" s="375"/>
      <c r="AJ98" s="375"/>
      <c r="AK98" s="375"/>
      <c r="AL98" s="375"/>
      <c r="AM98" s="376"/>
    </row>
    <row r="99" spans="2:39" ht="15" customHeight="1" x14ac:dyDescent="0.25">
      <c r="B99" s="311" t="s">
        <v>1955</v>
      </c>
      <c r="C99" s="312"/>
      <c r="D99" s="312"/>
      <c r="E99" s="312"/>
      <c r="F99" s="312"/>
      <c r="G99" s="324"/>
      <c r="H99" s="311" t="s">
        <v>1937</v>
      </c>
      <c r="I99" s="312"/>
      <c r="J99" s="312"/>
      <c r="K99" s="324"/>
      <c r="L99" s="311" t="s">
        <v>1938</v>
      </c>
      <c r="M99" s="312"/>
      <c r="N99" s="312"/>
      <c r="O99" s="312"/>
      <c r="P99" s="312"/>
      <c r="Q99" s="312"/>
      <c r="R99" s="312"/>
      <c r="S99" s="312"/>
      <c r="T99" s="324"/>
      <c r="U99" s="331"/>
      <c r="V99" s="332"/>
      <c r="W99" s="357" t="s">
        <v>1729</v>
      </c>
      <c r="X99" s="358"/>
      <c r="Y99" s="358"/>
      <c r="Z99" s="358"/>
      <c r="AA99" s="359"/>
      <c r="AB99" s="311" t="s">
        <v>1729</v>
      </c>
      <c r="AC99" s="324"/>
      <c r="AD99" s="368"/>
      <c r="AE99" s="369"/>
      <c r="AF99" s="369"/>
      <c r="AG99" s="369"/>
      <c r="AH99" s="369"/>
      <c r="AI99" s="369"/>
      <c r="AJ99" s="369"/>
      <c r="AK99" s="369"/>
      <c r="AL99" s="369"/>
      <c r="AM99" s="370"/>
    </row>
    <row r="100" spans="2:39" ht="15" customHeight="1" x14ac:dyDescent="0.25">
      <c r="B100" s="325"/>
      <c r="C100" s="326"/>
      <c r="D100" s="326"/>
      <c r="E100" s="326"/>
      <c r="F100" s="326"/>
      <c r="G100" s="327"/>
      <c r="H100" s="325"/>
      <c r="I100" s="326"/>
      <c r="J100" s="326"/>
      <c r="K100" s="327"/>
      <c r="L100" s="325"/>
      <c r="M100" s="326"/>
      <c r="N100" s="326"/>
      <c r="O100" s="326"/>
      <c r="P100" s="326"/>
      <c r="Q100" s="326"/>
      <c r="R100" s="326"/>
      <c r="S100" s="326"/>
      <c r="T100" s="327"/>
      <c r="U100" s="333"/>
      <c r="V100" s="334"/>
      <c r="W100" s="360"/>
      <c r="X100" s="361"/>
      <c r="Y100" s="361"/>
      <c r="Z100" s="361"/>
      <c r="AA100" s="362"/>
      <c r="AB100" s="325"/>
      <c r="AC100" s="327"/>
      <c r="AD100" s="371"/>
      <c r="AE100" s="372"/>
      <c r="AF100" s="372"/>
      <c r="AG100" s="372"/>
      <c r="AH100" s="372"/>
      <c r="AI100" s="372"/>
      <c r="AJ100" s="372"/>
      <c r="AK100" s="372"/>
      <c r="AL100" s="372"/>
      <c r="AM100" s="373"/>
    </row>
    <row r="101" spans="2:39" ht="15" customHeight="1" x14ac:dyDescent="0.25">
      <c r="B101" s="325"/>
      <c r="C101" s="326"/>
      <c r="D101" s="326"/>
      <c r="E101" s="326"/>
      <c r="F101" s="326"/>
      <c r="G101" s="327"/>
      <c r="H101" s="325"/>
      <c r="I101" s="326"/>
      <c r="J101" s="326"/>
      <c r="K101" s="327"/>
      <c r="L101" s="328"/>
      <c r="M101" s="329"/>
      <c r="N101" s="329"/>
      <c r="O101" s="329"/>
      <c r="P101" s="329"/>
      <c r="Q101" s="329"/>
      <c r="R101" s="329"/>
      <c r="S101" s="329"/>
      <c r="T101" s="330"/>
      <c r="U101" s="335"/>
      <c r="V101" s="336"/>
      <c r="W101" s="363"/>
      <c r="X101" s="364"/>
      <c r="Y101" s="364"/>
      <c r="Z101" s="364"/>
      <c r="AA101" s="365"/>
      <c r="AB101" s="328"/>
      <c r="AC101" s="330"/>
      <c r="AD101" s="374"/>
      <c r="AE101" s="375"/>
      <c r="AF101" s="375"/>
      <c r="AG101" s="375"/>
      <c r="AH101" s="375"/>
      <c r="AI101" s="375"/>
      <c r="AJ101" s="375"/>
      <c r="AK101" s="375"/>
      <c r="AL101" s="375"/>
      <c r="AM101" s="376"/>
    </row>
    <row r="102" spans="2:39" ht="15" customHeight="1" x14ac:dyDescent="0.25">
      <c r="B102" s="325"/>
      <c r="C102" s="326"/>
      <c r="D102" s="326"/>
      <c r="E102" s="326"/>
      <c r="F102" s="326"/>
      <c r="G102" s="327"/>
      <c r="H102" s="325"/>
      <c r="I102" s="326"/>
      <c r="J102" s="326"/>
      <c r="K102" s="327"/>
      <c r="L102" s="311" t="s">
        <v>1939</v>
      </c>
      <c r="M102" s="312"/>
      <c r="N102" s="312"/>
      <c r="O102" s="312"/>
      <c r="P102" s="312"/>
      <c r="Q102" s="312"/>
      <c r="R102" s="312"/>
      <c r="S102" s="312"/>
      <c r="T102" s="324"/>
      <c r="U102" s="331"/>
      <c r="V102" s="332"/>
      <c r="W102" s="357" t="s">
        <v>1729</v>
      </c>
      <c r="X102" s="358"/>
      <c r="Y102" s="358"/>
      <c r="Z102" s="358"/>
      <c r="AA102" s="359"/>
      <c r="AB102" s="311" t="s">
        <v>1729</v>
      </c>
      <c r="AC102" s="324"/>
      <c r="AD102" s="368"/>
      <c r="AE102" s="369"/>
      <c r="AF102" s="369"/>
      <c r="AG102" s="369"/>
      <c r="AH102" s="369"/>
      <c r="AI102" s="369"/>
      <c r="AJ102" s="369"/>
      <c r="AK102" s="369"/>
      <c r="AL102" s="369"/>
      <c r="AM102" s="370"/>
    </row>
    <row r="103" spans="2:39" ht="15" customHeight="1" x14ac:dyDescent="0.25">
      <c r="B103" s="325"/>
      <c r="C103" s="326"/>
      <c r="D103" s="326"/>
      <c r="E103" s="326"/>
      <c r="F103" s="326"/>
      <c r="G103" s="327"/>
      <c r="H103" s="325"/>
      <c r="I103" s="326"/>
      <c r="J103" s="326"/>
      <c r="K103" s="327"/>
      <c r="L103" s="325"/>
      <c r="M103" s="326"/>
      <c r="N103" s="326"/>
      <c r="O103" s="326"/>
      <c r="P103" s="326"/>
      <c r="Q103" s="326"/>
      <c r="R103" s="326"/>
      <c r="S103" s="326"/>
      <c r="T103" s="327"/>
      <c r="U103" s="333"/>
      <c r="V103" s="334"/>
      <c r="W103" s="360"/>
      <c r="X103" s="361"/>
      <c r="Y103" s="361"/>
      <c r="Z103" s="361"/>
      <c r="AA103" s="362"/>
      <c r="AB103" s="325"/>
      <c r="AC103" s="327"/>
      <c r="AD103" s="371"/>
      <c r="AE103" s="372"/>
      <c r="AF103" s="372"/>
      <c r="AG103" s="372"/>
      <c r="AH103" s="372"/>
      <c r="AI103" s="372"/>
      <c r="AJ103" s="372"/>
      <c r="AK103" s="372"/>
      <c r="AL103" s="372"/>
      <c r="AM103" s="373"/>
    </row>
    <row r="104" spans="2:39" ht="15" customHeight="1" x14ac:dyDescent="0.25">
      <c r="B104" s="328"/>
      <c r="C104" s="329"/>
      <c r="D104" s="329"/>
      <c r="E104" s="329"/>
      <c r="F104" s="329"/>
      <c r="G104" s="330"/>
      <c r="H104" s="328"/>
      <c r="I104" s="329"/>
      <c r="J104" s="329"/>
      <c r="K104" s="330"/>
      <c r="L104" s="328"/>
      <c r="M104" s="329"/>
      <c r="N104" s="329"/>
      <c r="O104" s="329"/>
      <c r="P104" s="329"/>
      <c r="Q104" s="329"/>
      <c r="R104" s="329"/>
      <c r="S104" s="329"/>
      <c r="T104" s="330"/>
      <c r="U104" s="335"/>
      <c r="V104" s="336"/>
      <c r="W104" s="363"/>
      <c r="X104" s="364"/>
      <c r="Y104" s="364"/>
      <c r="Z104" s="364"/>
      <c r="AA104" s="365"/>
      <c r="AB104" s="328"/>
      <c r="AC104" s="330"/>
      <c r="AD104" s="374"/>
      <c r="AE104" s="375"/>
      <c r="AF104" s="375"/>
      <c r="AG104" s="375"/>
      <c r="AH104" s="375"/>
      <c r="AI104" s="375"/>
      <c r="AJ104" s="375"/>
      <c r="AK104" s="375"/>
      <c r="AL104" s="375"/>
      <c r="AM104" s="376"/>
    </row>
    <row r="105" spans="2:39" ht="26.25" customHeight="1" x14ac:dyDescent="0.25">
      <c r="B105" s="311" t="s">
        <v>1750</v>
      </c>
      <c r="C105" s="312"/>
      <c r="D105" s="312"/>
      <c r="E105" s="312"/>
      <c r="F105" s="312"/>
      <c r="G105" s="324"/>
      <c r="H105" s="311" t="s">
        <v>1751</v>
      </c>
      <c r="I105" s="312"/>
      <c r="J105" s="312"/>
      <c r="K105" s="324"/>
      <c r="L105" s="311" t="s">
        <v>1776</v>
      </c>
      <c r="M105" s="312"/>
      <c r="N105" s="312"/>
      <c r="O105" s="312"/>
      <c r="P105" s="312"/>
      <c r="Q105" s="312"/>
      <c r="R105" s="312"/>
      <c r="S105" s="312"/>
      <c r="T105" s="324"/>
      <c r="U105" s="349" t="b">
        <f>IF(W106="No informa",2,IF(W106="Elevado",IF(AB105&lt;=0%,1,2),IF(W106="Observación",IF(AB105&lt;=5%,1,2),IF(W106="Sostenible",IF(AB105&lt;=15%,1,2),IF(W106="N/A","N/A")))))</f>
        <v>0</v>
      </c>
      <c r="V105" s="350"/>
      <c r="W105" s="340" t="s">
        <v>1942</v>
      </c>
      <c r="X105" s="341"/>
      <c r="Y105" s="341"/>
      <c r="Z105" s="341"/>
      <c r="AA105" s="342"/>
      <c r="AB105" s="486">
        <f>W108/W110</f>
        <v>0</v>
      </c>
      <c r="AC105" s="487"/>
      <c r="AD105" s="368"/>
      <c r="AE105" s="369"/>
      <c r="AF105" s="369"/>
      <c r="AG105" s="369"/>
      <c r="AH105" s="369"/>
      <c r="AI105" s="369"/>
      <c r="AJ105" s="369"/>
      <c r="AK105" s="369"/>
      <c r="AL105" s="369"/>
      <c r="AM105" s="370"/>
    </row>
    <row r="106" spans="2:39" ht="18.75" customHeight="1" x14ac:dyDescent="0.25">
      <c r="B106" s="325"/>
      <c r="C106" s="326"/>
      <c r="D106" s="326"/>
      <c r="E106" s="326"/>
      <c r="F106" s="326"/>
      <c r="G106" s="327"/>
      <c r="H106" s="325"/>
      <c r="I106" s="326"/>
      <c r="J106" s="326"/>
      <c r="K106" s="327"/>
      <c r="L106" s="325"/>
      <c r="M106" s="326"/>
      <c r="N106" s="326"/>
      <c r="O106" s="326"/>
      <c r="P106" s="326"/>
      <c r="Q106" s="326"/>
      <c r="R106" s="326"/>
      <c r="S106" s="326"/>
      <c r="T106" s="327"/>
      <c r="U106" s="351"/>
      <c r="V106" s="352"/>
      <c r="W106" s="495"/>
      <c r="X106" s="496"/>
      <c r="Y106" s="496"/>
      <c r="Z106" s="496"/>
      <c r="AA106" s="497"/>
      <c r="AB106" s="488"/>
      <c r="AC106" s="489"/>
      <c r="AD106" s="371"/>
      <c r="AE106" s="372"/>
      <c r="AF106" s="372"/>
      <c r="AG106" s="372"/>
      <c r="AH106" s="372"/>
      <c r="AI106" s="372"/>
      <c r="AJ106" s="372"/>
      <c r="AK106" s="372"/>
      <c r="AL106" s="372"/>
      <c r="AM106" s="373"/>
    </row>
    <row r="107" spans="2:39" ht="26.25" customHeight="1" x14ac:dyDescent="0.25">
      <c r="B107" s="325"/>
      <c r="C107" s="326"/>
      <c r="D107" s="326"/>
      <c r="E107" s="326"/>
      <c r="F107" s="326"/>
      <c r="G107" s="327"/>
      <c r="H107" s="325"/>
      <c r="I107" s="326"/>
      <c r="J107" s="326"/>
      <c r="K107" s="327"/>
      <c r="L107" s="325"/>
      <c r="M107" s="326"/>
      <c r="N107" s="326"/>
      <c r="O107" s="326"/>
      <c r="P107" s="326"/>
      <c r="Q107" s="326"/>
      <c r="R107" s="326"/>
      <c r="S107" s="326"/>
      <c r="T107" s="327"/>
      <c r="U107" s="351"/>
      <c r="V107" s="352"/>
      <c r="W107" s="340" t="s">
        <v>606</v>
      </c>
      <c r="X107" s="341"/>
      <c r="Y107" s="341"/>
      <c r="Z107" s="341"/>
      <c r="AA107" s="342"/>
      <c r="AB107" s="488"/>
      <c r="AC107" s="489"/>
      <c r="AD107" s="371"/>
      <c r="AE107" s="372"/>
      <c r="AF107" s="372"/>
      <c r="AG107" s="372"/>
      <c r="AH107" s="372"/>
      <c r="AI107" s="372"/>
      <c r="AJ107" s="372"/>
      <c r="AK107" s="372"/>
      <c r="AL107" s="372"/>
      <c r="AM107" s="373"/>
    </row>
    <row r="108" spans="2:39" ht="18.75" customHeight="1" x14ac:dyDescent="0.25">
      <c r="B108" s="325"/>
      <c r="C108" s="326"/>
      <c r="D108" s="326"/>
      <c r="E108" s="326"/>
      <c r="F108" s="326"/>
      <c r="G108" s="327"/>
      <c r="H108" s="325"/>
      <c r="I108" s="326"/>
      <c r="J108" s="326"/>
      <c r="K108" s="327"/>
      <c r="L108" s="325"/>
      <c r="M108" s="326"/>
      <c r="N108" s="326"/>
      <c r="O108" s="326"/>
      <c r="P108" s="326"/>
      <c r="Q108" s="326"/>
      <c r="R108" s="326"/>
      <c r="S108" s="326"/>
      <c r="T108" s="327"/>
      <c r="U108" s="351"/>
      <c r="V108" s="352"/>
      <c r="W108" s="337">
        <f>'CRI-DE'!F154</f>
        <v>0</v>
      </c>
      <c r="X108" s="338"/>
      <c r="Y108" s="338"/>
      <c r="Z108" s="338"/>
      <c r="AA108" s="339"/>
      <c r="AB108" s="488"/>
      <c r="AC108" s="489"/>
      <c r="AD108" s="371"/>
      <c r="AE108" s="372"/>
      <c r="AF108" s="372"/>
      <c r="AG108" s="372"/>
      <c r="AH108" s="372"/>
      <c r="AI108" s="372"/>
      <c r="AJ108" s="372"/>
      <c r="AK108" s="372"/>
      <c r="AL108" s="372"/>
      <c r="AM108" s="373"/>
    </row>
    <row r="109" spans="2:39" ht="26.25" customHeight="1" x14ac:dyDescent="0.25">
      <c r="B109" s="325"/>
      <c r="C109" s="326"/>
      <c r="D109" s="326"/>
      <c r="E109" s="326"/>
      <c r="F109" s="326"/>
      <c r="G109" s="327"/>
      <c r="H109" s="325"/>
      <c r="I109" s="326"/>
      <c r="J109" s="326"/>
      <c r="K109" s="327"/>
      <c r="L109" s="325"/>
      <c r="M109" s="326"/>
      <c r="N109" s="326"/>
      <c r="O109" s="326"/>
      <c r="P109" s="326"/>
      <c r="Q109" s="326"/>
      <c r="R109" s="326"/>
      <c r="S109" s="326"/>
      <c r="T109" s="327"/>
      <c r="U109" s="351"/>
      <c r="V109" s="352"/>
      <c r="W109" s="340" t="s">
        <v>1752</v>
      </c>
      <c r="X109" s="341"/>
      <c r="Y109" s="341"/>
      <c r="Z109" s="341"/>
      <c r="AA109" s="342"/>
      <c r="AB109" s="488"/>
      <c r="AC109" s="489"/>
      <c r="AD109" s="371"/>
      <c r="AE109" s="372"/>
      <c r="AF109" s="372"/>
      <c r="AG109" s="372"/>
      <c r="AH109" s="372"/>
      <c r="AI109" s="372"/>
      <c r="AJ109" s="372"/>
      <c r="AK109" s="372"/>
      <c r="AL109" s="372"/>
      <c r="AM109" s="373"/>
    </row>
    <row r="110" spans="2:39" ht="18.75" customHeight="1" x14ac:dyDescent="0.25">
      <c r="B110" s="328"/>
      <c r="C110" s="329"/>
      <c r="D110" s="329"/>
      <c r="E110" s="329"/>
      <c r="F110" s="329"/>
      <c r="G110" s="330"/>
      <c r="H110" s="328"/>
      <c r="I110" s="329"/>
      <c r="J110" s="329"/>
      <c r="K110" s="330"/>
      <c r="L110" s="328"/>
      <c r="M110" s="329"/>
      <c r="N110" s="329"/>
      <c r="O110" s="329"/>
      <c r="P110" s="329"/>
      <c r="Q110" s="329"/>
      <c r="R110" s="329"/>
      <c r="S110" s="329"/>
      <c r="T110" s="330"/>
      <c r="U110" s="353"/>
      <c r="V110" s="354"/>
      <c r="W110" s="337">
        <f>'CRI-DE'!D156</f>
        <v>66538693</v>
      </c>
      <c r="X110" s="338"/>
      <c r="Y110" s="338"/>
      <c r="Z110" s="338"/>
      <c r="AA110" s="339"/>
      <c r="AB110" s="490"/>
      <c r="AC110" s="491"/>
      <c r="AD110" s="374"/>
      <c r="AE110" s="375"/>
      <c r="AF110" s="375"/>
      <c r="AG110" s="375"/>
      <c r="AH110" s="375"/>
      <c r="AI110" s="375"/>
      <c r="AJ110" s="375"/>
      <c r="AK110" s="375"/>
      <c r="AL110" s="375"/>
      <c r="AM110" s="376"/>
    </row>
    <row r="111" spans="2:39" ht="22.5" customHeight="1" x14ac:dyDescent="0.25">
      <c r="B111" s="311" t="s">
        <v>1949</v>
      </c>
      <c r="C111" s="312"/>
      <c r="D111" s="312"/>
      <c r="E111" s="312"/>
      <c r="F111" s="312"/>
      <c r="G111" s="324"/>
      <c r="H111" s="311" t="s">
        <v>1943</v>
      </c>
      <c r="I111" s="312"/>
      <c r="J111" s="312"/>
      <c r="K111" s="324"/>
      <c r="L111" s="311" t="s">
        <v>1950</v>
      </c>
      <c r="M111" s="312"/>
      <c r="N111" s="312"/>
      <c r="O111" s="312"/>
      <c r="P111" s="312"/>
      <c r="Q111" s="312"/>
      <c r="R111" s="312"/>
      <c r="S111" s="312"/>
      <c r="T111" s="324"/>
      <c r="U111" s="331"/>
      <c r="V111" s="332"/>
      <c r="W111" s="340" t="s">
        <v>606</v>
      </c>
      <c r="X111" s="341"/>
      <c r="Y111" s="341"/>
      <c r="Z111" s="341"/>
      <c r="AA111" s="342"/>
      <c r="AB111" s="377" t="e">
        <f>W114/W112</f>
        <v>#DIV/0!</v>
      </c>
      <c r="AC111" s="378"/>
      <c r="AD111" s="368"/>
      <c r="AE111" s="369"/>
      <c r="AF111" s="369"/>
      <c r="AG111" s="369"/>
      <c r="AH111" s="369"/>
      <c r="AI111" s="369"/>
      <c r="AJ111" s="369"/>
      <c r="AK111" s="369"/>
      <c r="AL111" s="369"/>
      <c r="AM111" s="370"/>
    </row>
    <row r="112" spans="2:39" ht="18.75" customHeight="1" x14ac:dyDescent="0.25">
      <c r="B112" s="325"/>
      <c r="C112" s="326"/>
      <c r="D112" s="326"/>
      <c r="E112" s="326"/>
      <c r="F112" s="326"/>
      <c r="G112" s="327"/>
      <c r="H112" s="325"/>
      <c r="I112" s="326"/>
      <c r="J112" s="326"/>
      <c r="K112" s="327"/>
      <c r="L112" s="325"/>
      <c r="M112" s="326"/>
      <c r="N112" s="326"/>
      <c r="O112" s="326"/>
      <c r="P112" s="326"/>
      <c r="Q112" s="326"/>
      <c r="R112" s="326"/>
      <c r="S112" s="326"/>
      <c r="T112" s="327"/>
      <c r="U112" s="333"/>
      <c r="V112" s="334"/>
      <c r="W112" s="337">
        <f>W108</f>
        <v>0</v>
      </c>
      <c r="X112" s="338"/>
      <c r="Y112" s="338"/>
      <c r="Z112" s="338"/>
      <c r="AA112" s="339"/>
      <c r="AB112" s="379"/>
      <c r="AC112" s="380"/>
      <c r="AD112" s="371"/>
      <c r="AE112" s="372"/>
      <c r="AF112" s="372"/>
      <c r="AG112" s="372"/>
      <c r="AH112" s="372"/>
      <c r="AI112" s="372"/>
      <c r="AJ112" s="372"/>
      <c r="AK112" s="372"/>
      <c r="AL112" s="372"/>
      <c r="AM112" s="373"/>
    </row>
    <row r="113" spans="2:39" ht="22.5" customHeight="1" x14ac:dyDescent="0.25">
      <c r="B113" s="325"/>
      <c r="C113" s="326"/>
      <c r="D113" s="326"/>
      <c r="E113" s="326"/>
      <c r="F113" s="326"/>
      <c r="G113" s="327"/>
      <c r="H113" s="325"/>
      <c r="I113" s="326"/>
      <c r="J113" s="326"/>
      <c r="K113" s="327"/>
      <c r="L113" s="325"/>
      <c r="M113" s="326"/>
      <c r="N113" s="326"/>
      <c r="O113" s="326"/>
      <c r="P113" s="326"/>
      <c r="Q113" s="326"/>
      <c r="R113" s="326"/>
      <c r="S113" s="326"/>
      <c r="T113" s="327"/>
      <c r="U113" s="333"/>
      <c r="V113" s="334"/>
      <c r="W113" s="340" t="s">
        <v>1944</v>
      </c>
      <c r="X113" s="341"/>
      <c r="Y113" s="341"/>
      <c r="Z113" s="341"/>
      <c r="AA113" s="342"/>
      <c r="AB113" s="379"/>
      <c r="AC113" s="380"/>
      <c r="AD113" s="371"/>
      <c r="AE113" s="372"/>
      <c r="AF113" s="372"/>
      <c r="AG113" s="372"/>
      <c r="AH113" s="372"/>
      <c r="AI113" s="372"/>
      <c r="AJ113" s="372"/>
      <c r="AK113" s="372"/>
      <c r="AL113" s="372"/>
      <c r="AM113" s="373"/>
    </row>
    <row r="114" spans="2:39" ht="18.75" customHeight="1" x14ac:dyDescent="0.25">
      <c r="B114" s="328"/>
      <c r="C114" s="329"/>
      <c r="D114" s="329"/>
      <c r="E114" s="329"/>
      <c r="F114" s="329"/>
      <c r="G114" s="330"/>
      <c r="H114" s="328"/>
      <c r="I114" s="329"/>
      <c r="J114" s="329"/>
      <c r="K114" s="330"/>
      <c r="L114" s="328"/>
      <c r="M114" s="329"/>
      <c r="N114" s="329"/>
      <c r="O114" s="329"/>
      <c r="P114" s="329"/>
      <c r="Q114" s="329"/>
      <c r="R114" s="329"/>
      <c r="S114" s="329"/>
      <c r="T114" s="330"/>
      <c r="U114" s="335"/>
      <c r="V114" s="336"/>
      <c r="W114" s="495"/>
      <c r="X114" s="496"/>
      <c r="Y114" s="496"/>
      <c r="Z114" s="496"/>
      <c r="AA114" s="497"/>
      <c r="AB114" s="381"/>
      <c r="AC114" s="382"/>
      <c r="AD114" s="374"/>
      <c r="AE114" s="375"/>
      <c r="AF114" s="375"/>
      <c r="AG114" s="375"/>
      <c r="AH114" s="375"/>
      <c r="AI114" s="375"/>
      <c r="AJ114" s="375"/>
      <c r="AK114" s="375"/>
      <c r="AL114" s="375"/>
      <c r="AM114" s="376"/>
    </row>
    <row r="115" spans="2:39" ht="18" customHeight="1" x14ac:dyDescent="0.25">
      <c r="B115" s="311" t="s">
        <v>1758</v>
      </c>
      <c r="C115" s="312"/>
      <c r="D115" s="312"/>
      <c r="E115" s="312"/>
      <c r="F115" s="312"/>
      <c r="G115" s="324"/>
      <c r="H115" s="311" t="s">
        <v>2158</v>
      </c>
      <c r="I115" s="312"/>
      <c r="J115" s="312"/>
      <c r="K115" s="324"/>
      <c r="L115" s="311" t="s">
        <v>2214</v>
      </c>
      <c r="M115" s="312"/>
      <c r="N115" s="312"/>
      <c r="O115" s="312"/>
      <c r="P115" s="312"/>
      <c r="Q115" s="312"/>
      <c r="R115" s="312"/>
      <c r="S115" s="312"/>
      <c r="T115" s="324"/>
      <c r="U115" s="331"/>
      <c r="V115" s="332"/>
      <c r="W115" s="357" t="s">
        <v>1729</v>
      </c>
      <c r="X115" s="358"/>
      <c r="Y115" s="358"/>
      <c r="Z115" s="358"/>
      <c r="AA115" s="359"/>
      <c r="AB115" s="311" t="s">
        <v>1729</v>
      </c>
      <c r="AC115" s="324"/>
      <c r="AD115" s="368"/>
      <c r="AE115" s="369"/>
      <c r="AF115" s="369"/>
      <c r="AG115" s="369"/>
      <c r="AH115" s="369"/>
      <c r="AI115" s="369"/>
      <c r="AJ115" s="369"/>
      <c r="AK115" s="369"/>
      <c r="AL115" s="369"/>
      <c r="AM115" s="370"/>
    </row>
    <row r="116" spans="2:39" ht="18" customHeight="1" x14ac:dyDescent="0.25">
      <c r="B116" s="325"/>
      <c r="C116" s="326"/>
      <c r="D116" s="326"/>
      <c r="E116" s="326"/>
      <c r="F116" s="326"/>
      <c r="G116" s="327"/>
      <c r="H116" s="325"/>
      <c r="I116" s="326"/>
      <c r="J116" s="326"/>
      <c r="K116" s="327"/>
      <c r="L116" s="325"/>
      <c r="M116" s="326"/>
      <c r="N116" s="326"/>
      <c r="O116" s="326"/>
      <c r="P116" s="326"/>
      <c r="Q116" s="326"/>
      <c r="R116" s="326"/>
      <c r="S116" s="326"/>
      <c r="T116" s="327"/>
      <c r="U116" s="333"/>
      <c r="V116" s="334"/>
      <c r="W116" s="360"/>
      <c r="X116" s="361"/>
      <c r="Y116" s="361"/>
      <c r="Z116" s="361"/>
      <c r="AA116" s="362"/>
      <c r="AB116" s="325"/>
      <c r="AC116" s="327"/>
      <c r="AD116" s="371"/>
      <c r="AE116" s="372"/>
      <c r="AF116" s="372"/>
      <c r="AG116" s="372"/>
      <c r="AH116" s="372"/>
      <c r="AI116" s="372"/>
      <c r="AJ116" s="372"/>
      <c r="AK116" s="372"/>
      <c r="AL116" s="372"/>
      <c r="AM116" s="373"/>
    </row>
    <row r="117" spans="2:39" ht="18" customHeight="1" x14ac:dyDescent="0.25">
      <c r="B117" s="325"/>
      <c r="C117" s="326"/>
      <c r="D117" s="326"/>
      <c r="E117" s="326"/>
      <c r="F117" s="326"/>
      <c r="G117" s="327"/>
      <c r="H117" s="325"/>
      <c r="I117" s="326"/>
      <c r="J117" s="326"/>
      <c r="K117" s="327"/>
      <c r="L117" s="325"/>
      <c r="M117" s="326"/>
      <c r="N117" s="326"/>
      <c r="O117" s="326"/>
      <c r="P117" s="326"/>
      <c r="Q117" s="326"/>
      <c r="R117" s="326"/>
      <c r="S117" s="326"/>
      <c r="T117" s="327"/>
      <c r="U117" s="333"/>
      <c r="V117" s="334"/>
      <c r="W117" s="360"/>
      <c r="X117" s="361"/>
      <c r="Y117" s="361"/>
      <c r="Z117" s="361"/>
      <c r="AA117" s="362"/>
      <c r="AB117" s="325"/>
      <c r="AC117" s="327"/>
      <c r="AD117" s="371"/>
      <c r="AE117" s="372"/>
      <c r="AF117" s="372"/>
      <c r="AG117" s="372"/>
      <c r="AH117" s="372"/>
      <c r="AI117" s="372"/>
      <c r="AJ117" s="372"/>
      <c r="AK117" s="372"/>
      <c r="AL117" s="372"/>
      <c r="AM117" s="373"/>
    </row>
    <row r="118" spans="2:39" ht="18" customHeight="1" x14ac:dyDescent="0.25">
      <c r="B118" s="328"/>
      <c r="C118" s="329"/>
      <c r="D118" s="329"/>
      <c r="E118" s="329"/>
      <c r="F118" s="329"/>
      <c r="G118" s="330"/>
      <c r="H118" s="328"/>
      <c r="I118" s="329"/>
      <c r="J118" s="329"/>
      <c r="K118" s="330"/>
      <c r="L118" s="328"/>
      <c r="M118" s="329"/>
      <c r="N118" s="329"/>
      <c r="O118" s="329"/>
      <c r="P118" s="329"/>
      <c r="Q118" s="329"/>
      <c r="R118" s="329"/>
      <c r="S118" s="329"/>
      <c r="T118" s="330"/>
      <c r="U118" s="335"/>
      <c r="V118" s="336"/>
      <c r="W118" s="363"/>
      <c r="X118" s="364"/>
      <c r="Y118" s="364"/>
      <c r="Z118" s="364"/>
      <c r="AA118" s="365"/>
      <c r="AB118" s="328"/>
      <c r="AC118" s="330"/>
      <c r="AD118" s="374"/>
      <c r="AE118" s="375"/>
      <c r="AF118" s="375"/>
      <c r="AG118" s="375"/>
      <c r="AH118" s="375"/>
      <c r="AI118" s="375"/>
      <c r="AJ118" s="375"/>
      <c r="AK118" s="375"/>
      <c r="AL118" s="375"/>
      <c r="AM118" s="376"/>
    </row>
    <row r="119" spans="2:39" ht="22.5" customHeight="1" x14ac:dyDescent="0.25">
      <c r="B119" s="311" t="s">
        <v>1748</v>
      </c>
      <c r="C119" s="312"/>
      <c r="D119" s="312"/>
      <c r="E119" s="312"/>
      <c r="F119" s="312"/>
      <c r="G119" s="324"/>
      <c r="H119" s="311" t="s">
        <v>1749</v>
      </c>
      <c r="I119" s="312"/>
      <c r="J119" s="312"/>
      <c r="K119" s="324"/>
      <c r="L119" s="311"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12"/>
      <c r="N119" s="312"/>
      <c r="O119" s="312"/>
      <c r="P119" s="312"/>
      <c r="Q119" s="312"/>
      <c r="R119" s="312"/>
      <c r="S119" s="312"/>
      <c r="T119" s="324"/>
      <c r="U119" s="355">
        <f>IF(AB119&lt;3%,1,2)</f>
        <v>2</v>
      </c>
      <c r="V119" s="356"/>
      <c r="W119" s="279">
        <f>W96</f>
        <v>26</v>
      </c>
      <c r="X119" s="337">
        <f>'COG-RYP'!F29</f>
        <v>99801298</v>
      </c>
      <c r="Y119" s="338"/>
      <c r="Z119" s="338"/>
      <c r="AA119" s="339"/>
      <c r="AB119" s="366">
        <f>(X119/'COG-RYP'!E29)-1</f>
        <v>0.26152860669150302</v>
      </c>
      <c r="AC119" s="367"/>
      <c r="AD119" s="368"/>
      <c r="AE119" s="369"/>
      <c r="AF119" s="369"/>
      <c r="AG119" s="369"/>
      <c r="AH119" s="369"/>
      <c r="AI119" s="369"/>
      <c r="AJ119" s="369"/>
      <c r="AK119" s="369"/>
      <c r="AL119" s="369"/>
      <c r="AM119" s="370"/>
    </row>
    <row r="120" spans="2:39" ht="22.5" customHeight="1" x14ac:dyDescent="0.25">
      <c r="B120" s="325"/>
      <c r="C120" s="326"/>
      <c r="D120" s="326"/>
      <c r="E120" s="326"/>
      <c r="F120" s="326"/>
      <c r="G120" s="327"/>
      <c r="H120" s="325"/>
      <c r="I120" s="326"/>
      <c r="J120" s="326"/>
      <c r="K120" s="327"/>
      <c r="L120" s="325"/>
      <c r="M120" s="326"/>
      <c r="N120" s="326"/>
      <c r="O120" s="326"/>
      <c r="P120" s="326"/>
      <c r="Q120" s="326"/>
      <c r="R120" s="326"/>
      <c r="S120" s="326"/>
      <c r="T120" s="327"/>
      <c r="U120" s="355">
        <f>IF(AB120&lt;3%,1,2)</f>
        <v>1</v>
      </c>
      <c r="V120" s="356"/>
      <c r="W120" s="279">
        <f>W97</f>
        <v>27</v>
      </c>
      <c r="X120" s="337">
        <f>'COG-RYP'!G29</f>
        <v>0</v>
      </c>
      <c r="Y120" s="338"/>
      <c r="Z120" s="338"/>
      <c r="AA120" s="339"/>
      <c r="AB120" s="366">
        <f>(X120/X119)-1</f>
        <v>-1</v>
      </c>
      <c r="AC120" s="367"/>
      <c r="AD120" s="371"/>
      <c r="AE120" s="372"/>
      <c r="AF120" s="372"/>
      <c r="AG120" s="372"/>
      <c r="AH120" s="372"/>
      <c r="AI120" s="372"/>
      <c r="AJ120" s="372"/>
      <c r="AK120" s="372"/>
      <c r="AL120" s="372"/>
      <c r="AM120" s="373"/>
    </row>
    <row r="121" spans="2:39" ht="22.35" customHeight="1" x14ac:dyDescent="0.25">
      <c r="B121" s="328"/>
      <c r="C121" s="329"/>
      <c r="D121" s="329"/>
      <c r="E121" s="329"/>
      <c r="F121" s="329"/>
      <c r="G121" s="330"/>
      <c r="H121" s="328"/>
      <c r="I121" s="329"/>
      <c r="J121" s="329"/>
      <c r="K121" s="330"/>
      <c r="L121" s="328"/>
      <c r="M121" s="329"/>
      <c r="N121" s="329"/>
      <c r="O121" s="329"/>
      <c r="P121" s="329"/>
      <c r="Q121" s="329"/>
      <c r="R121" s="329"/>
      <c r="S121" s="329"/>
      <c r="T121" s="330"/>
      <c r="U121" s="355" t="e">
        <f>IF(AB121&lt;3%,1,2)</f>
        <v>#DIV/0!</v>
      </c>
      <c r="V121" s="356"/>
      <c r="W121" s="279">
        <f>W98</f>
        <v>28</v>
      </c>
      <c r="X121" s="337">
        <f>'COG-RYP'!H29</f>
        <v>0</v>
      </c>
      <c r="Y121" s="338"/>
      <c r="Z121" s="338"/>
      <c r="AA121" s="339"/>
      <c r="AB121" s="366" t="e">
        <f>(X121/X120)-1</f>
        <v>#DIV/0!</v>
      </c>
      <c r="AC121" s="367"/>
      <c r="AD121" s="374"/>
      <c r="AE121" s="375"/>
      <c r="AF121" s="375"/>
      <c r="AG121" s="375"/>
      <c r="AH121" s="375"/>
      <c r="AI121" s="375"/>
      <c r="AJ121" s="375"/>
      <c r="AK121" s="375"/>
      <c r="AL121" s="375"/>
      <c r="AM121" s="376"/>
    </row>
    <row r="122" spans="2:39" ht="15" customHeight="1" x14ac:dyDescent="0.25">
      <c r="B122" s="311" t="s">
        <v>1954</v>
      </c>
      <c r="C122" s="312"/>
      <c r="D122" s="312"/>
      <c r="E122" s="312"/>
      <c r="F122" s="312"/>
      <c r="G122" s="324"/>
      <c r="H122" s="311" t="s">
        <v>1936</v>
      </c>
      <c r="I122" s="312"/>
      <c r="J122" s="312"/>
      <c r="K122" s="324"/>
      <c r="L122" s="311" t="s">
        <v>1779</v>
      </c>
      <c r="M122" s="312"/>
      <c r="N122" s="312"/>
      <c r="O122" s="312"/>
      <c r="P122" s="312"/>
      <c r="Q122" s="312"/>
      <c r="R122" s="312"/>
      <c r="S122" s="312"/>
      <c r="T122" s="324"/>
      <c r="U122" s="331"/>
      <c r="V122" s="332"/>
      <c r="W122" s="357" t="s">
        <v>1729</v>
      </c>
      <c r="X122" s="358"/>
      <c r="Y122" s="358"/>
      <c r="Z122" s="358"/>
      <c r="AA122" s="359"/>
      <c r="AB122" s="311" t="s">
        <v>1729</v>
      </c>
      <c r="AC122" s="324"/>
      <c r="AD122" s="368"/>
      <c r="AE122" s="369"/>
      <c r="AF122" s="369"/>
      <c r="AG122" s="369"/>
      <c r="AH122" s="369"/>
      <c r="AI122" s="369"/>
      <c r="AJ122" s="369"/>
      <c r="AK122" s="369"/>
      <c r="AL122" s="369"/>
      <c r="AM122" s="370"/>
    </row>
    <row r="123" spans="2:39" ht="15" customHeight="1" x14ac:dyDescent="0.25">
      <c r="B123" s="325"/>
      <c r="C123" s="326"/>
      <c r="D123" s="326"/>
      <c r="E123" s="326"/>
      <c r="F123" s="326"/>
      <c r="G123" s="327"/>
      <c r="H123" s="325"/>
      <c r="I123" s="326"/>
      <c r="J123" s="326"/>
      <c r="K123" s="327"/>
      <c r="L123" s="325"/>
      <c r="M123" s="326"/>
      <c r="N123" s="326"/>
      <c r="O123" s="326"/>
      <c r="P123" s="326"/>
      <c r="Q123" s="326"/>
      <c r="R123" s="326"/>
      <c r="S123" s="326"/>
      <c r="T123" s="327"/>
      <c r="U123" s="333"/>
      <c r="V123" s="334"/>
      <c r="W123" s="360"/>
      <c r="X123" s="361"/>
      <c r="Y123" s="361"/>
      <c r="Z123" s="361"/>
      <c r="AA123" s="362"/>
      <c r="AB123" s="325"/>
      <c r="AC123" s="327"/>
      <c r="AD123" s="371"/>
      <c r="AE123" s="372"/>
      <c r="AF123" s="372"/>
      <c r="AG123" s="372"/>
      <c r="AH123" s="372"/>
      <c r="AI123" s="372"/>
      <c r="AJ123" s="372"/>
      <c r="AK123" s="372"/>
      <c r="AL123" s="372"/>
      <c r="AM123" s="373"/>
    </row>
    <row r="124" spans="2:39" ht="15" customHeight="1" x14ac:dyDescent="0.25">
      <c r="B124" s="325"/>
      <c r="C124" s="326"/>
      <c r="D124" s="326"/>
      <c r="E124" s="326"/>
      <c r="F124" s="326"/>
      <c r="G124" s="327"/>
      <c r="H124" s="325"/>
      <c r="I124" s="326"/>
      <c r="J124" s="326"/>
      <c r="K124" s="327"/>
      <c r="L124" s="328"/>
      <c r="M124" s="329"/>
      <c r="N124" s="329"/>
      <c r="O124" s="329"/>
      <c r="P124" s="329"/>
      <c r="Q124" s="329"/>
      <c r="R124" s="329"/>
      <c r="S124" s="329"/>
      <c r="T124" s="330"/>
      <c r="U124" s="335"/>
      <c r="V124" s="336"/>
      <c r="W124" s="363"/>
      <c r="X124" s="364"/>
      <c r="Y124" s="364"/>
      <c r="Z124" s="364"/>
      <c r="AA124" s="365"/>
      <c r="AB124" s="328"/>
      <c r="AC124" s="330"/>
      <c r="AD124" s="374"/>
      <c r="AE124" s="375"/>
      <c r="AF124" s="375"/>
      <c r="AG124" s="375"/>
      <c r="AH124" s="375"/>
      <c r="AI124" s="375"/>
      <c r="AJ124" s="375"/>
      <c r="AK124" s="375"/>
      <c r="AL124" s="375"/>
      <c r="AM124" s="376"/>
    </row>
    <row r="125" spans="2:39" ht="15" customHeight="1" x14ac:dyDescent="0.25">
      <c r="B125" s="325"/>
      <c r="C125" s="326"/>
      <c r="D125" s="326"/>
      <c r="E125" s="326"/>
      <c r="F125" s="326"/>
      <c r="G125" s="327"/>
      <c r="H125" s="325"/>
      <c r="I125" s="326"/>
      <c r="J125" s="326"/>
      <c r="K125" s="327"/>
      <c r="L125" s="311" t="s">
        <v>1780</v>
      </c>
      <c r="M125" s="312"/>
      <c r="N125" s="312"/>
      <c r="O125" s="312"/>
      <c r="P125" s="312"/>
      <c r="Q125" s="312"/>
      <c r="R125" s="312"/>
      <c r="S125" s="312"/>
      <c r="T125" s="324"/>
      <c r="U125" s="331"/>
      <c r="V125" s="332"/>
      <c r="W125" s="357" t="s">
        <v>1729</v>
      </c>
      <c r="X125" s="358"/>
      <c r="Y125" s="358"/>
      <c r="Z125" s="358"/>
      <c r="AA125" s="359"/>
      <c r="AB125" s="311" t="s">
        <v>1729</v>
      </c>
      <c r="AC125" s="324"/>
      <c r="AD125" s="368"/>
      <c r="AE125" s="369"/>
      <c r="AF125" s="369"/>
      <c r="AG125" s="369"/>
      <c r="AH125" s="369"/>
      <c r="AI125" s="369"/>
      <c r="AJ125" s="369"/>
      <c r="AK125" s="369"/>
      <c r="AL125" s="369"/>
      <c r="AM125" s="370"/>
    </row>
    <row r="126" spans="2:39" ht="15" customHeight="1" x14ac:dyDescent="0.25">
      <c r="B126" s="325"/>
      <c r="C126" s="326"/>
      <c r="D126" s="326"/>
      <c r="E126" s="326"/>
      <c r="F126" s="326"/>
      <c r="G126" s="327"/>
      <c r="H126" s="325"/>
      <c r="I126" s="326"/>
      <c r="J126" s="326"/>
      <c r="K126" s="327"/>
      <c r="L126" s="325"/>
      <c r="M126" s="326"/>
      <c r="N126" s="326"/>
      <c r="O126" s="326"/>
      <c r="P126" s="326"/>
      <c r="Q126" s="326"/>
      <c r="R126" s="326"/>
      <c r="S126" s="326"/>
      <c r="T126" s="327"/>
      <c r="U126" s="333"/>
      <c r="V126" s="334"/>
      <c r="W126" s="360"/>
      <c r="X126" s="361"/>
      <c r="Y126" s="361"/>
      <c r="Z126" s="361"/>
      <c r="AA126" s="362"/>
      <c r="AB126" s="325"/>
      <c r="AC126" s="327"/>
      <c r="AD126" s="371"/>
      <c r="AE126" s="372"/>
      <c r="AF126" s="372"/>
      <c r="AG126" s="372"/>
      <c r="AH126" s="372"/>
      <c r="AI126" s="372"/>
      <c r="AJ126" s="372"/>
      <c r="AK126" s="372"/>
      <c r="AL126" s="372"/>
      <c r="AM126" s="373"/>
    </row>
    <row r="127" spans="2:39" ht="15" customHeight="1" x14ac:dyDescent="0.25">
      <c r="B127" s="325"/>
      <c r="C127" s="326"/>
      <c r="D127" s="326"/>
      <c r="E127" s="326"/>
      <c r="F127" s="326"/>
      <c r="G127" s="327"/>
      <c r="H127" s="325"/>
      <c r="I127" s="326"/>
      <c r="J127" s="326"/>
      <c r="K127" s="327"/>
      <c r="L127" s="328"/>
      <c r="M127" s="329"/>
      <c r="N127" s="329"/>
      <c r="O127" s="329"/>
      <c r="P127" s="329"/>
      <c r="Q127" s="329"/>
      <c r="R127" s="329"/>
      <c r="S127" s="329"/>
      <c r="T127" s="330"/>
      <c r="U127" s="335"/>
      <c r="V127" s="336"/>
      <c r="W127" s="363"/>
      <c r="X127" s="364"/>
      <c r="Y127" s="364"/>
      <c r="Z127" s="364"/>
      <c r="AA127" s="365"/>
      <c r="AB127" s="328"/>
      <c r="AC127" s="330"/>
      <c r="AD127" s="374"/>
      <c r="AE127" s="375"/>
      <c r="AF127" s="375"/>
      <c r="AG127" s="375"/>
      <c r="AH127" s="375"/>
      <c r="AI127" s="375"/>
      <c r="AJ127" s="375"/>
      <c r="AK127" s="375"/>
      <c r="AL127" s="375"/>
      <c r="AM127" s="376"/>
    </row>
    <row r="128" spans="2:39" ht="15" customHeight="1" x14ac:dyDescent="0.25">
      <c r="B128" s="325"/>
      <c r="C128" s="326"/>
      <c r="D128" s="326"/>
      <c r="E128" s="326"/>
      <c r="F128" s="326"/>
      <c r="G128" s="327"/>
      <c r="H128" s="325"/>
      <c r="I128" s="326"/>
      <c r="J128" s="326"/>
      <c r="K128" s="327"/>
      <c r="L128" s="311" t="s">
        <v>1781</v>
      </c>
      <c r="M128" s="312"/>
      <c r="N128" s="312"/>
      <c r="O128" s="312"/>
      <c r="P128" s="312"/>
      <c r="Q128" s="312"/>
      <c r="R128" s="312"/>
      <c r="S128" s="312"/>
      <c r="T128" s="324"/>
      <c r="U128" s="331"/>
      <c r="V128" s="332"/>
      <c r="W128" s="357" t="s">
        <v>1729</v>
      </c>
      <c r="X128" s="358"/>
      <c r="Y128" s="358"/>
      <c r="Z128" s="358"/>
      <c r="AA128" s="359"/>
      <c r="AB128" s="311" t="s">
        <v>1729</v>
      </c>
      <c r="AC128" s="324"/>
      <c r="AD128" s="368"/>
      <c r="AE128" s="369"/>
      <c r="AF128" s="369"/>
      <c r="AG128" s="369"/>
      <c r="AH128" s="369"/>
      <c r="AI128" s="369"/>
      <c r="AJ128" s="369"/>
      <c r="AK128" s="369"/>
      <c r="AL128" s="369"/>
      <c r="AM128" s="370"/>
    </row>
    <row r="129" spans="2:39" ht="15" customHeight="1" x14ac:dyDescent="0.25">
      <c r="B129" s="325"/>
      <c r="C129" s="326"/>
      <c r="D129" s="326"/>
      <c r="E129" s="326"/>
      <c r="F129" s="326"/>
      <c r="G129" s="327"/>
      <c r="H129" s="325"/>
      <c r="I129" s="326"/>
      <c r="J129" s="326"/>
      <c r="K129" s="327"/>
      <c r="L129" s="325"/>
      <c r="M129" s="326"/>
      <c r="N129" s="326"/>
      <c r="O129" s="326"/>
      <c r="P129" s="326"/>
      <c r="Q129" s="326"/>
      <c r="R129" s="326"/>
      <c r="S129" s="326"/>
      <c r="T129" s="327"/>
      <c r="U129" s="333"/>
      <c r="V129" s="334"/>
      <c r="W129" s="360"/>
      <c r="X129" s="361"/>
      <c r="Y129" s="361"/>
      <c r="Z129" s="361"/>
      <c r="AA129" s="362"/>
      <c r="AB129" s="325"/>
      <c r="AC129" s="327"/>
      <c r="AD129" s="371"/>
      <c r="AE129" s="372"/>
      <c r="AF129" s="372"/>
      <c r="AG129" s="372"/>
      <c r="AH129" s="372"/>
      <c r="AI129" s="372"/>
      <c r="AJ129" s="372"/>
      <c r="AK129" s="372"/>
      <c r="AL129" s="372"/>
      <c r="AM129" s="373"/>
    </row>
    <row r="130" spans="2:39" ht="15" customHeight="1" x14ac:dyDescent="0.25">
      <c r="B130" s="325"/>
      <c r="C130" s="326"/>
      <c r="D130" s="326"/>
      <c r="E130" s="326"/>
      <c r="F130" s="326"/>
      <c r="G130" s="327"/>
      <c r="H130" s="325"/>
      <c r="I130" s="326"/>
      <c r="J130" s="326"/>
      <c r="K130" s="327"/>
      <c r="L130" s="328"/>
      <c r="M130" s="329"/>
      <c r="N130" s="329"/>
      <c r="O130" s="329"/>
      <c r="P130" s="329"/>
      <c r="Q130" s="329"/>
      <c r="R130" s="329"/>
      <c r="S130" s="329"/>
      <c r="T130" s="330"/>
      <c r="U130" s="335"/>
      <c r="V130" s="336"/>
      <c r="W130" s="363"/>
      <c r="X130" s="364"/>
      <c r="Y130" s="364"/>
      <c r="Z130" s="364"/>
      <c r="AA130" s="365"/>
      <c r="AB130" s="328"/>
      <c r="AC130" s="330"/>
      <c r="AD130" s="374"/>
      <c r="AE130" s="375"/>
      <c r="AF130" s="375"/>
      <c r="AG130" s="375"/>
      <c r="AH130" s="375"/>
      <c r="AI130" s="375"/>
      <c r="AJ130" s="375"/>
      <c r="AK130" s="375"/>
      <c r="AL130" s="375"/>
      <c r="AM130" s="376"/>
    </row>
    <row r="131" spans="2:39" ht="15" customHeight="1" x14ac:dyDescent="0.25">
      <c r="B131" s="325"/>
      <c r="C131" s="326"/>
      <c r="D131" s="326"/>
      <c r="E131" s="326"/>
      <c r="F131" s="326"/>
      <c r="G131" s="327"/>
      <c r="H131" s="325"/>
      <c r="I131" s="326"/>
      <c r="J131" s="326"/>
      <c r="K131" s="327"/>
      <c r="L131" s="311" t="s">
        <v>1935</v>
      </c>
      <c r="M131" s="312"/>
      <c r="N131" s="312"/>
      <c r="O131" s="312"/>
      <c r="P131" s="312"/>
      <c r="Q131" s="312"/>
      <c r="R131" s="312"/>
      <c r="S131" s="312"/>
      <c r="T131" s="324"/>
      <c r="U131" s="331"/>
      <c r="V131" s="332"/>
      <c r="W131" s="357" t="s">
        <v>1729</v>
      </c>
      <c r="X131" s="358"/>
      <c r="Y131" s="358"/>
      <c r="Z131" s="358"/>
      <c r="AA131" s="359"/>
      <c r="AB131" s="311" t="s">
        <v>1729</v>
      </c>
      <c r="AC131" s="324"/>
      <c r="AD131" s="368"/>
      <c r="AE131" s="369"/>
      <c r="AF131" s="369"/>
      <c r="AG131" s="369"/>
      <c r="AH131" s="369"/>
      <c r="AI131" s="369"/>
      <c r="AJ131" s="369"/>
      <c r="AK131" s="369"/>
      <c r="AL131" s="369"/>
      <c r="AM131" s="370"/>
    </row>
    <row r="132" spans="2:39" ht="15" customHeight="1" x14ac:dyDescent="0.25">
      <c r="B132" s="325"/>
      <c r="C132" s="326"/>
      <c r="D132" s="326"/>
      <c r="E132" s="326"/>
      <c r="F132" s="326"/>
      <c r="G132" s="327"/>
      <c r="H132" s="325"/>
      <c r="I132" s="326"/>
      <c r="J132" s="326"/>
      <c r="K132" s="327"/>
      <c r="L132" s="325"/>
      <c r="M132" s="326"/>
      <c r="N132" s="326"/>
      <c r="O132" s="326"/>
      <c r="P132" s="326"/>
      <c r="Q132" s="326"/>
      <c r="R132" s="326"/>
      <c r="S132" s="326"/>
      <c r="T132" s="327"/>
      <c r="U132" s="333"/>
      <c r="V132" s="334"/>
      <c r="W132" s="360"/>
      <c r="X132" s="361"/>
      <c r="Y132" s="361"/>
      <c r="Z132" s="361"/>
      <c r="AA132" s="362"/>
      <c r="AB132" s="325"/>
      <c r="AC132" s="327"/>
      <c r="AD132" s="371"/>
      <c r="AE132" s="372"/>
      <c r="AF132" s="372"/>
      <c r="AG132" s="372"/>
      <c r="AH132" s="372"/>
      <c r="AI132" s="372"/>
      <c r="AJ132" s="372"/>
      <c r="AK132" s="372"/>
      <c r="AL132" s="372"/>
      <c r="AM132" s="373"/>
    </row>
    <row r="133" spans="2:39" ht="15" customHeight="1" x14ac:dyDescent="0.25">
      <c r="B133" s="325"/>
      <c r="C133" s="326"/>
      <c r="D133" s="326"/>
      <c r="E133" s="326"/>
      <c r="F133" s="326"/>
      <c r="G133" s="327"/>
      <c r="H133" s="325"/>
      <c r="I133" s="326"/>
      <c r="J133" s="326"/>
      <c r="K133" s="327"/>
      <c r="L133" s="328"/>
      <c r="M133" s="329"/>
      <c r="N133" s="329"/>
      <c r="O133" s="329"/>
      <c r="P133" s="329"/>
      <c r="Q133" s="329"/>
      <c r="R133" s="329"/>
      <c r="S133" s="329"/>
      <c r="T133" s="330"/>
      <c r="U133" s="335"/>
      <c r="V133" s="336"/>
      <c r="W133" s="363"/>
      <c r="X133" s="364"/>
      <c r="Y133" s="364"/>
      <c r="Z133" s="364"/>
      <c r="AA133" s="365"/>
      <c r="AB133" s="328"/>
      <c r="AC133" s="330"/>
      <c r="AD133" s="374"/>
      <c r="AE133" s="375"/>
      <c r="AF133" s="375"/>
      <c r="AG133" s="375"/>
      <c r="AH133" s="375"/>
      <c r="AI133" s="375"/>
      <c r="AJ133" s="375"/>
      <c r="AK133" s="375"/>
      <c r="AL133" s="375"/>
      <c r="AM133" s="376"/>
    </row>
    <row r="134" spans="2:39" ht="15" customHeight="1" x14ac:dyDescent="0.25">
      <c r="B134" s="325"/>
      <c r="C134" s="326"/>
      <c r="D134" s="326"/>
      <c r="E134" s="326"/>
      <c r="F134" s="326"/>
      <c r="G134" s="327"/>
      <c r="H134" s="325"/>
      <c r="I134" s="326"/>
      <c r="J134" s="326"/>
      <c r="K134" s="327"/>
      <c r="L134" s="311" t="s">
        <v>1782</v>
      </c>
      <c r="M134" s="312"/>
      <c r="N134" s="312"/>
      <c r="O134" s="312"/>
      <c r="P134" s="312"/>
      <c r="Q134" s="312"/>
      <c r="R134" s="312"/>
      <c r="S134" s="312"/>
      <c r="T134" s="324"/>
      <c r="U134" s="331"/>
      <c r="V134" s="332"/>
      <c r="W134" s="357" t="s">
        <v>1729</v>
      </c>
      <c r="X134" s="358"/>
      <c r="Y134" s="358"/>
      <c r="Z134" s="358"/>
      <c r="AA134" s="359"/>
      <c r="AB134" s="311" t="s">
        <v>1729</v>
      </c>
      <c r="AC134" s="324"/>
      <c r="AD134" s="368"/>
      <c r="AE134" s="369"/>
      <c r="AF134" s="369"/>
      <c r="AG134" s="369"/>
      <c r="AH134" s="369"/>
      <c r="AI134" s="369"/>
      <c r="AJ134" s="369"/>
      <c r="AK134" s="369"/>
      <c r="AL134" s="369"/>
      <c r="AM134" s="370"/>
    </row>
    <row r="135" spans="2:39" ht="15" customHeight="1" x14ac:dyDescent="0.25">
      <c r="B135" s="325"/>
      <c r="C135" s="326"/>
      <c r="D135" s="326"/>
      <c r="E135" s="326"/>
      <c r="F135" s="326"/>
      <c r="G135" s="327"/>
      <c r="H135" s="325"/>
      <c r="I135" s="326"/>
      <c r="J135" s="326"/>
      <c r="K135" s="327"/>
      <c r="L135" s="325"/>
      <c r="M135" s="326"/>
      <c r="N135" s="326"/>
      <c r="O135" s="326"/>
      <c r="P135" s="326"/>
      <c r="Q135" s="326"/>
      <c r="R135" s="326"/>
      <c r="S135" s="326"/>
      <c r="T135" s="327"/>
      <c r="U135" s="333"/>
      <c r="V135" s="334"/>
      <c r="W135" s="360"/>
      <c r="X135" s="361"/>
      <c r="Y135" s="361"/>
      <c r="Z135" s="361"/>
      <c r="AA135" s="362"/>
      <c r="AB135" s="325"/>
      <c r="AC135" s="327"/>
      <c r="AD135" s="371"/>
      <c r="AE135" s="372"/>
      <c r="AF135" s="372"/>
      <c r="AG135" s="372"/>
      <c r="AH135" s="372"/>
      <c r="AI135" s="372"/>
      <c r="AJ135" s="372"/>
      <c r="AK135" s="372"/>
      <c r="AL135" s="372"/>
      <c r="AM135" s="373"/>
    </row>
    <row r="136" spans="2:39" ht="15" customHeight="1" x14ac:dyDescent="0.25">
      <c r="B136" s="328"/>
      <c r="C136" s="329"/>
      <c r="D136" s="329"/>
      <c r="E136" s="329"/>
      <c r="F136" s="329"/>
      <c r="G136" s="330"/>
      <c r="H136" s="328"/>
      <c r="I136" s="329"/>
      <c r="J136" s="329"/>
      <c r="K136" s="330"/>
      <c r="L136" s="328"/>
      <c r="M136" s="329"/>
      <c r="N136" s="329"/>
      <c r="O136" s="329"/>
      <c r="P136" s="329"/>
      <c r="Q136" s="329"/>
      <c r="R136" s="329"/>
      <c r="S136" s="329"/>
      <c r="T136" s="330"/>
      <c r="U136" s="335"/>
      <c r="V136" s="336"/>
      <c r="W136" s="363"/>
      <c r="X136" s="364"/>
      <c r="Y136" s="364"/>
      <c r="Z136" s="364"/>
      <c r="AA136" s="365"/>
      <c r="AB136" s="328"/>
      <c r="AC136" s="330"/>
      <c r="AD136" s="374"/>
      <c r="AE136" s="375"/>
      <c r="AF136" s="375"/>
      <c r="AG136" s="375"/>
      <c r="AH136" s="375"/>
      <c r="AI136" s="375"/>
      <c r="AJ136" s="375"/>
      <c r="AK136" s="375"/>
      <c r="AL136" s="375"/>
      <c r="AM136" s="376"/>
    </row>
    <row r="137" spans="2:39" ht="15" customHeight="1" x14ac:dyDescent="0.25">
      <c r="B137" s="311" t="s">
        <v>1759</v>
      </c>
      <c r="C137" s="312"/>
      <c r="D137" s="312"/>
      <c r="E137" s="312"/>
      <c r="F137" s="312"/>
      <c r="G137" s="324"/>
      <c r="H137" s="311" t="s">
        <v>1760</v>
      </c>
      <c r="I137" s="312"/>
      <c r="J137" s="312"/>
      <c r="K137" s="324"/>
      <c r="L137" s="311" t="s">
        <v>1761</v>
      </c>
      <c r="M137" s="312"/>
      <c r="N137" s="312"/>
      <c r="O137" s="312"/>
      <c r="P137" s="312"/>
      <c r="Q137" s="312"/>
      <c r="R137" s="312"/>
      <c r="S137" s="312"/>
      <c r="T137" s="324"/>
      <c r="U137" s="349">
        <f>IF(B37="X",IF(EA!B53&lt;AJ20,IF(EA!B53&gt;=AJ20-4,1,2),2),"")</f>
        <v>1</v>
      </c>
      <c r="V137" s="350"/>
      <c r="W137" s="357" t="s">
        <v>1729</v>
      </c>
      <c r="X137" s="358"/>
      <c r="Y137" s="358"/>
      <c r="Z137" s="358"/>
      <c r="AA137" s="359"/>
      <c r="AB137" s="311" t="s">
        <v>1729</v>
      </c>
      <c r="AC137" s="324"/>
      <c r="AD137" s="368"/>
      <c r="AE137" s="369"/>
      <c r="AF137" s="369"/>
      <c r="AG137" s="369"/>
      <c r="AH137" s="369"/>
      <c r="AI137" s="369"/>
      <c r="AJ137" s="369"/>
      <c r="AK137" s="369"/>
      <c r="AL137" s="369"/>
      <c r="AM137" s="370"/>
    </row>
    <row r="138" spans="2:39" ht="15" customHeight="1" x14ac:dyDescent="0.25">
      <c r="B138" s="325"/>
      <c r="C138" s="326"/>
      <c r="D138" s="326"/>
      <c r="E138" s="326"/>
      <c r="F138" s="326"/>
      <c r="G138" s="327"/>
      <c r="H138" s="325"/>
      <c r="I138" s="326"/>
      <c r="J138" s="326"/>
      <c r="K138" s="327"/>
      <c r="L138" s="325"/>
      <c r="M138" s="326"/>
      <c r="N138" s="326"/>
      <c r="O138" s="326"/>
      <c r="P138" s="326"/>
      <c r="Q138" s="326"/>
      <c r="R138" s="326"/>
      <c r="S138" s="326"/>
      <c r="T138" s="327"/>
      <c r="U138" s="351"/>
      <c r="V138" s="352"/>
      <c r="W138" s="360"/>
      <c r="X138" s="361"/>
      <c r="Y138" s="361"/>
      <c r="Z138" s="361"/>
      <c r="AA138" s="362"/>
      <c r="AB138" s="325"/>
      <c r="AC138" s="327"/>
      <c r="AD138" s="371"/>
      <c r="AE138" s="372"/>
      <c r="AF138" s="372"/>
      <c r="AG138" s="372"/>
      <c r="AH138" s="372"/>
      <c r="AI138" s="372"/>
      <c r="AJ138" s="372"/>
      <c r="AK138" s="372"/>
      <c r="AL138" s="372"/>
      <c r="AM138" s="373"/>
    </row>
    <row r="139" spans="2:39" ht="15" customHeight="1" x14ac:dyDescent="0.25">
      <c r="B139" s="328"/>
      <c r="C139" s="329"/>
      <c r="D139" s="329"/>
      <c r="E139" s="329"/>
      <c r="F139" s="329"/>
      <c r="G139" s="330"/>
      <c r="H139" s="328"/>
      <c r="I139" s="329"/>
      <c r="J139" s="329"/>
      <c r="K139" s="330"/>
      <c r="L139" s="328"/>
      <c r="M139" s="329"/>
      <c r="N139" s="329"/>
      <c r="O139" s="329"/>
      <c r="P139" s="329"/>
      <c r="Q139" s="329"/>
      <c r="R139" s="329"/>
      <c r="S139" s="329"/>
      <c r="T139" s="330"/>
      <c r="U139" s="353"/>
      <c r="V139" s="354"/>
      <c r="W139" s="363"/>
      <c r="X139" s="364"/>
      <c r="Y139" s="364"/>
      <c r="Z139" s="364"/>
      <c r="AA139" s="365"/>
      <c r="AB139" s="328"/>
      <c r="AC139" s="330"/>
      <c r="AD139" s="374"/>
      <c r="AE139" s="375"/>
      <c r="AF139" s="375"/>
      <c r="AG139" s="375"/>
      <c r="AH139" s="375"/>
      <c r="AI139" s="375"/>
      <c r="AJ139" s="375"/>
      <c r="AK139" s="375"/>
      <c r="AL139" s="375"/>
      <c r="AM139" s="376"/>
    </row>
    <row r="140" spans="2:39" ht="15" customHeight="1" x14ac:dyDescent="0.25">
      <c r="B140" s="311" t="s">
        <v>1762</v>
      </c>
      <c r="C140" s="312"/>
      <c r="D140" s="312"/>
      <c r="E140" s="312"/>
      <c r="F140" s="312"/>
      <c r="G140" s="324"/>
      <c r="H140" s="311" t="s">
        <v>1763</v>
      </c>
      <c r="I140" s="312"/>
      <c r="J140" s="312"/>
      <c r="K140" s="324"/>
      <c r="L140" s="311" t="s">
        <v>1764</v>
      </c>
      <c r="M140" s="312"/>
      <c r="N140" s="312"/>
      <c r="O140" s="312"/>
      <c r="P140" s="312"/>
      <c r="Q140" s="312"/>
      <c r="R140" s="312"/>
      <c r="S140" s="312"/>
      <c r="T140" s="324"/>
      <c r="U140" s="349">
        <f>IF(AB140&gt;=0,1,2)</f>
        <v>1</v>
      </c>
      <c r="V140" s="350"/>
      <c r="W140" s="340" t="s">
        <v>1765</v>
      </c>
      <c r="X140" s="341"/>
      <c r="Y140" s="341"/>
      <c r="Z140" s="341"/>
      <c r="AA140" s="342"/>
      <c r="AB140" s="457">
        <f>W141-W143</f>
        <v>0</v>
      </c>
      <c r="AC140" s="458"/>
      <c r="AD140" s="368"/>
      <c r="AE140" s="369"/>
      <c r="AF140" s="369"/>
      <c r="AG140" s="369"/>
      <c r="AH140" s="369"/>
      <c r="AI140" s="369"/>
      <c r="AJ140" s="369"/>
      <c r="AK140" s="369"/>
      <c r="AL140" s="369"/>
      <c r="AM140" s="370"/>
    </row>
    <row r="141" spans="2:39" ht="15" customHeight="1" x14ac:dyDescent="0.25">
      <c r="B141" s="325"/>
      <c r="C141" s="326"/>
      <c r="D141" s="326"/>
      <c r="E141" s="326"/>
      <c r="F141" s="326"/>
      <c r="G141" s="327"/>
      <c r="H141" s="325"/>
      <c r="I141" s="326"/>
      <c r="J141" s="326"/>
      <c r="K141" s="327"/>
      <c r="L141" s="325"/>
      <c r="M141" s="326"/>
      <c r="N141" s="326"/>
      <c r="O141" s="326"/>
      <c r="P141" s="326"/>
      <c r="Q141" s="326"/>
      <c r="R141" s="326"/>
      <c r="S141" s="326"/>
      <c r="T141" s="327"/>
      <c r="U141" s="351"/>
      <c r="V141" s="352"/>
      <c r="W141" s="337">
        <f>'CRI-RYP'!E35</f>
        <v>79111403</v>
      </c>
      <c r="X141" s="338"/>
      <c r="Y141" s="338"/>
      <c r="Z141" s="338"/>
      <c r="AA141" s="339"/>
      <c r="AB141" s="459"/>
      <c r="AC141" s="460"/>
      <c r="AD141" s="371"/>
      <c r="AE141" s="372"/>
      <c r="AF141" s="372"/>
      <c r="AG141" s="372"/>
      <c r="AH141" s="372"/>
      <c r="AI141" s="372"/>
      <c r="AJ141" s="372"/>
      <c r="AK141" s="372"/>
      <c r="AL141" s="372"/>
      <c r="AM141" s="373"/>
    </row>
    <row r="142" spans="2:39" ht="15" customHeight="1" x14ac:dyDescent="0.25">
      <c r="B142" s="325"/>
      <c r="C142" s="326"/>
      <c r="D142" s="326"/>
      <c r="E142" s="326"/>
      <c r="F142" s="326"/>
      <c r="G142" s="327"/>
      <c r="H142" s="325"/>
      <c r="I142" s="326"/>
      <c r="J142" s="326"/>
      <c r="K142" s="327"/>
      <c r="L142" s="325"/>
      <c r="M142" s="326"/>
      <c r="N142" s="326"/>
      <c r="O142" s="326"/>
      <c r="P142" s="326"/>
      <c r="Q142" s="326"/>
      <c r="R142" s="326"/>
      <c r="S142" s="326"/>
      <c r="T142" s="327"/>
      <c r="U142" s="351"/>
      <c r="V142" s="352"/>
      <c r="W142" s="340" t="s">
        <v>1766</v>
      </c>
      <c r="X142" s="341"/>
      <c r="Y142" s="341"/>
      <c r="Z142" s="341"/>
      <c r="AA142" s="342"/>
      <c r="AB142" s="459"/>
      <c r="AC142" s="460"/>
      <c r="AD142" s="371"/>
      <c r="AE142" s="372"/>
      <c r="AF142" s="372"/>
      <c r="AG142" s="372"/>
      <c r="AH142" s="372"/>
      <c r="AI142" s="372"/>
      <c r="AJ142" s="372"/>
      <c r="AK142" s="372"/>
      <c r="AL142" s="372"/>
      <c r="AM142" s="373"/>
    </row>
    <row r="143" spans="2:39" ht="15" customHeight="1" x14ac:dyDescent="0.25">
      <c r="B143" s="328"/>
      <c r="C143" s="329"/>
      <c r="D143" s="329"/>
      <c r="E143" s="329"/>
      <c r="F143" s="329"/>
      <c r="G143" s="330"/>
      <c r="H143" s="328"/>
      <c r="I143" s="329"/>
      <c r="J143" s="329"/>
      <c r="K143" s="330"/>
      <c r="L143" s="328"/>
      <c r="M143" s="329"/>
      <c r="N143" s="329"/>
      <c r="O143" s="329"/>
      <c r="P143" s="329"/>
      <c r="Q143" s="329"/>
      <c r="R143" s="329"/>
      <c r="S143" s="329"/>
      <c r="T143" s="330"/>
      <c r="U143" s="353"/>
      <c r="V143" s="354"/>
      <c r="W143" s="337">
        <f>'COG-RYP'!E29-'COG-FF'!M403</f>
        <v>79111403</v>
      </c>
      <c r="X143" s="338"/>
      <c r="Y143" s="338"/>
      <c r="Z143" s="338"/>
      <c r="AA143" s="339"/>
      <c r="AB143" s="461"/>
      <c r="AC143" s="462"/>
      <c r="AD143" s="374"/>
      <c r="AE143" s="375"/>
      <c r="AF143" s="375"/>
      <c r="AG143" s="375"/>
      <c r="AH143" s="375"/>
      <c r="AI143" s="375"/>
      <c r="AJ143" s="375"/>
      <c r="AK143" s="375"/>
      <c r="AL143" s="375"/>
      <c r="AM143" s="376"/>
    </row>
    <row r="144" spans="2:39" ht="15" customHeight="1" x14ac:dyDescent="0.25">
      <c r="B144" s="311" t="s">
        <v>1767</v>
      </c>
      <c r="C144" s="312"/>
      <c r="D144" s="312"/>
      <c r="E144" s="312"/>
      <c r="F144" s="312"/>
      <c r="G144" s="324"/>
      <c r="H144" s="311" t="s">
        <v>1778</v>
      </c>
      <c r="I144" s="312"/>
      <c r="J144" s="312"/>
      <c r="K144" s="324"/>
      <c r="L144" s="311" t="s">
        <v>1777</v>
      </c>
      <c r="M144" s="312"/>
      <c r="N144" s="312"/>
      <c r="O144" s="312"/>
      <c r="P144" s="312"/>
      <c r="Q144" s="312"/>
      <c r="R144" s="312"/>
      <c r="S144" s="312"/>
      <c r="T144" s="324"/>
      <c r="U144" s="349">
        <f>IF(AB144&gt;=2.5%,2,1)</f>
        <v>1</v>
      </c>
      <c r="V144" s="350"/>
      <c r="W144" s="340" t="s">
        <v>1765</v>
      </c>
      <c r="X144" s="341"/>
      <c r="Y144" s="341"/>
      <c r="Z144" s="341"/>
      <c r="AA144" s="342"/>
      <c r="AB144" s="469">
        <f>W147/W145</f>
        <v>0</v>
      </c>
      <c r="AC144" s="470"/>
      <c r="AD144" s="368"/>
      <c r="AE144" s="369"/>
      <c r="AF144" s="369"/>
      <c r="AG144" s="369"/>
      <c r="AH144" s="369"/>
      <c r="AI144" s="369"/>
      <c r="AJ144" s="369"/>
      <c r="AK144" s="369"/>
      <c r="AL144" s="369"/>
      <c r="AM144" s="370"/>
    </row>
    <row r="145" spans="2:39" ht="15" customHeight="1" x14ac:dyDescent="0.25">
      <c r="B145" s="325"/>
      <c r="C145" s="326"/>
      <c r="D145" s="326"/>
      <c r="E145" s="326"/>
      <c r="F145" s="326"/>
      <c r="G145" s="327"/>
      <c r="H145" s="325"/>
      <c r="I145" s="326"/>
      <c r="J145" s="326"/>
      <c r="K145" s="327"/>
      <c r="L145" s="325"/>
      <c r="M145" s="326"/>
      <c r="N145" s="326"/>
      <c r="O145" s="326"/>
      <c r="P145" s="326"/>
      <c r="Q145" s="326"/>
      <c r="R145" s="326"/>
      <c r="S145" s="326"/>
      <c r="T145" s="327"/>
      <c r="U145" s="351"/>
      <c r="V145" s="352"/>
      <c r="W145" s="337">
        <f>'CRI-RYP'!E33</f>
        <v>79111403</v>
      </c>
      <c r="X145" s="338"/>
      <c r="Y145" s="338"/>
      <c r="Z145" s="338"/>
      <c r="AA145" s="339"/>
      <c r="AB145" s="471"/>
      <c r="AC145" s="472"/>
      <c r="AD145" s="371"/>
      <c r="AE145" s="372"/>
      <c r="AF145" s="372"/>
      <c r="AG145" s="372"/>
      <c r="AH145" s="372"/>
      <c r="AI145" s="372"/>
      <c r="AJ145" s="372"/>
      <c r="AK145" s="372"/>
      <c r="AL145" s="372"/>
      <c r="AM145" s="373"/>
    </row>
    <row r="146" spans="2:39" ht="15" customHeight="1" x14ac:dyDescent="0.25">
      <c r="B146" s="325"/>
      <c r="C146" s="326"/>
      <c r="D146" s="326"/>
      <c r="E146" s="326"/>
      <c r="F146" s="326"/>
      <c r="G146" s="327"/>
      <c r="H146" s="325"/>
      <c r="I146" s="326"/>
      <c r="J146" s="326"/>
      <c r="K146" s="327"/>
      <c r="L146" s="325"/>
      <c r="M146" s="326"/>
      <c r="N146" s="326"/>
      <c r="O146" s="326"/>
      <c r="P146" s="326"/>
      <c r="Q146" s="326"/>
      <c r="R146" s="326"/>
      <c r="S146" s="326"/>
      <c r="T146" s="327"/>
      <c r="U146" s="351"/>
      <c r="V146" s="352"/>
      <c r="W146" s="340" t="s">
        <v>429</v>
      </c>
      <c r="X146" s="341"/>
      <c r="Y146" s="341"/>
      <c r="Z146" s="341"/>
      <c r="AA146" s="342"/>
      <c r="AB146" s="471"/>
      <c r="AC146" s="472"/>
      <c r="AD146" s="371"/>
      <c r="AE146" s="372"/>
      <c r="AF146" s="372"/>
      <c r="AG146" s="372"/>
      <c r="AH146" s="372"/>
      <c r="AI146" s="372"/>
      <c r="AJ146" s="372"/>
      <c r="AK146" s="372"/>
      <c r="AL146" s="372"/>
      <c r="AM146" s="373"/>
    </row>
    <row r="147" spans="2:39" ht="15" customHeight="1" x14ac:dyDescent="0.25">
      <c r="B147" s="328"/>
      <c r="C147" s="329"/>
      <c r="D147" s="329"/>
      <c r="E147" s="329"/>
      <c r="F147" s="329"/>
      <c r="G147" s="330"/>
      <c r="H147" s="328"/>
      <c r="I147" s="329"/>
      <c r="J147" s="329"/>
      <c r="K147" s="330"/>
      <c r="L147" s="328"/>
      <c r="M147" s="329"/>
      <c r="N147" s="329"/>
      <c r="O147" s="329"/>
      <c r="P147" s="329"/>
      <c r="Q147" s="329"/>
      <c r="R147" s="329"/>
      <c r="S147" s="329"/>
      <c r="T147" s="330"/>
      <c r="U147" s="353"/>
      <c r="V147" s="354"/>
      <c r="W147" s="337">
        <f>'COG-M'!P3023</f>
        <v>0</v>
      </c>
      <c r="X147" s="338"/>
      <c r="Y147" s="338"/>
      <c r="Z147" s="338"/>
      <c r="AA147" s="339"/>
      <c r="AB147" s="473"/>
      <c r="AC147" s="474"/>
      <c r="AD147" s="374"/>
      <c r="AE147" s="375"/>
      <c r="AF147" s="375"/>
      <c r="AG147" s="375"/>
      <c r="AH147" s="375"/>
      <c r="AI147" s="375"/>
      <c r="AJ147" s="375"/>
      <c r="AK147" s="375"/>
      <c r="AL147" s="375"/>
      <c r="AM147" s="376"/>
    </row>
    <row r="148" spans="2:39" ht="22.5" customHeight="1" x14ac:dyDescent="0.25">
      <c r="B148" s="311" t="s">
        <v>1768</v>
      </c>
      <c r="C148" s="312"/>
      <c r="D148" s="312"/>
      <c r="E148" s="312"/>
      <c r="F148" s="312"/>
      <c r="G148" s="324"/>
      <c r="H148" s="311" t="s">
        <v>1769</v>
      </c>
      <c r="I148" s="312"/>
      <c r="J148" s="312"/>
      <c r="K148" s="324"/>
      <c r="L148" s="311"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12"/>
      <c r="N148" s="312"/>
      <c r="O148" s="312"/>
      <c r="P148" s="312"/>
      <c r="Q148" s="312"/>
      <c r="R148" s="312"/>
      <c r="S148" s="312"/>
      <c r="T148" s="324"/>
      <c r="U148" s="349" t="e">
        <f>IF(AB148&gt;=3%,2,1)</f>
        <v>#DIV/0!</v>
      </c>
      <c r="V148" s="350"/>
      <c r="W148" s="340" t="str">
        <f>"Cap. 1000
Presup. "&amp;AJ20-1</f>
        <v>Cap. 1000
Presup. 2024</v>
      </c>
      <c r="X148" s="341"/>
      <c r="Y148" s="341"/>
      <c r="Z148" s="341"/>
      <c r="AA148" s="342"/>
      <c r="AB148" s="463" t="e">
        <f>(W151-W149)/W149</f>
        <v>#DIV/0!</v>
      </c>
      <c r="AC148" s="464"/>
      <c r="AD148" s="368"/>
      <c r="AE148" s="369"/>
      <c r="AF148" s="369"/>
      <c r="AG148" s="369"/>
      <c r="AH148" s="369"/>
      <c r="AI148" s="369"/>
      <c r="AJ148" s="369"/>
      <c r="AK148" s="369"/>
      <c r="AL148" s="369"/>
      <c r="AM148" s="370"/>
    </row>
    <row r="149" spans="2:39" ht="22.5" customHeight="1" x14ac:dyDescent="0.25">
      <c r="B149" s="325"/>
      <c r="C149" s="326"/>
      <c r="D149" s="326"/>
      <c r="E149" s="326"/>
      <c r="F149" s="326"/>
      <c r="G149" s="327"/>
      <c r="H149" s="325"/>
      <c r="I149" s="326"/>
      <c r="J149" s="326"/>
      <c r="K149" s="327"/>
      <c r="L149" s="325"/>
      <c r="M149" s="326"/>
      <c r="N149" s="326"/>
      <c r="O149" s="326"/>
      <c r="P149" s="326"/>
      <c r="Q149" s="326"/>
      <c r="R149" s="326"/>
      <c r="S149" s="326"/>
      <c r="T149" s="327"/>
      <c r="U149" s="351"/>
      <c r="V149" s="352"/>
      <c r="W149" s="343"/>
      <c r="X149" s="344"/>
      <c r="Y149" s="344"/>
      <c r="Z149" s="344"/>
      <c r="AA149" s="345"/>
      <c r="AB149" s="465"/>
      <c r="AC149" s="466"/>
      <c r="AD149" s="371"/>
      <c r="AE149" s="372"/>
      <c r="AF149" s="372"/>
      <c r="AG149" s="372"/>
      <c r="AH149" s="372"/>
      <c r="AI149" s="372"/>
      <c r="AJ149" s="372"/>
      <c r="AK149" s="372"/>
      <c r="AL149" s="372"/>
      <c r="AM149" s="373"/>
    </row>
    <row r="150" spans="2:39" ht="22.5" customHeight="1" x14ac:dyDescent="0.25">
      <c r="B150" s="325"/>
      <c r="C150" s="326"/>
      <c r="D150" s="326"/>
      <c r="E150" s="326"/>
      <c r="F150" s="326"/>
      <c r="G150" s="327"/>
      <c r="H150" s="325"/>
      <c r="I150" s="326"/>
      <c r="J150" s="326"/>
      <c r="K150" s="327"/>
      <c r="L150" s="325"/>
      <c r="M150" s="326"/>
      <c r="N150" s="326"/>
      <c r="O150" s="326"/>
      <c r="P150" s="326"/>
      <c r="Q150" s="326"/>
      <c r="R150" s="326"/>
      <c r="S150" s="326"/>
      <c r="T150" s="327"/>
      <c r="U150" s="351"/>
      <c r="V150" s="352"/>
      <c r="W150" s="340" t="str">
        <f>"Cap. 1000
Presup. "&amp;AJ20</f>
        <v>Cap. 1000
Presup. 2025</v>
      </c>
      <c r="X150" s="341"/>
      <c r="Y150" s="341"/>
      <c r="Z150" s="341"/>
      <c r="AA150" s="342"/>
      <c r="AB150" s="465"/>
      <c r="AC150" s="466"/>
      <c r="AD150" s="371"/>
      <c r="AE150" s="372"/>
      <c r="AF150" s="372"/>
      <c r="AG150" s="372"/>
      <c r="AH150" s="372"/>
      <c r="AI150" s="372"/>
      <c r="AJ150" s="372"/>
      <c r="AK150" s="372"/>
      <c r="AL150" s="372"/>
      <c r="AM150" s="373"/>
    </row>
    <row r="151" spans="2:39" ht="22.5" customHeight="1" x14ac:dyDescent="0.25">
      <c r="B151" s="328"/>
      <c r="C151" s="329"/>
      <c r="D151" s="329"/>
      <c r="E151" s="329"/>
      <c r="F151" s="329"/>
      <c r="G151" s="330"/>
      <c r="H151" s="328"/>
      <c r="I151" s="329"/>
      <c r="J151" s="329"/>
      <c r="K151" s="330"/>
      <c r="L151" s="328"/>
      <c r="M151" s="329"/>
      <c r="N151" s="329"/>
      <c r="O151" s="329"/>
      <c r="P151" s="329"/>
      <c r="Q151" s="329"/>
      <c r="R151" s="329"/>
      <c r="S151" s="329"/>
      <c r="T151" s="330"/>
      <c r="U151" s="353"/>
      <c r="V151" s="354"/>
      <c r="W151" s="337">
        <f>'COG-M'!P7</f>
        <v>30899099</v>
      </c>
      <c r="X151" s="338"/>
      <c r="Y151" s="338"/>
      <c r="Z151" s="338"/>
      <c r="AA151" s="339"/>
      <c r="AB151" s="467"/>
      <c r="AC151" s="468"/>
      <c r="AD151" s="374"/>
      <c r="AE151" s="375"/>
      <c r="AF151" s="375"/>
      <c r="AG151" s="375"/>
      <c r="AH151" s="375"/>
      <c r="AI151" s="375"/>
      <c r="AJ151" s="375"/>
      <c r="AK151" s="375"/>
      <c r="AL151" s="375"/>
      <c r="AM151" s="376"/>
    </row>
    <row r="152" spans="2:39" ht="31.5" customHeight="1" x14ac:dyDescent="0.25">
      <c r="B152" s="311" t="s">
        <v>1770</v>
      </c>
      <c r="C152" s="312"/>
      <c r="D152" s="312"/>
      <c r="E152" s="312"/>
      <c r="F152" s="312"/>
      <c r="G152" s="324"/>
      <c r="H152" s="311" t="s">
        <v>1951</v>
      </c>
      <c r="I152" s="312"/>
      <c r="J152" s="312"/>
      <c r="K152" s="324"/>
      <c r="L152" s="311" t="s">
        <v>1771</v>
      </c>
      <c r="M152" s="312"/>
      <c r="N152" s="312"/>
      <c r="O152" s="312"/>
      <c r="P152" s="312"/>
      <c r="Q152" s="312"/>
      <c r="R152" s="312"/>
      <c r="S152" s="312"/>
      <c r="T152" s="324"/>
      <c r="U152" s="331"/>
      <c r="V152" s="332"/>
      <c r="W152" s="357" t="s">
        <v>1729</v>
      </c>
      <c r="X152" s="358"/>
      <c r="Y152" s="358"/>
      <c r="Z152" s="358"/>
      <c r="AA152" s="359"/>
      <c r="AB152" s="311" t="s">
        <v>1729</v>
      </c>
      <c r="AC152" s="324"/>
      <c r="AD152" s="368"/>
      <c r="AE152" s="369"/>
      <c r="AF152" s="369"/>
      <c r="AG152" s="369"/>
      <c r="AH152" s="369"/>
      <c r="AI152" s="369"/>
      <c r="AJ152" s="369"/>
      <c r="AK152" s="369"/>
      <c r="AL152" s="369"/>
      <c r="AM152" s="370"/>
    </row>
    <row r="153" spans="2:39" ht="31.5" customHeight="1" x14ac:dyDescent="0.25">
      <c r="B153" s="325"/>
      <c r="C153" s="326"/>
      <c r="D153" s="326"/>
      <c r="E153" s="326"/>
      <c r="F153" s="326"/>
      <c r="G153" s="327"/>
      <c r="H153" s="325"/>
      <c r="I153" s="326"/>
      <c r="J153" s="326"/>
      <c r="K153" s="327"/>
      <c r="L153" s="325"/>
      <c r="M153" s="326"/>
      <c r="N153" s="326"/>
      <c r="O153" s="326"/>
      <c r="P153" s="326"/>
      <c r="Q153" s="326"/>
      <c r="R153" s="326"/>
      <c r="S153" s="326"/>
      <c r="T153" s="327"/>
      <c r="U153" s="333"/>
      <c r="V153" s="334"/>
      <c r="W153" s="360"/>
      <c r="X153" s="361"/>
      <c r="Y153" s="361"/>
      <c r="Z153" s="361"/>
      <c r="AA153" s="362"/>
      <c r="AB153" s="325"/>
      <c r="AC153" s="327"/>
      <c r="AD153" s="371"/>
      <c r="AE153" s="372"/>
      <c r="AF153" s="372"/>
      <c r="AG153" s="372"/>
      <c r="AH153" s="372"/>
      <c r="AI153" s="372"/>
      <c r="AJ153" s="372"/>
      <c r="AK153" s="372"/>
      <c r="AL153" s="372"/>
      <c r="AM153" s="373"/>
    </row>
    <row r="154" spans="2:39" ht="31.5" customHeight="1" x14ac:dyDescent="0.25">
      <c r="B154" s="328"/>
      <c r="C154" s="329"/>
      <c r="D154" s="329"/>
      <c r="E154" s="329"/>
      <c r="F154" s="329"/>
      <c r="G154" s="330"/>
      <c r="H154" s="328"/>
      <c r="I154" s="329"/>
      <c r="J154" s="329"/>
      <c r="K154" s="330"/>
      <c r="L154" s="328"/>
      <c r="M154" s="329"/>
      <c r="N154" s="329"/>
      <c r="O154" s="329"/>
      <c r="P154" s="329"/>
      <c r="Q154" s="329"/>
      <c r="R154" s="329"/>
      <c r="S154" s="329"/>
      <c r="T154" s="330"/>
      <c r="U154" s="335"/>
      <c r="V154" s="336"/>
      <c r="W154" s="363"/>
      <c r="X154" s="364"/>
      <c r="Y154" s="364"/>
      <c r="Z154" s="364"/>
      <c r="AA154" s="365"/>
      <c r="AB154" s="328"/>
      <c r="AC154" s="330"/>
      <c r="AD154" s="374"/>
      <c r="AE154" s="375"/>
      <c r="AF154" s="375"/>
      <c r="AG154" s="375"/>
      <c r="AH154" s="375"/>
      <c r="AI154" s="375"/>
      <c r="AJ154" s="375"/>
      <c r="AK154" s="375"/>
      <c r="AL154" s="375"/>
      <c r="AM154" s="376"/>
    </row>
    <row r="155" spans="2:39" ht="20.25" customHeight="1" x14ac:dyDescent="0.25">
      <c r="B155" s="311" t="s">
        <v>2159</v>
      </c>
      <c r="C155" s="312"/>
      <c r="D155" s="312"/>
      <c r="E155" s="312"/>
      <c r="F155" s="312"/>
      <c r="G155" s="324"/>
      <c r="H155" s="311" t="s">
        <v>1772</v>
      </c>
      <c r="I155" s="312"/>
      <c r="J155" s="312"/>
      <c r="K155" s="324"/>
      <c r="L155" s="311" t="s">
        <v>2160</v>
      </c>
      <c r="M155" s="312"/>
      <c r="N155" s="312"/>
      <c r="O155" s="312"/>
      <c r="P155" s="312"/>
      <c r="Q155" s="312"/>
      <c r="R155" s="312"/>
      <c r="S155" s="312"/>
      <c r="T155" s="324"/>
      <c r="U155" s="331"/>
      <c r="V155" s="332"/>
      <c r="W155" s="357" t="s">
        <v>1729</v>
      </c>
      <c r="X155" s="358"/>
      <c r="Y155" s="358"/>
      <c r="Z155" s="358"/>
      <c r="AA155" s="359"/>
      <c r="AB155" s="311" t="s">
        <v>1729</v>
      </c>
      <c r="AC155" s="324"/>
      <c r="AD155" s="368"/>
      <c r="AE155" s="369"/>
      <c r="AF155" s="369"/>
      <c r="AG155" s="369"/>
      <c r="AH155" s="369"/>
      <c r="AI155" s="369"/>
      <c r="AJ155" s="369"/>
      <c r="AK155" s="369"/>
      <c r="AL155" s="369"/>
      <c r="AM155" s="370"/>
    </row>
    <row r="156" spans="2:39" ht="20.25" customHeight="1" x14ac:dyDescent="0.25">
      <c r="B156" s="325"/>
      <c r="C156" s="326"/>
      <c r="D156" s="326"/>
      <c r="E156" s="326"/>
      <c r="F156" s="326"/>
      <c r="G156" s="327"/>
      <c r="H156" s="325"/>
      <c r="I156" s="326"/>
      <c r="J156" s="326"/>
      <c r="K156" s="327"/>
      <c r="L156" s="325"/>
      <c r="M156" s="326"/>
      <c r="N156" s="326"/>
      <c r="O156" s="326"/>
      <c r="P156" s="326"/>
      <c r="Q156" s="326"/>
      <c r="R156" s="326"/>
      <c r="S156" s="326"/>
      <c r="T156" s="327"/>
      <c r="U156" s="333"/>
      <c r="V156" s="334"/>
      <c r="W156" s="360"/>
      <c r="X156" s="361"/>
      <c r="Y156" s="361"/>
      <c r="Z156" s="361"/>
      <c r="AA156" s="362"/>
      <c r="AB156" s="325"/>
      <c r="AC156" s="327"/>
      <c r="AD156" s="371"/>
      <c r="AE156" s="372"/>
      <c r="AF156" s="372"/>
      <c r="AG156" s="372"/>
      <c r="AH156" s="372"/>
      <c r="AI156" s="372"/>
      <c r="AJ156" s="372"/>
      <c r="AK156" s="372"/>
      <c r="AL156" s="372"/>
      <c r="AM156" s="373"/>
    </row>
    <row r="157" spans="2:39" ht="20.25" customHeight="1" x14ac:dyDescent="0.25">
      <c r="B157" s="328"/>
      <c r="C157" s="329"/>
      <c r="D157" s="329"/>
      <c r="E157" s="329"/>
      <c r="F157" s="329"/>
      <c r="G157" s="330"/>
      <c r="H157" s="328"/>
      <c r="I157" s="329"/>
      <c r="J157" s="329"/>
      <c r="K157" s="330"/>
      <c r="L157" s="328"/>
      <c r="M157" s="329"/>
      <c r="N157" s="329"/>
      <c r="O157" s="329"/>
      <c r="P157" s="329"/>
      <c r="Q157" s="329"/>
      <c r="R157" s="329"/>
      <c r="S157" s="329"/>
      <c r="T157" s="330"/>
      <c r="U157" s="335"/>
      <c r="V157" s="336"/>
      <c r="W157" s="363"/>
      <c r="X157" s="364"/>
      <c r="Y157" s="364"/>
      <c r="Z157" s="364"/>
      <c r="AA157" s="365"/>
      <c r="AB157" s="328"/>
      <c r="AC157" s="330"/>
      <c r="AD157" s="374"/>
      <c r="AE157" s="375"/>
      <c r="AF157" s="375"/>
      <c r="AG157" s="375"/>
      <c r="AH157" s="375"/>
      <c r="AI157" s="375"/>
      <c r="AJ157" s="375"/>
      <c r="AK157" s="375"/>
      <c r="AL157" s="375"/>
      <c r="AM157" s="376"/>
    </row>
    <row r="158" spans="2:39" ht="26.25" customHeight="1" x14ac:dyDescent="0.25">
      <c r="B158" s="311" t="s">
        <v>1773</v>
      </c>
      <c r="C158" s="312"/>
      <c r="D158" s="312"/>
      <c r="E158" s="312"/>
      <c r="F158" s="312"/>
      <c r="G158" s="324"/>
      <c r="H158" s="311" t="s">
        <v>1784</v>
      </c>
      <c r="I158" s="312"/>
      <c r="J158" s="312"/>
      <c r="K158" s="324"/>
      <c r="L158" s="311" t="s">
        <v>1774</v>
      </c>
      <c r="M158" s="312"/>
      <c r="N158" s="312"/>
      <c r="O158" s="312"/>
      <c r="P158" s="312"/>
      <c r="Q158" s="312"/>
      <c r="R158" s="312"/>
      <c r="S158" s="312"/>
      <c r="T158" s="324"/>
      <c r="U158" s="331"/>
      <c r="V158" s="332"/>
      <c r="W158" s="477"/>
      <c r="X158" s="478"/>
      <c r="Y158" s="478"/>
      <c r="Z158" s="478"/>
      <c r="AA158" s="479"/>
      <c r="AB158" s="311" t="s">
        <v>1729</v>
      </c>
      <c r="AC158" s="324"/>
      <c r="AD158" s="368"/>
      <c r="AE158" s="369"/>
      <c r="AF158" s="369"/>
      <c r="AG158" s="369"/>
      <c r="AH158" s="369"/>
      <c r="AI158" s="369"/>
      <c r="AJ158" s="369"/>
      <c r="AK158" s="369"/>
      <c r="AL158" s="369"/>
      <c r="AM158" s="370"/>
    </row>
    <row r="159" spans="2:39" ht="26.25" customHeight="1" x14ac:dyDescent="0.25">
      <c r="B159" s="325"/>
      <c r="C159" s="326"/>
      <c r="D159" s="326"/>
      <c r="E159" s="326"/>
      <c r="F159" s="326"/>
      <c r="G159" s="327"/>
      <c r="H159" s="325"/>
      <c r="I159" s="326"/>
      <c r="J159" s="326"/>
      <c r="K159" s="327"/>
      <c r="L159" s="325"/>
      <c r="M159" s="326"/>
      <c r="N159" s="326"/>
      <c r="O159" s="326"/>
      <c r="P159" s="326"/>
      <c r="Q159" s="326"/>
      <c r="R159" s="326"/>
      <c r="S159" s="326"/>
      <c r="T159" s="327"/>
      <c r="U159" s="333"/>
      <c r="V159" s="334"/>
      <c r="W159" s="480"/>
      <c r="X159" s="481"/>
      <c r="Y159" s="481"/>
      <c r="Z159" s="481"/>
      <c r="AA159" s="482"/>
      <c r="AB159" s="325"/>
      <c r="AC159" s="327"/>
      <c r="AD159" s="371"/>
      <c r="AE159" s="372"/>
      <c r="AF159" s="372"/>
      <c r="AG159" s="372"/>
      <c r="AH159" s="372"/>
      <c r="AI159" s="372"/>
      <c r="AJ159" s="372"/>
      <c r="AK159" s="372"/>
      <c r="AL159" s="372"/>
      <c r="AM159" s="373"/>
    </row>
    <row r="160" spans="2:39" ht="27.6" customHeight="1" x14ac:dyDescent="0.25">
      <c r="B160" s="328"/>
      <c r="C160" s="329"/>
      <c r="D160" s="329"/>
      <c r="E160" s="329"/>
      <c r="F160" s="329"/>
      <c r="G160" s="330"/>
      <c r="H160" s="328"/>
      <c r="I160" s="329"/>
      <c r="J160" s="329"/>
      <c r="K160" s="330"/>
      <c r="L160" s="328"/>
      <c r="M160" s="329"/>
      <c r="N160" s="329"/>
      <c r="O160" s="329"/>
      <c r="P160" s="329"/>
      <c r="Q160" s="329"/>
      <c r="R160" s="329"/>
      <c r="S160" s="329"/>
      <c r="T160" s="330"/>
      <c r="U160" s="335"/>
      <c r="V160" s="336"/>
      <c r="W160" s="483"/>
      <c r="X160" s="484"/>
      <c r="Y160" s="484"/>
      <c r="Z160" s="484"/>
      <c r="AA160" s="485"/>
      <c r="AB160" s="328"/>
      <c r="AC160" s="330"/>
      <c r="AD160" s="374"/>
      <c r="AE160" s="375"/>
      <c r="AF160" s="375"/>
      <c r="AG160" s="375"/>
      <c r="AH160" s="375"/>
      <c r="AI160" s="375"/>
      <c r="AJ160" s="375"/>
      <c r="AK160" s="375"/>
      <c r="AL160" s="375"/>
      <c r="AM160" s="376"/>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30899099</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74175869</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15956061</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12671520</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3500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4796833</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238590</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1634263</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2569480</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13153627</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2123964</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397" t="s">
        <v>982</v>
      </c>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row>
    <row r="179" spans="2:39" ht="15" customHeight="1" x14ac:dyDescent="0.25">
      <c r="B179" s="400" t="s">
        <v>1754</v>
      </c>
      <c r="C179" s="401"/>
      <c r="D179" s="401"/>
      <c r="E179" s="401"/>
      <c r="F179" s="401"/>
      <c r="G179" s="401"/>
      <c r="H179" s="401"/>
      <c r="I179" s="401"/>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c r="AI179" s="401"/>
      <c r="AJ179" s="401"/>
      <c r="AK179" s="401"/>
      <c r="AL179" s="401"/>
      <c r="AM179" s="402"/>
    </row>
    <row r="180" spans="2:39" ht="15" customHeight="1" x14ac:dyDescent="0.25">
      <c r="B180" s="316" t="s">
        <v>1940</v>
      </c>
      <c r="C180" s="317"/>
      <c r="D180" s="317"/>
      <c r="E180" s="317"/>
      <c r="F180" s="317"/>
      <c r="G180" s="317"/>
      <c r="H180" s="317"/>
      <c r="I180" s="317"/>
      <c r="J180" s="317"/>
      <c r="K180" s="317"/>
      <c r="L180" s="317"/>
      <c r="M180" s="317"/>
      <c r="N180" s="317"/>
      <c r="O180" s="318"/>
      <c r="P180" s="296" t="str">
        <f>IF($F$6=0,"",IF(RIGHT($B$6,2)="00",IF('CRI-DE'!$F$9&gt;0,"SI","NO"),"N/A"))</f>
        <v>SI</v>
      </c>
      <c r="Q180" s="475">
        <v>1101</v>
      </c>
      <c r="R180" s="476"/>
      <c r="S180" s="296" t="str">
        <f>IF($F$6=0,"",IF(RIGHT($B$6,2)="00",IF('CRI-DE'!$F$11&gt;0,"SI","NO"),"N/A"))</f>
        <v>SI</v>
      </c>
      <c r="T180" s="475">
        <v>1201</v>
      </c>
      <c r="U180" s="476"/>
      <c r="V180" s="296" t="str">
        <f>IF($F$6=0,"",IF(RIGHT($B$6,2)="00",IF('CRI-DE'!$F$12&gt;0,"SI","NO"),"N/A"))</f>
        <v>SI</v>
      </c>
      <c r="W180" s="475">
        <v>1202</v>
      </c>
      <c r="X180" s="476"/>
      <c r="Y180" s="296" t="str">
        <f>IF($F$6=0,"",IF(RIGHT($B$6,2)="00",IF('CRI-DE'!$F$13&gt;0,"SI","NO"),"N/A"))</f>
        <v>SI</v>
      </c>
      <c r="Z180" s="475">
        <v>1203</v>
      </c>
      <c r="AA180" s="476"/>
      <c r="AB180" s="296" t="str">
        <f>IF($F$6=0,"",IF(RIGHT($B$6,2)="00",IF('CRI-DE'!$F$19&gt;0,"SI","NO"),"N/A"))</f>
        <v>SI</v>
      </c>
      <c r="AC180" s="475">
        <v>1701</v>
      </c>
      <c r="AD180" s="476"/>
      <c r="AE180" s="296" t="str">
        <f>IF($F$6=0,"",IF(RIGHT($B$6,2)="00",IF('CRI-DE'!$F$20&gt;0,"SI","NO"),"N/A"))</f>
        <v>NO</v>
      </c>
      <c r="AF180" s="475">
        <v>1702</v>
      </c>
      <c r="AG180" s="476"/>
      <c r="AH180" s="296" t="str">
        <f>IF($F$6=0,"",IF(RIGHT($B$6,2)="00",IF('CRI-DE'!$F$36&gt;0,"SI","NO"),"N/A"))</f>
        <v>NO</v>
      </c>
      <c r="AI180" s="475">
        <v>3101</v>
      </c>
      <c r="AJ180" s="476"/>
      <c r="AK180" s="296" t="str">
        <f>IF($F$6=0,"",IF(RIGHT($B$6,2)="00",IF('CRI-DE'!$F$41&gt;0,"SI","NO"),"N/A"))</f>
        <v>SI</v>
      </c>
      <c r="AL180" s="475">
        <v>4301</v>
      </c>
      <c r="AM180" s="476"/>
    </row>
    <row r="181" spans="2:39" ht="15" customHeight="1" x14ac:dyDescent="0.25">
      <c r="B181" s="319"/>
      <c r="C181" s="320"/>
      <c r="D181" s="320"/>
      <c r="E181" s="320"/>
      <c r="F181" s="320"/>
      <c r="G181" s="320"/>
      <c r="H181" s="320"/>
      <c r="I181" s="320"/>
      <c r="J181" s="320"/>
      <c r="K181" s="320"/>
      <c r="L181" s="320"/>
      <c r="M181" s="320"/>
      <c r="N181" s="320"/>
      <c r="O181" s="321"/>
      <c r="P181" s="296" t="str">
        <f>IF($F$6=0,"",IF(RIGHT($B$6,2)="00",IF('CRI-DE'!$F$48&gt;0,"SI","NO"),"N/A"))</f>
        <v>SI</v>
      </c>
      <c r="Q181" s="475">
        <v>4302</v>
      </c>
      <c r="R181" s="476"/>
      <c r="S181" s="296" t="str">
        <f>IF($F$6=0,"",IF(RIGHT($B$6,2)="00",IF('CRI-DE'!$F$49&gt;0,"SI","NO"),"N/A"))</f>
        <v>SI</v>
      </c>
      <c r="T181" s="475">
        <v>4303</v>
      </c>
      <c r="U181" s="476"/>
      <c r="V181" s="296" t="str">
        <f>IF($F$6=0,"",IF(RIGHT($B$6,2)="00",IF('CRI-DE'!$F$54&gt;0,"SI","NO"),"N/A"))</f>
        <v>SI</v>
      </c>
      <c r="W181" s="475">
        <v>4308</v>
      </c>
      <c r="X181" s="476"/>
      <c r="Y181" s="296" t="str">
        <f>IF($F$6=0,"",IF(RIGHT($B$6,2)="00",IF('CRI-DE'!$F$56&gt;0,"SI","NO"),"N/A"))</f>
        <v>SI</v>
      </c>
      <c r="Z181" s="475">
        <v>4310</v>
      </c>
      <c r="AA181" s="476"/>
      <c r="AB181" s="296" t="str">
        <f>IF($F$6=0,"",IF(RIGHT($B$6,2)="00",IF('CRI-DE'!$F$109&gt;0,"SI","NO"),"N/A"))</f>
        <v>SI</v>
      </c>
      <c r="AC181" s="475">
        <v>8100</v>
      </c>
      <c r="AD181" s="476"/>
      <c r="AE181" s="296" t="str">
        <f>IF($F$6=0,"",IF(RIGHT($B$6,2)="00",IF('CRI-DE'!$F$121&gt;0,"SI","NO"),"N/A"))</f>
        <v>SI</v>
      </c>
      <c r="AF181" s="475">
        <v>8112</v>
      </c>
      <c r="AG181" s="476"/>
      <c r="AH181" s="296" t="str">
        <f>IF($F$6=0,"",IF(RIGHT($B$6,2)="00",IF('CRI-DE'!$F$123&gt;0,"SI","NO"),"N/A"))</f>
        <v>SI</v>
      </c>
      <c r="AI181" s="475">
        <v>8201</v>
      </c>
      <c r="AJ181" s="476"/>
      <c r="AK181" s="296" t="str">
        <f>IF($F$6=0,"",IF(RIGHT($B$6,2)="00",IF('CRI-DE'!$F$124&gt;0,"SI","NO"),"N/A"))</f>
        <v>SI</v>
      </c>
      <c r="AL181" s="475">
        <v>8202</v>
      </c>
      <c r="AM181" s="476"/>
    </row>
    <row r="182" spans="2:39" ht="15" customHeight="1" x14ac:dyDescent="0.25">
      <c r="B182" s="498" t="s">
        <v>1952</v>
      </c>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500"/>
      <c r="AB182" s="296" t="str">
        <f>IF($F$6=0,"",IF(RIGHT($B$6,2)="00",IF(SUM('COG-M'!$P$9:$P$18)&gt;0,"SI","NO"),"N/A"))</f>
        <v>SI</v>
      </c>
      <c r="AC182" s="475">
        <v>111</v>
      </c>
      <c r="AD182" s="476"/>
      <c r="AE182" s="296" t="str">
        <f>IF($F$6=0,"",IF(SUM('COG-M'!$P$20:$P$29)&gt;0,"SI","NO"))</f>
        <v>SI</v>
      </c>
      <c r="AF182" s="475">
        <v>113</v>
      </c>
      <c r="AG182" s="476"/>
      <c r="AH182" s="296" t="str">
        <f>IF($F$6=0,"",IF(SUM('COG-M'!$P$83:$P$92)&gt;0,"SI","NO"))</f>
        <v>SI</v>
      </c>
      <c r="AI182" s="475">
        <v>132</v>
      </c>
      <c r="AJ182" s="476"/>
      <c r="AK182" s="296" t="str">
        <f>IF($F$6=0,"",IF(SUM('COG-M'!$P$136:$P$145)&gt;0,"SI","NO"))</f>
        <v>NO</v>
      </c>
      <c r="AL182" s="475">
        <v>141</v>
      </c>
      <c r="AM182" s="476"/>
    </row>
    <row r="183" spans="2:39" ht="15" customHeight="1" x14ac:dyDescent="0.25">
      <c r="B183" s="316" t="s">
        <v>1941</v>
      </c>
      <c r="C183" s="317"/>
      <c r="D183" s="317"/>
      <c r="E183" s="317"/>
      <c r="F183" s="317"/>
      <c r="G183" s="317"/>
      <c r="H183" s="317"/>
      <c r="I183" s="317"/>
      <c r="J183" s="317"/>
      <c r="K183" s="317"/>
      <c r="L183" s="317"/>
      <c r="M183" s="317"/>
      <c r="N183" s="317"/>
      <c r="O183" s="317"/>
      <c r="P183" s="317"/>
      <c r="Q183" s="317"/>
      <c r="R183" s="317"/>
      <c r="S183" s="317"/>
      <c r="T183" s="317"/>
      <c r="U183" s="318"/>
      <c r="V183" s="311" t="s">
        <v>2215</v>
      </c>
      <c r="W183" s="312"/>
      <c r="X183" s="312"/>
      <c r="Y183" s="312"/>
      <c r="Z183" s="312"/>
      <c r="AA183" s="312"/>
      <c r="AB183" s="311" t="s">
        <v>2216</v>
      </c>
      <c r="AC183" s="312"/>
      <c r="AD183" s="312"/>
      <c r="AE183" s="312"/>
      <c r="AF183" s="312"/>
      <c r="AG183" s="312"/>
      <c r="AH183" s="311" t="s">
        <v>1725</v>
      </c>
      <c r="AI183" s="312"/>
      <c r="AJ183" s="312"/>
      <c r="AK183" s="312"/>
      <c r="AL183" s="312"/>
      <c r="AM183" s="324"/>
    </row>
    <row r="184" spans="2:39" ht="15" customHeight="1" x14ac:dyDescent="0.25">
      <c r="B184" s="319"/>
      <c r="C184" s="320"/>
      <c r="D184" s="320"/>
      <c r="E184" s="320"/>
      <c r="F184" s="320"/>
      <c r="G184" s="320"/>
      <c r="H184" s="320"/>
      <c r="I184" s="320"/>
      <c r="J184" s="320"/>
      <c r="K184" s="320"/>
      <c r="L184" s="320"/>
      <c r="M184" s="320"/>
      <c r="N184" s="320"/>
      <c r="O184" s="320"/>
      <c r="P184" s="320"/>
      <c r="Q184" s="320"/>
      <c r="R184" s="320"/>
      <c r="S184" s="320"/>
      <c r="T184" s="320"/>
      <c r="U184" s="321"/>
      <c r="V184" s="313"/>
      <c r="W184" s="314"/>
      <c r="X184" s="314"/>
      <c r="Y184" s="314"/>
      <c r="Z184" s="314"/>
      <c r="AA184" s="315"/>
      <c r="AB184" s="501">
        <f>'COG-RYP'!E29-FU!V184</f>
        <v>79111403</v>
      </c>
      <c r="AC184" s="502"/>
      <c r="AD184" s="502"/>
      <c r="AE184" s="502"/>
      <c r="AF184" s="502"/>
      <c r="AG184" s="503"/>
      <c r="AH184" s="504" t="e">
        <f>('COG-RYP'!E29/V184)-1</f>
        <v>#DIV/0!</v>
      </c>
      <c r="AI184" s="505"/>
      <c r="AJ184" s="505"/>
      <c r="AK184" s="505"/>
      <c r="AL184" s="505"/>
      <c r="AM184" s="506"/>
    </row>
    <row r="185" spans="2:39" ht="15" customHeight="1" x14ac:dyDescent="0.25">
      <c r="B185" s="316" t="s">
        <v>1947</v>
      </c>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8"/>
      <c r="AB185" s="311" t="s">
        <v>1953</v>
      </c>
      <c r="AC185" s="312"/>
      <c r="AD185" s="312"/>
      <c r="AE185" s="312"/>
      <c r="AF185" s="312"/>
      <c r="AG185" s="312"/>
      <c r="AH185" s="312"/>
      <c r="AI185" s="312"/>
      <c r="AJ185" s="312"/>
      <c r="AK185" s="312"/>
      <c r="AL185" s="312"/>
      <c r="AM185" s="324"/>
    </row>
    <row r="186" spans="2:39" ht="15" customHeight="1" x14ac:dyDescent="0.25">
      <c r="B186" s="319"/>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1"/>
      <c r="AB186" s="492">
        <f>'COG-RYP'!E29/I11</f>
        <v>27055.883378932969</v>
      </c>
      <c r="AC186" s="493"/>
      <c r="AD186" s="493"/>
      <c r="AE186" s="493"/>
      <c r="AF186" s="493"/>
      <c r="AG186" s="493"/>
      <c r="AH186" s="493"/>
      <c r="AI186" s="493"/>
      <c r="AJ186" s="493"/>
      <c r="AK186" s="493"/>
      <c r="AL186" s="493"/>
      <c r="AM186" s="494"/>
    </row>
    <row r="187" spans="2:39" ht="15" customHeight="1" x14ac:dyDescent="0.25">
      <c r="B187" s="403"/>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5"/>
    </row>
    <row r="188" spans="2:39" ht="15" customHeight="1" x14ac:dyDescent="0.25">
      <c r="B188" s="406"/>
      <c r="C188" s="407"/>
      <c r="D188" s="407"/>
      <c r="E188" s="407"/>
      <c r="F188" s="407"/>
      <c r="G188" s="407"/>
      <c r="H188" s="407"/>
      <c r="I188" s="407"/>
      <c r="J188" s="407"/>
      <c r="K188" s="407"/>
      <c r="L188" s="407"/>
      <c r="M188" s="407"/>
      <c r="N188" s="407"/>
      <c r="O188" s="407"/>
      <c r="P188" s="407"/>
      <c r="Q188" s="407"/>
      <c r="R188" s="407"/>
      <c r="S188" s="407"/>
      <c r="T188" s="407"/>
      <c r="U188" s="407"/>
      <c r="V188" s="407"/>
      <c r="W188" s="407"/>
      <c r="X188" s="407"/>
      <c r="Y188" s="407"/>
      <c r="Z188" s="407"/>
      <c r="AA188" s="407"/>
      <c r="AB188" s="407"/>
      <c r="AC188" s="407"/>
      <c r="AD188" s="407"/>
      <c r="AE188" s="407"/>
      <c r="AF188" s="407"/>
      <c r="AG188" s="407"/>
      <c r="AH188" s="407"/>
      <c r="AI188" s="407"/>
      <c r="AJ188" s="407"/>
      <c r="AK188" s="407"/>
      <c r="AL188" s="407"/>
      <c r="AM188" s="408"/>
    </row>
    <row r="189" spans="2:39" ht="15" customHeight="1" x14ac:dyDescent="0.25">
      <c r="B189" s="403"/>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5"/>
    </row>
    <row r="190" spans="2:39" ht="15" customHeight="1" x14ac:dyDescent="0.25">
      <c r="B190" s="406"/>
      <c r="C190" s="407"/>
      <c r="D190" s="407"/>
      <c r="E190" s="407"/>
      <c r="F190" s="407"/>
      <c r="G190" s="407"/>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8"/>
    </row>
    <row r="191" spans="2:39" ht="15" customHeight="1" x14ac:dyDescent="0.25">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5"/>
    </row>
    <row r="192" spans="2:39" ht="15" customHeight="1" x14ac:dyDescent="0.25">
      <c r="B192" s="406"/>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407"/>
      <c r="AE192" s="407"/>
      <c r="AF192" s="407"/>
      <c r="AG192" s="407"/>
      <c r="AH192" s="407"/>
      <c r="AI192" s="407"/>
      <c r="AJ192" s="407"/>
      <c r="AK192" s="407"/>
      <c r="AL192" s="407"/>
      <c r="AM192" s="408"/>
    </row>
    <row r="193" spans="2:39" ht="15" customHeight="1" x14ac:dyDescent="0.25">
      <c r="B193" s="403"/>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5"/>
    </row>
    <row r="194" spans="2:39" ht="15" customHeight="1" x14ac:dyDescent="0.25">
      <c r="B194" s="409"/>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1"/>
    </row>
    <row r="195" spans="2:39" ht="15" customHeight="1" x14ac:dyDescent="0.25"/>
    <row r="196" spans="2:39" ht="15" customHeight="1" x14ac:dyDescent="0.25">
      <c r="B196" s="297"/>
      <c r="R196" s="298" t="s">
        <v>16</v>
      </c>
      <c r="S196" s="399"/>
      <c r="T196" s="399"/>
      <c r="U196" s="399"/>
      <c r="V196" s="399"/>
      <c r="W196" s="399"/>
      <c r="X196" s="399"/>
      <c r="Y196" s="399"/>
      <c r="Z196" s="399"/>
      <c r="AA196" s="399"/>
      <c r="AB196" s="399"/>
      <c r="AC196" s="399"/>
      <c r="AD196" s="399"/>
      <c r="AE196" s="399"/>
      <c r="AF196" s="399"/>
      <c r="AG196" s="399"/>
      <c r="AH196" s="399"/>
      <c r="AI196" s="399"/>
      <c r="AJ196" s="399"/>
      <c r="AK196" s="399"/>
    </row>
    <row r="197" spans="2:39" ht="15" customHeight="1" x14ac:dyDescent="0.25"/>
    <row r="198" spans="2:39" ht="15" customHeight="1" thickBot="1" x14ac:dyDescent="0.3">
      <c r="B198" s="446"/>
      <c r="C198" s="446"/>
      <c r="D198" s="446"/>
      <c r="E198" s="446"/>
      <c r="F198" s="446"/>
      <c r="G198" s="446"/>
      <c r="H198" s="446"/>
      <c r="I198" s="446"/>
      <c r="J198" s="446"/>
      <c r="K198" s="446"/>
      <c r="L198" s="446"/>
      <c r="M198" s="446"/>
      <c r="N198" s="446"/>
      <c r="O198" s="446"/>
      <c r="Z198" s="446"/>
      <c r="AA198" s="446"/>
      <c r="AB198" s="446"/>
      <c r="AC198" s="446"/>
      <c r="AD198" s="446"/>
      <c r="AE198" s="446"/>
      <c r="AF198" s="446"/>
      <c r="AG198" s="446"/>
      <c r="AH198" s="446"/>
      <c r="AI198" s="446"/>
      <c r="AJ198" s="446"/>
      <c r="AK198" s="446"/>
      <c r="AL198" s="446"/>
      <c r="AM198" s="446"/>
    </row>
    <row r="199" spans="2:39" ht="15" customHeight="1" x14ac:dyDescent="0.25">
      <c r="B199" s="433" t="s">
        <v>15</v>
      </c>
      <c r="C199" s="433"/>
      <c r="D199" s="433"/>
      <c r="E199" s="433"/>
      <c r="F199" s="433"/>
      <c r="G199" s="433"/>
      <c r="H199" s="433"/>
      <c r="I199" s="433"/>
      <c r="J199" s="433"/>
      <c r="K199" s="433"/>
      <c r="L199" s="433"/>
      <c r="M199" s="433"/>
      <c r="N199" s="433"/>
      <c r="O199" s="433"/>
      <c r="Z199" s="433" t="s">
        <v>1755</v>
      </c>
      <c r="AA199" s="433"/>
      <c r="AB199" s="433"/>
      <c r="AC199" s="433"/>
      <c r="AD199" s="433"/>
      <c r="AE199" s="433"/>
      <c r="AF199" s="433"/>
      <c r="AG199" s="433"/>
      <c r="AH199" s="433"/>
      <c r="AI199" s="433"/>
      <c r="AJ199" s="433"/>
      <c r="AK199" s="433"/>
      <c r="AL199" s="433"/>
      <c r="AM199" s="433"/>
    </row>
    <row r="200" spans="2:39" ht="15" customHeight="1" x14ac:dyDescent="0.25">
      <c r="B200" s="433"/>
      <c r="C200" s="433"/>
      <c r="D200" s="433"/>
      <c r="E200" s="433"/>
      <c r="F200" s="433"/>
      <c r="G200" s="433"/>
      <c r="H200" s="433"/>
      <c r="I200" s="433"/>
      <c r="J200" s="433"/>
      <c r="K200" s="433"/>
      <c r="L200" s="433"/>
      <c r="M200" s="433"/>
      <c r="N200" s="433"/>
      <c r="O200" s="433"/>
      <c r="Z200" s="433" t="s">
        <v>1144</v>
      </c>
      <c r="AA200" s="433"/>
      <c r="AB200" s="433"/>
      <c r="AC200" s="433"/>
      <c r="AD200" s="433"/>
      <c r="AE200" s="433"/>
      <c r="AF200" s="433"/>
      <c r="AG200" s="433"/>
      <c r="AH200" s="433"/>
      <c r="AI200" s="433"/>
      <c r="AJ200" s="433"/>
      <c r="AK200" s="433"/>
      <c r="AL200" s="433"/>
      <c r="AM200" s="43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CdiNA+BUwAAg+4RIM3JUVZEDGPzax0n2BqIRKe0OiDuoSeeC+8/IWcTfy9srMQqNycR34HHnpZmW/pqYNgyTw==" saltValue="eQ0w+c/wQCAbxh/7arLdLA=="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pageSetUpPr fitToPage="1"/>
  </sheetPr>
  <dimension ref="E1:M40"/>
  <sheetViews>
    <sheetView showGridLines="0" tabSelected="1" topLeftCell="A4" workbookViewId="0">
      <selection activeCell="L33" sqref="L33"/>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2544</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9WHoNx4GLZRVOz9isVWmAshrQBUZbe6CLbAL3R6RPAaXXAKOQ85uImX3lEL+j4nybs55cvlqlew5yW95JJcaNw==" saltValue="BLZCbRouvesgRX8YG4Y9Hw==" spinCount="100000" sheet="1" selectLockedCells="1" selectUnlockedCells="1"/>
  <pageMargins left="0.70866141732283472" right="0.70866141732283472" top="0.74803149606299213" bottom="0.74803149606299213" header="0.31496062992125984" footer="0.31496062992125984"/>
  <pageSetup scale="88"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27" t="s">
        <v>2177</v>
      </c>
      <c r="G2" s="527"/>
      <c r="H2" s="527"/>
      <c r="I2" s="527"/>
      <c r="J2" s="527"/>
      <c r="K2" s="527"/>
      <c r="L2" s="527"/>
      <c r="M2" s="527"/>
      <c r="N2" s="527"/>
      <c r="O2" s="527"/>
      <c r="P2" s="527"/>
      <c r="Q2" s="527"/>
      <c r="R2" s="527"/>
      <c r="S2" s="527"/>
      <c r="T2" s="527"/>
      <c r="U2" s="526">
        <v>2025</v>
      </c>
      <c r="V2" s="526"/>
      <c r="Y2" s="272"/>
      <c r="AC2" s="135"/>
      <c r="AD2" s="135"/>
    </row>
    <row r="3" spans="1:30" ht="18.75" x14ac:dyDescent="0.25">
      <c r="B3" s="519" t="s">
        <v>741</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x14ac:dyDescent="0.25"/>
    <row r="5" spans="1:30" x14ac:dyDescent="0.25">
      <c r="B5" s="523" t="s">
        <v>4</v>
      </c>
      <c r="C5" s="524"/>
      <c r="D5" s="524"/>
      <c r="E5" s="524"/>
      <c r="F5" s="524"/>
      <c r="G5" s="524"/>
      <c r="H5" s="524"/>
      <c r="I5" s="524"/>
      <c r="J5" s="524"/>
      <c r="K5" s="524"/>
      <c r="L5" s="524"/>
      <c r="M5" s="524"/>
      <c r="N5" s="524"/>
      <c r="O5" s="524"/>
      <c r="P5" s="524"/>
      <c r="Q5" s="524"/>
      <c r="R5" s="524"/>
      <c r="S5" s="524"/>
      <c r="T5" s="524"/>
      <c r="U5" s="524"/>
      <c r="V5" s="524"/>
      <c r="W5" s="524"/>
      <c r="X5" s="524"/>
      <c r="Y5" s="525"/>
      <c r="Z5" s="520" t="str">
        <f>"Versión "&amp;U2&amp;".01"</f>
        <v>Versión 2025.01</v>
      </c>
      <c r="AA5" s="521"/>
      <c r="AB5" s="521"/>
      <c r="AC5" s="521"/>
      <c r="AD5" s="522"/>
    </row>
    <row r="6" spans="1:30" x14ac:dyDescent="0.25">
      <c r="B6" s="518" t="s">
        <v>888</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row>
    <row r="7" spans="1:30" x14ac:dyDescent="0.25">
      <c r="B7" s="518"/>
      <c r="C7" s="518"/>
      <c r="D7" s="518"/>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row>
    <row r="8" spans="1:30" x14ac:dyDescent="0.25">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row>
    <row r="9" spans="1:30" x14ac:dyDescent="0.25">
      <c r="B9" s="517" t="s">
        <v>2213</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x14ac:dyDescent="0.25">
      <c r="B10" s="264" t="str">
        <f>IF(SUM('MIR-IG'!P7:X7)&gt;0,IF('MIR-IG'!A8&gt;0,"X",""),"")</f>
        <v>X</v>
      </c>
      <c r="C10" s="270" t="s">
        <v>1727</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1" t="s">
        <v>743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3"/>
    </row>
    <row r="16" spans="1:30" x14ac:dyDescent="0.25">
      <c r="B16" s="507" t="str">
        <f>IF(SUM(C20:C29)&gt;0,"• No se elaboró el o los formato(s) de: ","")&amp;B20&amp;B21&amp;B22&amp;B23&amp;B24&amp;B25&amp;B26&amp;B27&amp;B28&amp;B29</f>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x14ac:dyDescent="0.25">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x14ac:dyDescent="0.25">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x14ac:dyDescent="0.25">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08" t="s">
        <v>752</v>
      </c>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10"/>
    </row>
    <row r="31" spans="2:30" x14ac:dyDescent="0.25">
      <c r="B31" s="514" t="str">
        <f>IF(ABS('CRI-RYP'!E35-'COG-RYP'!E29)&gt;=1000,"• El total de la estimación de ingresos es diferente al total del presupuesto de egresos.","")</f>
        <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6"/>
    </row>
    <row r="32" spans="2:30" x14ac:dyDescent="0.25">
      <c r="B32" s="507" t="str">
        <f>IF(ABS(SUM('CRI-M'!P7+'CRI-M'!P28+'CRI-M'!P34+'CRI-M'!P39+'CRI-M'!P71+'CRI-M'!P78+'CRI-M'!P163)-'CTG-FF'!C13)&gt;=1000,"• Se observa diferencia entre la estimación de ingresos fiscales (11) y los egresos pagaderos con dicha fuente de financiamiento.","")</f>
        <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x14ac:dyDescent="0.25">
      <c r="B33" s="507" t="str">
        <f>IF(ABS('CRI-M'!P161+'CRI-M'!P164-'CTG-FF'!D13)&gt;=1000,"•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x14ac:dyDescent="0.25">
      <c r="B34" s="507" t="str">
        <f>IF(ABS('CRI-M'!P94+'CRI-M'!P165-'CTG-FF'!F13)&gt;=1000,"• Se observa diferencia entre la estimación de ingresos propios (14) y los egresos pagaderos con dicha fuente de financiamiento.","")</f>
        <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x14ac:dyDescent="0.25">
      <c r="B35" s="507" t="str">
        <f>IF(ABS((SUM('CRI-M'!P110:P120)+SUM('CRI-M'!P133:P137)+'CRI-M'!P166)-'CTG-FF'!G13)&gt;=1000,"• Se observa diferencia entre la estimación de ingresos de recursos federales de libre disposición (15) y los egresos pagaderos con dicha fuente de financiamiento.","")</f>
        <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x14ac:dyDescent="0.25">
      <c r="B36" s="507" t="str">
        <f>IF(ABS('CRI-M'!P121+'CRI-M'!P167-'CTG-FF'!H13)&gt;=1000,"• Se observa diferencia entre la estimación de ingresos de recursos estatales de libre disposición (16) y los egresos pagaderos con dicha fuente de financiamiento.","")</f>
        <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x14ac:dyDescent="0.25">
      <c r="B37" s="507" t="str">
        <f>IF(ABS((SUM('CRI-M'!P126:P129)+'CRI-M'!P143+'CRI-M'!P148+'CRI-M'!P153+'CRI-M'!P156+'CRI-M'!P168)-'CTG-FF'!I13)&gt;=1000,"• Se observa diferencia entre la estimación de ingresos de otros recursos de libre disposición (17) y los egresos pagaderos con dicha fuente de financiamiento.","")</f>
        <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x14ac:dyDescent="0.25">
      <c r="B38" s="507" t="str">
        <f>IF(ABS('CRI-M'!P122+'CRI-M'!P130+'CRI-M'!P138+'CRI-M'!P169-'CTG-FF'!J13)&gt;=1000,"• Se observa diferencia entre la estimación de ingresos de recursos federales etiquetados (25) y los egresos pagaderos con dicha fuente de financiamiento.","")</f>
        <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x14ac:dyDescent="0.25">
      <c r="B39" s="507" t="str">
        <f>IF(ABS('CRI-M'!P131+'CRI-M'!P145+'CRI-M'!P150+'CRI-M'!P170-'CTG-FF'!K13)&gt;=1000,"•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x14ac:dyDescent="0.25">
      <c r="B40" s="507" t="str">
        <f>IF(ABS(('CRI-M'!P144+'CRI-M'!P149+'CRI-M'!P171)-'CTG-FF'!L13)&gt;=1000,"•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x14ac:dyDescent="0.25">
      <c r="B41" s="508" t="s">
        <v>753</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10"/>
    </row>
    <row r="42" spans="2:30" x14ac:dyDescent="0.25">
      <c r="B42" s="507" t="str">
        <f>IF(CF!C151=0,"",IF(ABS('COG-RYP'!E29-CF!C151)&gt;=1000,"•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x14ac:dyDescent="0.25">
      <c r="B43" s="507" t="str">
        <f>IF(CA!D81=0,"",IF(ABS('COG-RYP'!E29-CA!D81)&gt;=1000,"•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x14ac:dyDescent="0.25">
      <c r="B44" s="508" t="s">
        <v>1728</v>
      </c>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10"/>
    </row>
    <row r="45" spans="2:30" x14ac:dyDescent="0.25">
      <c r="B45" s="507" t="str">
        <f>IF('MIR-IG'!Y6&lt;='MIR-IG'!Z6,"","•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x14ac:dyDescent="0.25">
      <c r="B46" s="507" t="str">
        <f>IF('MIR-IG'!Z6&lt;='MIR-IG'!Y6,"","•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x14ac:dyDescent="0.25">
      <c r="B47" s="507" t="str">
        <f>IF(AND('MIR-IG'!Y6='MIR-IG'!Z6,'MIR-IG'!AA6&gt;='MIR-IG'!Z6),"","•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x14ac:dyDescent="0.25">
      <c r="B48" s="507" t="str">
        <f>IF('MIR-IG'!AB6&lt;'MIR-IG'!AA6,"•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x14ac:dyDescent="0.25">
      <c r="B49" s="507" t="str">
        <f>IF('MIR-IG'!P7=0,"",IF(ABS('MIR-IG'!P7-'CTG-FF'!C24)&gt;=1000,"•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x14ac:dyDescent="0.25">
      <c r="B50" s="507" t="str">
        <f>IF('MIR-IG'!Q7=0,"",IF(ABS('MIR-IG'!Q7-'CTG-FF'!D24)&gt;=1000,"•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x14ac:dyDescent="0.25">
      <c r="B51" s="507" t="str">
        <f>IF('MIR-IG'!R7=0,"",IF(ABS('MIR-IG'!R7-'CTG-FF'!E24)&gt;=1000,"•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x14ac:dyDescent="0.25">
      <c r="B52" s="507" t="str">
        <f>IF('MIR-IG'!S7=0,"",IF(ABS('MIR-IG'!S7-'CTG-FF'!F24)&gt;=1000,"•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x14ac:dyDescent="0.25">
      <c r="B53" s="507" t="str">
        <f>IF('MIR-IG'!T7=0,"",IF(ABS('MIR-IG'!T7-'CTG-FF'!G24)&gt;=1000,"•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x14ac:dyDescent="0.25">
      <c r="B54" s="507" t="str">
        <f>IF('MIR-IG'!U7=0,"",IF(ABS('MIR-IG'!U7-'CTG-FF'!H24)&gt;=1000,"•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x14ac:dyDescent="0.25">
      <c r="B55" s="507" t="str">
        <f>IF('MIR-IG'!V7=0,"",IF(ABS('MIR-IG'!V7-'CTG-FF'!I24)&gt;=1000,"•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x14ac:dyDescent="0.25">
      <c r="B56" s="507" t="str">
        <f>IF('MIR-IG'!W7=0,"",IF(ABS('MIR-IG'!W7-'CTG-FF'!J24)&gt;=1000,"•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x14ac:dyDescent="0.25">
      <c r="B57" s="507" t="str">
        <f>IF('MIR-IG'!X7=0,"",IF(ABS('MIR-IG'!X7-'CTG-FF'!K24)&gt;=1000,"•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x14ac:dyDescent="0.25"/>
  </sheetData>
  <sheetProtection algorithmName="SHA-512" hashValue="yC6Sw3yFtwtIsLS1REK7ijItKsvGRd/85pCt9MaVmMbLi55XAn4esLciNalc1rG7Am2eu66aZxsY5YUPKPcYmQ==" saltValue="rD7c6iD0TfsbWF/og0KKTQ=="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70" orientation="landscape" horizontalDpi="4294967293" verticalDpi="36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D38" activePane="bottomRight" state="frozen"/>
      <selection pane="topRight" activeCell="D1" sqref="D1"/>
      <selection pane="bottomLeft" activeCell="A2" sqref="A2"/>
      <selection pane="bottomRight" activeCell="D124" sqref="D124"/>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2533</v>
      </c>
    </row>
    <row r="3" spans="1:16" ht="21" x14ac:dyDescent="0.35">
      <c r="A3" s="300" t="str">
        <f>Inconsistencias!$B$6&amp;IF(LOOKUP(Inconsistencias!$B$6,EF!$C$2:$C$1001,EF!$I$2:I$1001)="Dependencia",", Jalisco","")</f>
        <v>San Cristóbal de la Barranca, Jalisco</v>
      </c>
    </row>
    <row r="4" spans="1:16" ht="18.75" x14ac:dyDescent="0.3">
      <c r="A4" s="301" t="str">
        <f>"Ejercicio Fiscal "&amp;Inconsistencias!U2</f>
        <v>Ejercicio Fiscal 2025</v>
      </c>
    </row>
    <row r="5" spans="1:16" x14ac:dyDescent="0.25"/>
    <row r="6" spans="1:16" ht="15" customHeight="1" x14ac:dyDescent="0.25">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x14ac:dyDescent="0.25">
      <c r="A7" s="4">
        <v>1000</v>
      </c>
      <c r="B7" s="5" t="s">
        <v>500</v>
      </c>
      <c r="C7" s="142"/>
      <c r="D7" s="6">
        <f>D8+D10+D14+D15+D16+D17+D18+D24+D26</f>
        <v>772976</v>
      </c>
      <c r="E7" s="6">
        <f t="shared" ref="E7:N7" si="0">E8+E10+E14+E15+E16+E17+E18+E24+E26</f>
        <v>284628</v>
      </c>
      <c r="F7" s="6">
        <f t="shared" si="0"/>
        <v>189496</v>
      </c>
      <c r="G7" s="6">
        <f t="shared" si="0"/>
        <v>131899</v>
      </c>
      <c r="H7" s="6">
        <f t="shared" si="0"/>
        <v>68987</v>
      </c>
      <c r="I7" s="6">
        <f t="shared" si="0"/>
        <v>75883</v>
      </c>
      <c r="J7" s="6">
        <f t="shared" si="0"/>
        <v>122542</v>
      </c>
      <c r="K7" s="6">
        <f t="shared" si="0"/>
        <v>196717</v>
      </c>
      <c r="L7" s="6">
        <f t="shared" si="0"/>
        <v>78974</v>
      </c>
      <c r="M7" s="6">
        <f t="shared" si="0"/>
        <v>70103</v>
      </c>
      <c r="N7" s="6">
        <f t="shared" si="0"/>
        <v>74780</v>
      </c>
      <c r="O7" s="6">
        <f>O8+O10+O14+O15+O16+O17+O18+O24+O26</f>
        <v>56979</v>
      </c>
      <c r="P7" s="6">
        <f>SUM(D7:O7)</f>
        <v>2123964</v>
      </c>
    </row>
    <row r="8" spans="1:16" x14ac:dyDescent="0.25">
      <c r="A8" s="7">
        <v>1100</v>
      </c>
      <c r="B8" s="8" t="s">
        <v>509</v>
      </c>
      <c r="C8" s="143"/>
      <c r="D8" s="9">
        <f>SUM(D9)</f>
        <v>0</v>
      </c>
      <c r="E8" s="9">
        <f t="shared" ref="E8:O8" si="1">SUM(E9)</f>
        <v>0</v>
      </c>
      <c r="F8" s="9">
        <f t="shared" si="1"/>
        <v>0</v>
      </c>
      <c r="G8" s="9">
        <f t="shared" si="1"/>
        <v>0</v>
      </c>
      <c r="H8" s="9">
        <f t="shared" si="1"/>
        <v>2000</v>
      </c>
      <c r="I8" s="9">
        <f t="shared" si="1"/>
        <v>0</v>
      </c>
      <c r="J8" s="9">
        <f t="shared" si="1"/>
        <v>0</v>
      </c>
      <c r="K8" s="9">
        <f t="shared" si="1"/>
        <v>0</v>
      </c>
      <c r="L8" s="9">
        <f t="shared" si="1"/>
        <v>0</v>
      </c>
      <c r="M8" s="9">
        <f t="shared" si="1"/>
        <v>0</v>
      </c>
      <c r="N8" s="9">
        <f t="shared" si="1"/>
        <v>0</v>
      </c>
      <c r="O8" s="9">
        <f t="shared" si="1"/>
        <v>2000</v>
      </c>
      <c r="P8" s="9">
        <f t="shared" ref="P8:P79" si="2">SUM(D8:O8)</f>
        <v>4000</v>
      </c>
    </row>
    <row r="9" spans="1:16" x14ac:dyDescent="0.25">
      <c r="A9" s="10">
        <v>1101</v>
      </c>
      <c r="B9" s="11" t="s">
        <v>432</v>
      </c>
      <c r="C9" s="146">
        <v>11</v>
      </c>
      <c r="D9" s="12"/>
      <c r="E9" s="12"/>
      <c r="F9" s="12"/>
      <c r="G9" s="12"/>
      <c r="H9" s="12">
        <v>2000</v>
      </c>
      <c r="I9" s="12"/>
      <c r="J9" s="12"/>
      <c r="K9" s="12"/>
      <c r="L9" s="12"/>
      <c r="M9" s="12"/>
      <c r="N9" s="12"/>
      <c r="O9" s="12">
        <v>2000</v>
      </c>
      <c r="P9" s="13">
        <f t="shared" si="2"/>
        <v>4000</v>
      </c>
    </row>
    <row r="10" spans="1:16" x14ac:dyDescent="0.25">
      <c r="A10" s="7">
        <v>1200</v>
      </c>
      <c r="B10" s="14" t="s">
        <v>510</v>
      </c>
      <c r="C10" s="143"/>
      <c r="D10" s="9">
        <f>SUM(D11:D13)</f>
        <v>760570</v>
      </c>
      <c r="E10" s="9">
        <f t="shared" ref="E10:O10" si="3">SUM(E11:E13)</f>
        <v>277845</v>
      </c>
      <c r="F10" s="9">
        <f t="shared" si="3"/>
        <v>184308</v>
      </c>
      <c r="G10" s="9">
        <f t="shared" si="3"/>
        <v>130008</v>
      </c>
      <c r="H10" s="9">
        <f t="shared" si="3"/>
        <v>63413</v>
      </c>
      <c r="I10" s="9">
        <f t="shared" si="3"/>
        <v>71403</v>
      </c>
      <c r="J10" s="9">
        <f t="shared" si="3"/>
        <v>119766</v>
      </c>
      <c r="K10" s="9">
        <f t="shared" si="3"/>
        <v>189183</v>
      </c>
      <c r="L10" s="9">
        <f t="shared" si="3"/>
        <v>75361</v>
      </c>
      <c r="M10" s="9">
        <f t="shared" si="3"/>
        <v>66288</v>
      </c>
      <c r="N10" s="9">
        <f t="shared" si="3"/>
        <v>70616</v>
      </c>
      <c r="O10" s="9">
        <f t="shared" si="3"/>
        <v>50363</v>
      </c>
      <c r="P10" s="9">
        <f t="shared" si="2"/>
        <v>2059124</v>
      </c>
    </row>
    <row r="11" spans="1:16" x14ac:dyDescent="0.25">
      <c r="A11" s="10">
        <v>1201</v>
      </c>
      <c r="B11" s="11" t="s">
        <v>433</v>
      </c>
      <c r="C11" s="146">
        <v>11</v>
      </c>
      <c r="D11" s="12">
        <v>678515</v>
      </c>
      <c r="E11" s="12">
        <v>254611</v>
      </c>
      <c r="F11" s="12">
        <v>153408</v>
      </c>
      <c r="G11" s="12">
        <v>107542</v>
      </c>
      <c r="H11" s="12">
        <v>44223</v>
      </c>
      <c r="I11" s="12">
        <v>34383</v>
      </c>
      <c r="J11" s="12">
        <v>78471</v>
      </c>
      <c r="K11" s="12">
        <v>112719</v>
      </c>
      <c r="L11" s="12">
        <v>43773</v>
      </c>
      <c r="M11" s="12">
        <v>40940</v>
      </c>
      <c r="N11" s="12">
        <v>30498</v>
      </c>
      <c r="O11" s="12">
        <v>20241</v>
      </c>
      <c r="P11" s="13">
        <f t="shared" si="2"/>
        <v>1599324</v>
      </c>
    </row>
    <row r="12" spans="1:16" x14ac:dyDescent="0.25">
      <c r="A12" s="10">
        <v>1202</v>
      </c>
      <c r="B12" s="11" t="s">
        <v>511</v>
      </c>
      <c r="C12" s="146">
        <v>11</v>
      </c>
      <c r="D12" s="12">
        <v>80805</v>
      </c>
      <c r="E12" s="12">
        <v>23234</v>
      </c>
      <c r="F12" s="12">
        <v>30450</v>
      </c>
      <c r="G12" s="12">
        <v>21966</v>
      </c>
      <c r="H12" s="12">
        <v>19190</v>
      </c>
      <c r="I12" s="12">
        <v>37020</v>
      </c>
      <c r="J12" s="12">
        <v>40595</v>
      </c>
      <c r="K12" s="12">
        <v>76464</v>
      </c>
      <c r="L12" s="12">
        <v>30888</v>
      </c>
      <c r="M12" s="12">
        <v>25348</v>
      </c>
      <c r="N12" s="12">
        <v>40118</v>
      </c>
      <c r="O12" s="12">
        <v>29722</v>
      </c>
      <c r="P12" s="13">
        <f t="shared" si="2"/>
        <v>455800</v>
      </c>
    </row>
    <row r="13" spans="1:16" x14ac:dyDescent="0.25">
      <c r="A13" s="10">
        <v>1203</v>
      </c>
      <c r="B13" s="11" t="s">
        <v>434</v>
      </c>
      <c r="C13" s="146">
        <v>11</v>
      </c>
      <c r="D13" s="12">
        <v>1250</v>
      </c>
      <c r="E13" s="12"/>
      <c r="F13" s="12">
        <v>450</v>
      </c>
      <c r="G13" s="12">
        <v>500</v>
      </c>
      <c r="H13" s="12"/>
      <c r="I13" s="12"/>
      <c r="J13" s="12">
        <v>700</v>
      </c>
      <c r="K13" s="12"/>
      <c r="L13" s="12">
        <v>700</v>
      </c>
      <c r="M13" s="12"/>
      <c r="N13" s="12"/>
      <c r="O13" s="12">
        <v>400</v>
      </c>
      <c r="P13" s="13">
        <f t="shared" si="2"/>
        <v>4000</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9837</v>
      </c>
      <c r="E18" s="15">
        <f t="shared" ref="E18:O18" si="4">SUM(E19:E23)</f>
        <v>5803</v>
      </c>
      <c r="F18" s="15">
        <f t="shared" si="4"/>
        <v>3590</v>
      </c>
      <c r="G18" s="15">
        <f t="shared" si="4"/>
        <v>1891</v>
      </c>
      <c r="H18" s="15">
        <f t="shared" si="4"/>
        <v>1424</v>
      </c>
      <c r="I18" s="15">
        <f t="shared" si="4"/>
        <v>1882</v>
      </c>
      <c r="J18" s="15">
        <f t="shared" si="4"/>
        <v>2776</v>
      </c>
      <c r="K18" s="15">
        <f t="shared" si="4"/>
        <v>7534</v>
      </c>
      <c r="L18" s="15">
        <f t="shared" si="4"/>
        <v>2463</v>
      </c>
      <c r="M18" s="15">
        <f t="shared" si="4"/>
        <v>2835</v>
      </c>
      <c r="N18" s="15">
        <f t="shared" si="4"/>
        <v>3539</v>
      </c>
      <c r="O18" s="15">
        <f t="shared" si="4"/>
        <v>2766</v>
      </c>
      <c r="P18" s="15">
        <f t="shared" si="2"/>
        <v>46340</v>
      </c>
    </row>
    <row r="19" spans="1:16" x14ac:dyDescent="0.25">
      <c r="A19" s="10">
        <v>1701</v>
      </c>
      <c r="B19" s="17" t="s">
        <v>435</v>
      </c>
      <c r="C19" s="146">
        <v>11</v>
      </c>
      <c r="D19" s="12">
        <v>2941</v>
      </c>
      <c r="E19" s="12">
        <v>584</v>
      </c>
      <c r="F19" s="12">
        <v>666</v>
      </c>
      <c r="G19" s="12">
        <v>260</v>
      </c>
      <c r="H19" s="12">
        <v>618</v>
      </c>
      <c r="I19" s="12">
        <v>614</v>
      </c>
      <c r="J19" s="12">
        <v>847</v>
      </c>
      <c r="K19" s="12">
        <v>4769</v>
      </c>
      <c r="L19" s="12">
        <v>716</v>
      </c>
      <c r="M19" s="12">
        <v>768</v>
      </c>
      <c r="N19" s="12">
        <v>969</v>
      </c>
      <c r="O19" s="12">
        <v>798</v>
      </c>
      <c r="P19" s="13">
        <f t="shared" si="2"/>
        <v>14550</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v>3161</v>
      </c>
      <c r="E21" s="12">
        <v>2374</v>
      </c>
      <c r="F21" s="12">
        <v>1500</v>
      </c>
      <c r="G21" s="12">
        <v>741</v>
      </c>
      <c r="H21" s="12">
        <v>450</v>
      </c>
      <c r="I21" s="12">
        <v>500</v>
      </c>
      <c r="J21" s="12">
        <v>780</v>
      </c>
      <c r="K21" s="12">
        <v>1569</v>
      </c>
      <c r="L21" s="12">
        <v>824</v>
      </c>
      <c r="M21" s="12">
        <v>941</v>
      </c>
      <c r="N21" s="12">
        <v>1485</v>
      </c>
      <c r="O21" s="12">
        <v>1020</v>
      </c>
      <c r="P21" s="13">
        <f t="shared" si="2"/>
        <v>15345</v>
      </c>
    </row>
    <row r="22" spans="1:16" x14ac:dyDescent="0.25">
      <c r="A22" s="10">
        <v>1704</v>
      </c>
      <c r="B22" s="17" t="s">
        <v>518</v>
      </c>
      <c r="C22" s="146">
        <v>11</v>
      </c>
      <c r="D22" s="12">
        <v>3735</v>
      </c>
      <c r="E22" s="12">
        <v>2845</v>
      </c>
      <c r="F22" s="12">
        <v>1424</v>
      </c>
      <c r="G22" s="12">
        <v>890</v>
      </c>
      <c r="H22" s="12">
        <v>356</v>
      </c>
      <c r="I22" s="12">
        <v>768</v>
      </c>
      <c r="J22" s="12">
        <v>1149</v>
      </c>
      <c r="K22" s="12">
        <v>1196</v>
      </c>
      <c r="L22" s="12">
        <v>923</v>
      </c>
      <c r="M22" s="12">
        <v>1126</v>
      </c>
      <c r="N22" s="12">
        <v>1085</v>
      </c>
      <c r="O22" s="12">
        <v>948</v>
      </c>
      <c r="P22" s="13">
        <f t="shared" si="2"/>
        <v>16445</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2569</v>
      </c>
      <c r="E24" s="15">
        <f t="shared" ref="E24:O26" si="5">SUM(E25)</f>
        <v>980</v>
      </c>
      <c r="F24" s="15">
        <f t="shared" si="5"/>
        <v>1598</v>
      </c>
      <c r="G24" s="15">
        <f t="shared" si="5"/>
        <v>0</v>
      </c>
      <c r="H24" s="15">
        <f t="shared" si="5"/>
        <v>2150</v>
      </c>
      <c r="I24" s="15">
        <f t="shared" si="5"/>
        <v>2598</v>
      </c>
      <c r="J24" s="15">
        <f t="shared" si="5"/>
        <v>0</v>
      </c>
      <c r="K24" s="15">
        <f t="shared" si="5"/>
        <v>0</v>
      </c>
      <c r="L24" s="15">
        <f t="shared" si="5"/>
        <v>1150</v>
      </c>
      <c r="M24" s="15">
        <f t="shared" si="5"/>
        <v>980</v>
      </c>
      <c r="N24" s="15">
        <f t="shared" si="5"/>
        <v>625</v>
      </c>
      <c r="O24" s="15">
        <f t="shared" si="5"/>
        <v>1850</v>
      </c>
      <c r="P24" s="15">
        <f t="shared" si="2"/>
        <v>14500</v>
      </c>
    </row>
    <row r="25" spans="1:16" x14ac:dyDescent="0.25">
      <c r="A25" s="10">
        <v>1801</v>
      </c>
      <c r="B25" s="17" t="s">
        <v>519</v>
      </c>
      <c r="C25" s="146">
        <v>11</v>
      </c>
      <c r="D25" s="12">
        <v>2569</v>
      </c>
      <c r="E25" s="12">
        <v>980</v>
      </c>
      <c r="F25" s="12">
        <v>1598</v>
      </c>
      <c r="G25" s="12"/>
      <c r="H25" s="12">
        <v>2150</v>
      </c>
      <c r="I25" s="12">
        <v>2598</v>
      </c>
      <c r="J25" s="12"/>
      <c r="K25" s="12"/>
      <c r="L25" s="12">
        <v>1150</v>
      </c>
      <c r="M25" s="12">
        <v>980</v>
      </c>
      <c r="N25" s="12">
        <v>625</v>
      </c>
      <c r="O25" s="12">
        <v>1850</v>
      </c>
      <c r="P25" s="13">
        <f t="shared" si="2"/>
        <v>14500</v>
      </c>
    </row>
    <row r="26" spans="1:16" ht="30" x14ac:dyDescent="0.25">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2218</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2275</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525</v>
      </c>
      <c r="C36" s="146">
        <v>11</v>
      </c>
      <c r="D36" s="12"/>
      <c r="E36" s="12"/>
      <c r="F36" s="12"/>
      <c r="G36" s="12"/>
      <c r="H36" s="12"/>
      <c r="I36" s="12"/>
      <c r="J36" s="12"/>
      <c r="K36" s="12"/>
      <c r="L36" s="12"/>
      <c r="M36" s="12"/>
      <c r="N36" s="12"/>
      <c r="O36" s="12"/>
      <c r="P36" s="13">
        <f t="shared" si="2"/>
        <v>0</v>
      </c>
    </row>
    <row r="37" spans="1:16" ht="45" x14ac:dyDescent="0.25">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2219</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738604</v>
      </c>
      <c r="E39" s="6">
        <f t="shared" ref="E39:N39" si="11">E40+E45+E46+E61+E63+E69</f>
        <v>353623</v>
      </c>
      <c r="F39" s="6">
        <f t="shared" si="11"/>
        <v>257822</v>
      </c>
      <c r="G39" s="6">
        <f t="shared" si="11"/>
        <v>132578</v>
      </c>
      <c r="H39" s="6">
        <f t="shared" si="11"/>
        <v>193444</v>
      </c>
      <c r="I39" s="6">
        <f t="shared" si="11"/>
        <v>124122</v>
      </c>
      <c r="J39" s="6">
        <f t="shared" si="11"/>
        <v>130799</v>
      </c>
      <c r="K39" s="6">
        <f t="shared" si="11"/>
        <v>134388</v>
      </c>
      <c r="L39" s="6">
        <f t="shared" si="11"/>
        <v>90985</v>
      </c>
      <c r="M39" s="6">
        <f t="shared" si="11"/>
        <v>131057</v>
      </c>
      <c r="N39" s="6">
        <f t="shared" si="11"/>
        <v>159155</v>
      </c>
      <c r="O39" s="6">
        <f>O40+O45+O46+O61+O63+O69</f>
        <v>122903</v>
      </c>
      <c r="P39" s="6">
        <f t="shared" si="2"/>
        <v>2569480</v>
      </c>
    </row>
    <row r="40" spans="1:16" ht="30" customHeight="1" x14ac:dyDescent="0.25">
      <c r="A40" s="7">
        <v>4100</v>
      </c>
      <c r="B40" s="19" t="s">
        <v>526</v>
      </c>
      <c r="C40" s="149"/>
      <c r="D40" s="9">
        <f>SUM(D41:D44)</f>
        <v>269475</v>
      </c>
      <c r="E40" s="9">
        <f t="shared" ref="E40:O40" si="12">SUM(E41:E44)</f>
        <v>173975</v>
      </c>
      <c r="F40" s="9">
        <f t="shared" si="12"/>
        <v>86600</v>
      </c>
      <c r="G40" s="9">
        <f t="shared" si="12"/>
        <v>73730</v>
      </c>
      <c r="H40" s="9">
        <f t="shared" si="12"/>
        <v>111800</v>
      </c>
      <c r="I40" s="9">
        <f t="shared" si="12"/>
        <v>72580</v>
      </c>
      <c r="J40" s="9">
        <f t="shared" si="12"/>
        <v>66400</v>
      </c>
      <c r="K40" s="9">
        <f t="shared" si="12"/>
        <v>86200</v>
      </c>
      <c r="L40" s="9">
        <f t="shared" si="12"/>
        <v>46400</v>
      </c>
      <c r="M40" s="9">
        <f t="shared" si="12"/>
        <v>86200</v>
      </c>
      <c r="N40" s="9">
        <f t="shared" si="12"/>
        <v>111150</v>
      </c>
      <c r="O40" s="9">
        <f t="shared" si="12"/>
        <v>72490</v>
      </c>
      <c r="P40" s="9">
        <f t="shared" si="2"/>
        <v>1257000</v>
      </c>
    </row>
    <row r="41" spans="1:16" x14ac:dyDescent="0.25">
      <c r="A41" s="10">
        <v>4101</v>
      </c>
      <c r="B41" s="17" t="s">
        <v>527</v>
      </c>
      <c r="C41" s="146">
        <v>11</v>
      </c>
      <c r="D41" s="12">
        <v>2100</v>
      </c>
      <c r="E41" s="12">
        <v>1600</v>
      </c>
      <c r="F41" s="12">
        <v>1600</v>
      </c>
      <c r="G41" s="12">
        <v>1600</v>
      </c>
      <c r="H41" s="12">
        <v>1800</v>
      </c>
      <c r="I41" s="12">
        <v>1600</v>
      </c>
      <c r="J41" s="12">
        <v>1400</v>
      </c>
      <c r="K41" s="12">
        <v>1200</v>
      </c>
      <c r="L41" s="12">
        <v>1400</v>
      </c>
      <c r="M41" s="12">
        <v>1200</v>
      </c>
      <c r="N41" s="12">
        <v>1400</v>
      </c>
      <c r="O41" s="12">
        <v>1600</v>
      </c>
      <c r="P41" s="13">
        <f t="shared" si="2"/>
        <v>18500</v>
      </c>
    </row>
    <row r="42" spans="1:16" x14ac:dyDescent="0.25">
      <c r="A42" s="10">
        <v>4102</v>
      </c>
      <c r="B42" s="17" t="s">
        <v>528</v>
      </c>
      <c r="C42" s="146">
        <v>11</v>
      </c>
      <c r="D42" s="12"/>
      <c r="E42" s="12"/>
      <c r="F42" s="12"/>
      <c r="G42" s="12"/>
      <c r="H42" s="12"/>
      <c r="I42" s="12"/>
      <c r="J42" s="12"/>
      <c r="K42" s="12"/>
      <c r="L42" s="12"/>
      <c r="M42" s="12"/>
      <c r="N42" s="12"/>
      <c r="O42" s="12"/>
      <c r="P42" s="13">
        <f t="shared" si="2"/>
        <v>0</v>
      </c>
    </row>
    <row r="43" spans="1:16" x14ac:dyDescent="0.25">
      <c r="A43" s="10">
        <v>4103</v>
      </c>
      <c r="B43" s="17" t="s">
        <v>529</v>
      </c>
      <c r="C43" s="146">
        <v>11</v>
      </c>
      <c r="D43" s="12">
        <v>215000</v>
      </c>
      <c r="E43" s="12">
        <v>140000</v>
      </c>
      <c r="F43" s="12">
        <v>45000</v>
      </c>
      <c r="G43" s="12">
        <v>45000</v>
      </c>
      <c r="H43" s="12">
        <v>90000</v>
      </c>
      <c r="I43" s="12">
        <v>45000</v>
      </c>
      <c r="J43" s="12">
        <v>45000</v>
      </c>
      <c r="K43" s="12">
        <v>45000</v>
      </c>
      <c r="L43" s="12">
        <v>45000</v>
      </c>
      <c r="M43" s="12">
        <v>45000</v>
      </c>
      <c r="N43" s="12">
        <v>45000</v>
      </c>
      <c r="O43" s="12">
        <v>45000</v>
      </c>
      <c r="P43" s="13">
        <f t="shared" si="2"/>
        <v>850000</v>
      </c>
    </row>
    <row r="44" spans="1:16" x14ac:dyDescent="0.25">
      <c r="A44" s="10">
        <v>4104</v>
      </c>
      <c r="B44" s="17" t="s">
        <v>530</v>
      </c>
      <c r="C44" s="146">
        <v>11</v>
      </c>
      <c r="D44" s="12">
        <v>52375</v>
      </c>
      <c r="E44" s="12">
        <v>32375</v>
      </c>
      <c r="F44" s="12">
        <v>40000</v>
      </c>
      <c r="G44" s="12">
        <v>27130</v>
      </c>
      <c r="H44" s="12">
        <v>20000</v>
      </c>
      <c r="I44" s="12">
        <v>25980</v>
      </c>
      <c r="J44" s="12">
        <v>20000</v>
      </c>
      <c r="K44" s="12">
        <v>40000</v>
      </c>
      <c r="L44" s="12"/>
      <c r="M44" s="12">
        <v>40000</v>
      </c>
      <c r="N44" s="12">
        <v>64750</v>
      </c>
      <c r="O44" s="12">
        <v>25890</v>
      </c>
      <c r="P44" s="13">
        <f t="shared" si="2"/>
        <v>388500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460523</v>
      </c>
      <c r="E46" s="9">
        <f t="shared" ref="E46:O46" si="13">SUM(E47:E60)</f>
        <v>174413</v>
      </c>
      <c r="F46" s="9">
        <f t="shared" si="13"/>
        <v>167091</v>
      </c>
      <c r="G46" s="9">
        <f t="shared" si="13"/>
        <v>56586</v>
      </c>
      <c r="H46" s="9">
        <f t="shared" si="13"/>
        <v>79962</v>
      </c>
      <c r="I46" s="9">
        <f t="shared" si="13"/>
        <v>47280</v>
      </c>
      <c r="J46" s="9">
        <f t="shared" si="13"/>
        <v>60463</v>
      </c>
      <c r="K46" s="9">
        <f t="shared" si="13"/>
        <v>43278</v>
      </c>
      <c r="L46" s="9">
        <f t="shared" si="13"/>
        <v>43334</v>
      </c>
      <c r="M46" s="9">
        <f t="shared" si="13"/>
        <v>42622</v>
      </c>
      <c r="N46" s="9">
        <f t="shared" si="13"/>
        <v>46421</v>
      </c>
      <c r="O46" s="9">
        <f t="shared" si="13"/>
        <v>48107</v>
      </c>
      <c r="P46" s="9">
        <f t="shared" si="2"/>
        <v>1270080</v>
      </c>
    </row>
    <row r="47" spans="1:16" x14ac:dyDescent="0.25">
      <c r="A47" s="10">
        <v>4301</v>
      </c>
      <c r="B47" s="17" t="s">
        <v>533</v>
      </c>
      <c r="C47" s="146">
        <v>11</v>
      </c>
      <c r="D47" s="12">
        <v>93146</v>
      </c>
      <c r="E47" s="12">
        <v>17546</v>
      </c>
      <c r="F47" s="12">
        <v>9677</v>
      </c>
      <c r="G47" s="12">
        <v>4359</v>
      </c>
      <c r="H47" s="12">
        <v>3492</v>
      </c>
      <c r="I47" s="12">
        <v>2308</v>
      </c>
      <c r="J47" s="12">
        <v>1568</v>
      </c>
      <c r="K47" s="12">
        <v>1645</v>
      </c>
      <c r="L47" s="12">
        <v>1970</v>
      </c>
      <c r="M47" s="12">
        <v>1694</v>
      </c>
      <c r="N47" s="12">
        <v>2935</v>
      </c>
      <c r="O47" s="12">
        <v>2860</v>
      </c>
      <c r="P47" s="13">
        <f t="shared" si="2"/>
        <v>143200</v>
      </c>
    </row>
    <row r="48" spans="1:16" x14ac:dyDescent="0.25">
      <c r="A48" s="10">
        <v>4302</v>
      </c>
      <c r="B48" s="17" t="s">
        <v>534</v>
      </c>
      <c r="C48" s="146">
        <v>11</v>
      </c>
      <c r="D48" s="12">
        <v>18850</v>
      </c>
      <c r="E48" s="12"/>
      <c r="F48" s="12"/>
      <c r="G48" s="12"/>
      <c r="H48" s="12">
        <v>1570</v>
      </c>
      <c r="I48" s="12"/>
      <c r="J48" s="12"/>
      <c r="K48" s="12"/>
      <c r="L48" s="12"/>
      <c r="M48" s="12"/>
      <c r="N48" s="12"/>
      <c r="O48" s="12"/>
      <c r="P48" s="13">
        <f t="shared" si="2"/>
        <v>20420</v>
      </c>
    </row>
    <row r="49" spans="1:16" ht="30" x14ac:dyDescent="0.25">
      <c r="A49" s="10">
        <v>4303</v>
      </c>
      <c r="B49" s="17" t="s">
        <v>535</v>
      </c>
      <c r="C49" s="146">
        <v>11</v>
      </c>
      <c r="D49" s="12">
        <v>3450</v>
      </c>
      <c r="E49" s="12">
        <v>1950</v>
      </c>
      <c r="F49" s="12">
        <v>1120</v>
      </c>
      <c r="G49" s="12">
        <v>1500</v>
      </c>
      <c r="H49" s="12">
        <v>1580</v>
      </c>
      <c r="I49" s="12">
        <v>950</v>
      </c>
      <c r="J49" s="12">
        <v>1000</v>
      </c>
      <c r="K49" s="12">
        <v>1500</v>
      </c>
      <c r="L49" s="12">
        <v>1500</v>
      </c>
      <c r="M49" s="12">
        <v>2450</v>
      </c>
      <c r="N49" s="12">
        <v>950</v>
      </c>
      <c r="O49" s="12">
        <v>1850</v>
      </c>
      <c r="P49" s="13">
        <f t="shared" si="2"/>
        <v>19800</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v>1450</v>
      </c>
      <c r="E51" s="12">
        <v>500</v>
      </c>
      <c r="F51" s="12"/>
      <c r="G51" s="12">
        <v>500</v>
      </c>
      <c r="H51" s="12"/>
      <c r="I51" s="12"/>
      <c r="J51" s="12">
        <v>500</v>
      </c>
      <c r="K51" s="12"/>
      <c r="L51" s="12"/>
      <c r="M51" s="12">
        <v>500</v>
      </c>
      <c r="N51" s="12"/>
      <c r="O51" s="12"/>
      <c r="P51" s="13">
        <f t="shared" si="2"/>
        <v>3450</v>
      </c>
    </row>
    <row r="52" spans="1:16" ht="30" x14ac:dyDescent="0.25">
      <c r="A52" s="10">
        <v>4306</v>
      </c>
      <c r="B52" s="17" t="s">
        <v>538</v>
      </c>
      <c r="C52" s="146">
        <v>11</v>
      </c>
      <c r="D52" s="12"/>
      <c r="E52" s="12">
        <v>1500</v>
      </c>
      <c r="F52" s="12"/>
      <c r="G52" s="12"/>
      <c r="H52" s="12"/>
      <c r="I52" s="12"/>
      <c r="J52" s="12"/>
      <c r="K52" s="12"/>
      <c r="L52" s="12"/>
      <c r="M52" s="12"/>
      <c r="N52" s="12"/>
      <c r="O52" s="12"/>
      <c r="P52" s="13">
        <f t="shared" si="2"/>
        <v>1500</v>
      </c>
    </row>
    <row r="53" spans="1:16" x14ac:dyDescent="0.25">
      <c r="A53" s="10">
        <v>4307</v>
      </c>
      <c r="B53" s="17" t="s">
        <v>539</v>
      </c>
      <c r="C53" s="146">
        <v>11</v>
      </c>
      <c r="D53" s="12">
        <v>700</v>
      </c>
      <c r="E53" s="12"/>
      <c r="F53" s="12">
        <v>700</v>
      </c>
      <c r="G53" s="12"/>
      <c r="H53" s="12"/>
      <c r="I53" s="12"/>
      <c r="J53" s="12"/>
      <c r="K53" s="12"/>
      <c r="L53" s="12"/>
      <c r="M53" s="12"/>
      <c r="N53" s="12"/>
      <c r="O53" s="12"/>
      <c r="P53" s="13">
        <f t="shared" si="2"/>
        <v>1400</v>
      </c>
    </row>
    <row r="54" spans="1:16" x14ac:dyDescent="0.25">
      <c r="A54" s="10">
        <v>4308</v>
      </c>
      <c r="B54" s="17" t="s">
        <v>540</v>
      </c>
      <c r="C54" s="146">
        <v>11</v>
      </c>
      <c r="D54" s="12">
        <v>3100</v>
      </c>
      <c r="E54" s="12"/>
      <c r="F54" s="12"/>
      <c r="G54" s="12">
        <v>2300</v>
      </c>
      <c r="H54" s="12"/>
      <c r="I54" s="12"/>
      <c r="J54" s="12">
        <v>1200</v>
      </c>
      <c r="K54" s="12"/>
      <c r="L54" s="12"/>
      <c r="M54" s="12">
        <v>1200</v>
      </c>
      <c r="N54" s="12"/>
      <c r="O54" s="12">
        <v>1200</v>
      </c>
      <c r="P54" s="13">
        <f t="shared" si="2"/>
        <v>9000</v>
      </c>
    </row>
    <row r="55" spans="1:16" ht="30" x14ac:dyDescent="0.25">
      <c r="A55" s="10">
        <v>4309</v>
      </c>
      <c r="B55" s="17" t="s">
        <v>541</v>
      </c>
      <c r="C55" s="146">
        <v>11</v>
      </c>
      <c r="D55" s="12">
        <v>3450</v>
      </c>
      <c r="E55" s="12">
        <v>1000</v>
      </c>
      <c r="F55" s="12">
        <v>3250</v>
      </c>
      <c r="G55" s="12"/>
      <c r="H55" s="12">
        <v>3620</v>
      </c>
      <c r="I55" s="12"/>
      <c r="J55" s="12">
        <v>2780</v>
      </c>
      <c r="K55" s="12"/>
      <c r="L55" s="12">
        <v>2850</v>
      </c>
      <c r="M55" s="12"/>
      <c r="N55" s="12">
        <v>3550</v>
      </c>
      <c r="O55" s="12"/>
      <c r="P55" s="13">
        <f t="shared" si="2"/>
        <v>20500</v>
      </c>
    </row>
    <row r="56" spans="1:16" ht="30" x14ac:dyDescent="0.25">
      <c r="A56" s="10">
        <v>4310</v>
      </c>
      <c r="B56" s="17" t="s">
        <v>542</v>
      </c>
      <c r="C56" s="146">
        <v>11</v>
      </c>
      <c r="D56" s="12">
        <v>164863</v>
      </c>
      <c r="E56" s="12">
        <v>53038</v>
      </c>
      <c r="F56" s="12">
        <v>70652</v>
      </c>
      <c r="G56" s="12">
        <v>9170</v>
      </c>
      <c r="H56" s="12">
        <v>5666</v>
      </c>
      <c r="I56" s="12">
        <v>3850</v>
      </c>
      <c r="J56" s="12">
        <v>12736</v>
      </c>
      <c r="K56" s="12">
        <v>1850</v>
      </c>
      <c r="L56" s="12">
        <v>1920</v>
      </c>
      <c r="M56" s="12">
        <v>3594</v>
      </c>
      <c r="N56" s="12">
        <v>9579</v>
      </c>
      <c r="O56" s="12">
        <v>9532</v>
      </c>
      <c r="P56" s="13">
        <f t="shared" si="2"/>
        <v>346450</v>
      </c>
    </row>
    <row r="57" spans="1:16" x14ac:dyDescent="0.25">
      <c r="A57" s="10">
        <v>4311</v>
      </c>
      <c r="B57" s="17" t="s">
        <v>543</v>
      </c>
      <c r="C57" s="146">
        <v>11</v>
      </c>
      <c r="D57" s="12">
        <v>134750</v>
      </c>
      <c r="E57" s="12">
        <v>73329</v>
      </c>
      <c r="F57" s="12">
        <v>60709</v>
      </c>
      <c r="G57" s="12">
        <v>17916</v>
      </c>
      <c r="H57" s="12">
        <v>48262</v>
      </c>
      <c r="I57" s="12">
        <v>24895</v>
      </c>
      <c r="J57" s="12">
        <v>28133</v>
      </c>
      <c r="K57" s="12">
        <v>21917</v>
      </c>
      <c r="L57" s="12">
        <v>19714</v>
      </c>
      <c r="M57" s="12">
        <v>20938</v>
      </c>
      <c r="N57" s="12">
        <v>19139</v>
      </c>
      <c r="O57" s="12">
        <v>21298</v>
      </c>
      <c r="P57" s="13">
        <f t="shared" si="2"/>
        <v>491000</v>
      </c>
    </row>
    <row r="58" spans="1:16" x14ac:dyDescent="0.25">
      <c r="A58" s="10">
        <v>4312</v>
      </c>
      <c r="B58" s="17" t="s">
        <v>544</v>
      </c>
      <c r="C58" s="146">
        <v>11</v>
      </c>
      <c r="D58" s="12">
        <v>4200</v>
      </c>
      <c r="E58" s="12">
        <v>1800</v>
      </c>
      <c r="F58" s="12">
        <v>1950</v>
      </c>
      <c r="G58" s="12">
        <v>1685</v>
      </c>
      <c r="H58" s="12">
        <v>1037</v>
      </c>
      <c r="I58" s="12">
        <v>1020</v>
      </c>
      <c r="J58" s="12">
        <v>1494</v>
      </c>
      <c r="K58" s="12">
        <v>810</v>
      </c>
      <c r="L58" s="12">
        <v>779</v>
      </c>
      <c r="M58" s="12">
        <v>658</v>
      </c>
      <c r="N58" s="12">
        <v>2460</v>
      </c>
      <c r="O58" s="12">
        <v>1607</v>
      </c>
      <c r="P58" s="13">
        <f t="shared" si="2"/>
        <v>19500</v>
      </c>
    </row>
    <row r="59" spans="1:16" x14ac:dyDescent="0.25">
      <c r="A59" s="10">
        <v>4313</v>
      </c>
      <c r="B59" s="17" t="s">
        <v>545</v>
      </c>
      <c r="C59" s="146">
        <v>11</v>
      </c>
      <c r="D59" s="12">
        <v>24821</v>
      </c>
      <c r="E59" s="12">
        <v>19456</v>
      </c>
      <c r="F59" s="12">
        <v>16909</v>
      </c>
      <c r="G59" s="12">
        <v>15817</v>
      </c>
      <c r="H59" s="12">
        <v>11548</v>
      </c>
      <c r="I59" s="12">
        <v>9382</v>
      </c>
      <c r="J59" s="12">
        <v>7912</v>
      </c>
      <c r="K59" s="12">
        <v>9538</v>
      </c>
      <c r="L59" s="12">
        <v>9916</v>
      </c>
      <c r="M59" s="12">
        <v>6794</v>
      </c>
      <c r="N59" s="12">
        <v>5520</v>
      </c>
      <c r="O59" s="12">
        <v>7327</v>
      </c>
      <c r="P59" s="13">
        <f t="shared" si="2"/>
        <v>144940</v>
      </c>
    </row>
    <row r="60" spans="1:16" x14ac:dyDescent="0.25">
      <c r="A60" s="10">
        <v>4314</v>
      </c>
      <c r="B60" s="17" t="s">
        <v>546</v>
      </c>
      <c r="C60" s="146">
        <v>11</v>
      </c>
      <c r="D60" s="12">
        <v>7743</v>
      </c>
      <c r="E60" s="12">
        <v>4294</v>
      </c>
      <c r="F60" s="12">
        <v>2124</v>
      </c>
      <c r="G60" s="12">
        <v>3339</v>
      </c>
      <c r="H60" s="12">
        <v>3187</v>
      </c>
      <c r="I60" s="12">
        <v>4875</v>
      </c>
      <c r="J60" s="12">
        <v>3140</v>
      </c>
      <c r="K60" s="12">
        <v>6018</v>
      </c>
      <c r="L60" s="12">
        <v>4685</v>
      </c>
      <c r="M60" s="12">
        <v>4794</v>
      </c>
      <c r="N60" s="12">
        <v>2288</v>
      </c>
      <c r="O60" s="12">
        <v>2433</v>
      </c>
      <c r="P60" s="13">
        <f t="shared" si="2"/>
        <v>48920</v>
      </c>
    </row>
    <row r="61" spans="1:16" ht="15" customHeight="1" x14ac:dyDescent="0.25">
      <c r="A61" s="7">
        <v>4400</v>
      </c>
      <c r="B61" s="19" t="s">
        <v>547</v>
      </c>
      <c r="C61" s="149"/>
      <c r="D61" s="9">
        <f>SUM(D62)</f>
        <v>6750</v>
      </c>
      <c r="E61" s="9">
        <f t="shared" ref="E61:O61" si="14">SUM(E62)</f>
        <v>4150</v>
      </c>
      <c r="F61" s="9">
        <f t="shared" si="14"/>
        <v>3150</v>
      </c>
      <c r="G61" s="9">
        <f t="shared" si="14"/>
        <v>1980</v>
      </c>
      <c r="H61" s="9">
        <f t="shared" si="14"/>
        <v>1560</v>
      </c>
      <c r="I61" s="9">
        <f t="shared" si="14"/>
        <v>3489</v>
      </c>
      <c r="J61" s="9">
        <f t="shared" si="14"/>
        <v>2984</v>
      </c>
      <c r="K61" s="9">
        <f t="shared" si="14"/>
        <v>4156</v>
      </c>
      <c r="L61" s="9">
        <f t="shared" si="14"/>
        <v>895</v>
      </c>
      <c r="M61" s="9">
        <f t="shared" si="14"/>
        <v>1450</v>
      </c>
      <c r="N61" s="9">
        <f t="shared" si="14"/>
        <v>1030</v>
      </c>
      <c r="O61" s="9">
        <f t="shared" si="14"/>
        <v>1456</v>
      </c>
      <c r="P61" s="9">
        <f t="shared" si="2"/>
        <v>33050</v>
      </c>
    </row>
    <row r="62" spans="1:16" x14ac:dyDescent="0.25">
      <c r="A62" s="10">
        <v>4401</v>
      </c>
      <c r="B62" s="17" t="s">
        <v>547</v>
      </c>
      <c r="C62" s="146">
        <v>11</v>
      </c>
      <c r="D62" s="12">
        <v>6750</v>
      </c>
      <c r="E62" s="12">
        <v>4150</v>
      </c>
      <c r="F62" s="12">
        <v>3150</v>
      </c>
      <c r="G62" s="12">
        <v>1980</v>
      </c>
      <c r="H62" s="12">
        <v>1560</v>
      </c>
      <c r="I62" s="12">
        <v>3489</v>
      </c>
      <c r="J62" s="12">
        <v>2984</v>
      </c>
      <c r="K62" s="12">
        <v>4156</v>
      </c>
      <c r="L62" s="12">
        <v>895</v>
      </c>
      <c r="M62" s="12">
        <v>1450</v>
      </c>
      <c r="N62" s="12">
        <v>1030</v>
      </c>
      <c r="O62" s="12">
        <v>1456</v>
      </c>
      <c r="P62" s="13">
        <f t="shared" si="2"/>
        <v>33050</v>
      </c>
    </row>
    <row r="63" spans="1:16" ht="15" customHeight="1" x14ac:dyDescent="0.25">
      <c r="A63" s="7">
        <v>4500</v>
      </c>
      <c r="B63" s="19" t="s">
        <v>548</v>
      </c>
      <c r="C63" s="149"/>
      <c r="D63" s="9">
        <f>SUM(D64:D68)</f>
        <v>1856</v>
      </c>
      <c r="E63" s="9">
        <f t="shared" ref="E63:O63" si="15">SUM(E64:E68)</f>
        <v>1085</v>
      </c>
      <c r="F63" s="9">
        <f t="shared" si="15"/>
        <v>981</v>
      </c>
      <c r="G63" s="9">
        <f t="shared" si="15"/>
        <v>282</v>
      </c>
      <c r="H63" s="9">
        <f t="shared" si="15"/>
        <v>122</v>
      </c>
      <c r="I63" s="9">
        <f t="shared" si="15"/>
        <v>773</v>
      </c>
      <c r="J63" s="9">
        <f t="shared" si="15"/>
        <v>952</v>
      </c>
      <c r="K63" s="9">
        <f t="shared" si="15"/>
        <v>754</v>
      </c>
      <c r="L63" s="9">
        <f t="shared" si="15"/>
        <v>356</v>
      </c>
      <c r="M63" s="9">
        <f t="shared" si="15"/>
        <v>785</v>
      </c>
      <c r="N63" s="9">
        <f t="shared" si="15"/>
        <v>554</v>
      </c>
      <c r="O63" s="9">
        <f t="shared" si="15"/>
        <v>850</v>
      </c>
      <c r="P63" s="9">
        <f t="shared" si="2"/>
        <v>9350</v>
      </c>
    </row>
    <row r="64" spans="1:16" x14ac:dyDescent="0.25">
      <c r="A64" s="10">
        <v>4501</v>
      </c>
      <c r="B64" s="17" t="s">
        <v>435</v>
      </c>
      <c r="C64" s="146">
        <v>11</v>
      </c>
      <c r="D64" s="12">
        <v>1856</v>
      </c>
      <c r="E64" s="12">
        <v>1085</v>
      </c>
      <c r="F64" s="12">
        <v>981</v>
      </c>
      <c r="G64" s="12">
        <v>282</v>
      </c>
      <c r="H64" s="12">
        <v>122</v>
      </c>
      <c r="I64" s="12">
        <v>773</v>
      </c>
      <c r="J64" s="12">
        <v>952</v>
      </c>
      <c r="K64" s="12">
        <v>754</v>
      </c>
      <c r="L64" s="12">
        <v>356</v>
      </c>
      <c r="M64" s="12">
        <v>785</v>
      </c>
      <c r="N64" s="12">
        <v>554</v>
      </c>
      <c r="O64" s="12">
        <v>850</v>
      </c>
      <c r="P64" s="13">
        <f t="shared" si="2"/>
        <v>9350</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c r="E66" s="12"/>
      <c r="F66" s="12"/>
      <c r="G66" s="12"/>
      <c r="H66" s="12"/>
      <c r="I66" s="12"/>
      <c r="J66" s="12"/>
      <c r="K66" s="12"/>
      <c r="L66" s="12"/>
      <c r="M66" s="12"/>
      <c r="N66" s="12"/>
      <c r="O66" s="12"/>
      <c r="P66" s="13">
        <f t="shared" si="2"/>
        <v>0</v>
      </c>
    </row>
    <row r="67" spans="1:16" x14ac:dyDescent="0.25">
      <c r="A67" s="10">
        <v>4504</v>
      </c>
      <c r="B67" s="17" t="s">
        <v>518</v>
      </c>
      <c r="C67" s="146">
        <v>11</v>
      </c>
      <c r="D67" s="12"/>
      <c r="E67" s="12"/>
      <c r="F67" s="12"/>
      <c r="G67" s="12"/>
      <c r="H67" s="12"/>
      <c r="I67" s="12"/>
      <c r="J67" s="12"/>
      <c r="K67" s="12"/>
      <c r="L67" s="12"/>
      <c r="M67" s="12"/>
      <c r="N67" s="12"/>
      <c r="O67" s="12"/>
      <c r="P67" s="13">
        <f t="shared" si="2"/>
        <v>0</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2220</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30756</v>
      </c>
      <c r="E71" s="6">
        <f t="shared" ref="E71:N71" si="17">E72+E75+E76</f>
        <v>11374</v>
      </c>
      <c r="F71" s="6">
        <f t="shared" si="17"/>
        <v>23466</v>
      </c>
      <c r="G71" s="6">
        <f t="shared" si="17"/>
        <v>14486</v>
      </c>
      <c r="H71" s="6">
        <f t="shared" si="17"/>
        <v>11733</v>
      </c>
      <c r="I71" s="6">
        <f t="shared" si="17"/>
        <v>9057</v>
      </c>
      <c r="J71" s="6">
        <f t="shared" si="17"/>
        <v>25926</v>
      </c>
      <c r="K71" s="6">
        <f t="shared" si="17"/>
        <v>13560</v>
      </c>
      <c r="L71" s="6">
        <f t="shared" si="17"/>
        <v>23785</v>
      </c>
      <c r="M71" s="6">
        <f t="shared" si="17"/>
        <v>24590</v>
      </c>
      <c r="N71" s="6">
        <f t="shared" si="17"/>
        <v>23397</v>
      </c>
      <c r="O71" s="6">
        <f>O72+O75+O76</f>
        <v>26460</v>
      </c>
      <c r="P71" s="6">
        <f t="shared" si="2"/>
        <v>238590</v>
      </c>
    </row>
    <row r="72" spans="1:16" ht="15" customHeight="1" x14ac:dyDescent="0.25">
      <c r="A72" s="7">
        <v>5100</v>
      </c>
      <c r="B72" s="19" t="s">
        <v>501</v>
      </c>
      <c r="C72" s="149"/>
      <c r="D72" s="9">
        <f>SUM(D73:D74)</f>
        <v>30756</v>
      </c>
      <c r="E72" s="9">
        <f t="shared" ref="E72:O72" si="18">SUM(E73:E74)</f>
        <v>11374</v>
      </c>
      <c r="F72" s="9">
        <f t="shared" si="18"/>
        <v>23466</v>
      </c>
      <c r="G72" s="9">
        <f t="shared" si="18"/>
        <v>14486</v>
      </c>
      <c r="H72" s="9">
        <f t="shared" si="18"/>
        <v>11733</v>
      </c>
      <c r="I72" s="9">
        <f t="shared" si="18"/>
        <v>9057</v>
      </c>
      <c r="J72" s="9">
        <f t="shared" si="18"/>
        <v>25926</v>
      </c>
      <c r="K72" s="9">
        <f t="shared" si="18"/>
        <v>13560</v>
      </c>
      <c r="L72" s="9">
        <f t="shared" si="18"/>
        <v>23785</v>
      </c>
      <c r="M72" s="9">
        <f t="shared" si="18"/>
        <v>24590</v>
      </c>
      <c r="N72" s="9">
        <f t="shared" si="18"/>
        <v>23397</v>
      </c>
      <c r="O72" s="9">
        <f t="shared" si="18"/>
        <v>26460</v>
      </c>
      <c r="P72" s="9">
        <f t="shared" si="2"/>
        <v>238590</v>
      </c>
    </row>
    <row r="73" spans="1:16" ht="15" customHeight="1" x14ac:dyDescent="0.25">
      <c r="A73" s="10">
        <v>5101</v>
      </c>
      <c r="B73" s="17" t="s">
        <v>549</v>
      </c>
      <c r="C73" s="146">
        <v>11</v>
      </c>
      <c r="D73" s="12"/>
      <c r="E73" s="12"/>
      <c r="F73" s="12"/>
      <c r="G73" s="12"/>
      <c r="H73" s="12"/>
      <c r="I73" s="12"/>
      <c r="J73" s="12"/>
      <c r="K73" s="12"/>
      <c r="L73" s="12"/>
      <c r="M73" s="12"/>
      <c r="N73" s="12"/>
      <c r="O73" s="12"/>
      <c r="P73" s="13">
        <f t="shared" si="2"/>
        <v>0</v>
      </c>
    </row>
    <row r="74" spans="1:16" x14ac:dyDescent="0.25">
      <c r="A74" s="10">
        <v>5102</v>
      </c>
      <c r="B74" s="17" t="s">
        <v>442</v>
      </c>
      <c r="C74" s="146">
        <v>11</v>
      </c>
      <c r="D74" s="12">
        <v>30756</v>
      </c>
      <c r="E74" s="12">
        <v>11374</v>
      </c>
      <c r="F74" s="12">
        <v>23466</v>
      </c>
      <c r="G74" s="12">
        <v>14486</v>
      </c>
      <c r="H74" s="12">
        <v>11733</v>
      </c>
      <c r="I74" s="12">
        <v>9057</v>
      </c>
      <c r="J74" s="12">
        <v>25926</v>
      </c>
      <c r="K74" s="12">
        <v>13560</v>
      </c>
      <c r="L74" s="12">
        <v>23785</v>
      </c>
      <c r="M74" s="12">
        <v>24590</v>
      </c>
      <c r="N74" s="12">
        <v>23397</v>
      </c>
      <c r="O74" s="12">
        <v>26460</v>
      </c>
      <c r="P74" s="13">
        <f t="shared" si="2"/>
        <v>238590</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2221</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3500</v>
      </c>
      <c r="E78" s="6">
        <f t="shared" ref="E78:N78" si="21">E79+E83+E86+E92</f>
        <v>0</v>
      </c>
      <c r="F78" s="6">
        <f t="shared" si="21"/>
        <v>0</v>
      </c>
      <c r="G78" s="6">
        <f t="shared" si="21"/>
        <v>0</v>
      </c>
      <c r="H78" s="6">
        <f t="shared" si="21"/>
        <v>0</v>
      </c>
      <c r="I78" s="6">
        <f t="shared" si="21"/>
        <v>0</v>
      </c>
      <c r="J78" s="6">
        <f t="shared" si="21"/>
        <v>0</v>
      </c>
      <c r="K78" s="6">
        <f t="shared" si="21"/>
        <v>0</v>
      </c>
      <c r="L78" s="6">
        <f t="shared" si="21"/>
        <v>0</v>
      </c>
      <c r="M78" s="6">
        <f t="shared" si="21"/>
        <v>0</v>
      </c>
      <c r="N78" s="6">
        <f t="shared" si="21"/>
        <v>0</v>
      </c>
      <c r="O78" s="6">
        <f>O79+O83+O86+O92</f>
        <v>0</v>
      </c>
      <c r="P78" s="6">
        <f t="shared" si="2"/>
        <v>3500</v>
      </c>
    </row>
    <row r="79" spans="1:16" ht="15" customHeight="1" x14ac:dyDescent="0.25">
      <c r="A79" s="7">
        <v>6100</v>
      </c>
      <c r="B79" s="19" t="s">
        <v>502</v>
      </c>
      <c r="C79" s="149"/>
      <c r="D79" s="9">
        <f>SUM(D80:D82)</f>
        <v>3500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3500</v>
      </c>
    </row>
    <row r="80" spans="1:16" x14ac:dyDescent="0.25">
      <c r="A80" s="10">
        <v>6101</v>
      </c>
      <c r="B80" s="17" t="s">
        <v>551</v>
      </c>
      <c r="C80" s="146">
        <v>11</v>
      </c>
      <c r="D80" s="12">
        <v>3500</v>
      </c>
      <c r="E80" s="12"/>
      <c r="F80" s="12"/>
      <c r="G80" s="12"/>
      <c r="H80" s="12"/>
      <c r="I80" s="12"/>
      <c r="J80" s="12"/>
      <c r="K80" s="12"/>
      <c r="L80" s="12"/>
      <c r="M80" s="12"/>
      <c r="N80" s="12"/>
      <c r="O80" s="12"/>
      <c r="P80" s="13">
        <f t="shared" ref="P80:P146" si="23">SUM(D80:O80)</f>
        <v>3500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2222</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2190</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x14ac:dyDescent="0.25">
      <c r="A99" s="10">
        <v>7301</v>
      </c>
      <c r="B99" s="17" t="s">
        <v>560</v>
      </c>
      <c r="C99" s="110">
        <v>14</v>
      </c>
      <c r="D99" s="12"/>
      <c r="E99" s="12"/>
      <c r="F99" s="12"/>
      <c r="G99" s="12"/>
      <c r="H99" s="12"/>
      <c r="I99" s="12"/>
      <c r="J99" s="12"/>
      <c r="K99" s="12"/>
      <c r="L99" s="12"/>
      <c r="M99" s="12"/>
      <c r="N99" s="12"/>
      <c r="O99" s="12"/>
      <c r="P99" s="13">
        <f t="shared" si="23"/>
        <v>0</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x14ac:dyDescent="0.25">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x14ac:dyDescent="0.25">
      <c r="A108" s="4">
        <v>8000</v>
      </c>
      <c r="B108" s="20" t="s">
        <v>2191</v>
      </c>
      <c r="C108" s="144"/>
      <c r="D108" s="6">
        <f>D109+D122+D125+D132+D138</f>
        <v>5301765</v>
      </c>
      <c r="E108" s="6">
        <f t="shared" ref="E108:O108" si="32">E109+E122+E125+E132+E138</f>
        <v>6008891</v>
      </c>
      <c r="F108" s="6">
        <f t="shared" si="32"/>
        <v>6062491</v>
      </c>
      <c r="G108" s="6">
        <f t="shared" si="32"/>
        <v>5723384</v>
      </c>
      <c r="H108" s="6">
        <f t="shared" si="32"/>
        <v>9185301</v>
      </c>
      <c r="I108" s="6">
        <f t="shared" si="32"/>
        <v>5874271</v>
      </c>
      <c r="J108" s="6">
        <f t="shared" si="32"/>
        <v>7864222</v>
      </c>
      <c r="K108" s="6">
        <f t="shared" si="32"/>
        <v>6200131</v>
      </c>
      <c r="L108" s="6">
        <f t="shared" si="32"/>
        <v>5744282</v>
      </c>
      <c r="M108" s="6">
        <f t="shared" si="32"/>
        <v>5705366</v>
      </c>
      <c r="N108" s="6">
        <f t="shared" si="32"/>
        <v>5097995</v>
      </c>
      <c r="O108" s="6">
        <f t="shared" si="32"/>
        <v>5407770</v>
      </c>
      <c r="P108" s="6">
        <f t="shared" si="23"/>
        <v>74175869</v>
      </c>
    </row>
    <row r="109" spans="1:16" ht="15" customHeight="1" x14ac:dyDescent="0.25">
      <c r="A109" s="7">
        <v>8100</v>
      </c>
      <c r="B109" s="19" t="s">
        <v>568</v>
      </c>
      <c r="C109" s="149"/>
      <c r="D109" s="9">
        <f>SUM(D110:D121)</f>
        <v>4509572</v>
      </c>
      <c r="E109" s="9">
        <f t="shared" ref="E109:O109" si="33">SUM(E110:E121)</f>
        <v>5213274</v>
      </c>
      <c r="F109" s="9">
        <f t="shared" si="33"/>
        <v>5273351</v>
      </c>
      <c r="G109" s="9">
        <f t="shared" si="33"/>
        <v>4936213</v>
      </c>
      <c r="H109" s="9">
        <f t="shared" si="33"/>
        <v>5398764</v>
      </c>
      <c r="I109" s="9">
        <f t="shared" si="33"/>
        <v>5084843</v>
      </c>
      <c r="J109" s="9">
        <f t="shared" si="33"/>
        <v>5083810</v>
      </c>
      <c r="K109" s="9">
        <f t="shared" si="33"/>
        <v>5417331</v>
      </c>
      <c r="L109" s="9">
        <f t="shared" si="33"/>
        <v>4953875</v>
      </c>
      <c r="M109" s="9">
        <f t="shared" si="33"/>
        <v>4918639</v>
      </c>
      <c r="N109" s="9">
        <f t="shared" si="33"/>
        <v>4791388</v>
      </c>
      <c r="O109" s="9">
        <f t="shared" si="33"/>
        <v>5116434</v>
      </c>
      <c r="P109" s="9">
        <f t="shared" si="23"/>
        <v>60697494</v>
      </c>
    </row>
    <row r="110" spans="1:16" x14ac:dyDescent="0.25">
      <c r="A110" s="10">
        <v>8101</v>
      </c>
      <c r="B110" s="17" t="s">
        <v>2192</v>
      </c>
      <c r="C110" s="110">
        <v>15</v>
      </c>
      <c r="D110" s="12">
        <v>2698541</v>
      </c>
      <c r="E110" s="12">
        <v>2577722</v>
      </c>
      <c r="F110" s="12">
        <v>2324283</v>
      </c>
      <c r="G110" s="12">
        <v>2530898</v>
      </c>
      <c r="H110" s="12">
        <v>2438437</v>
      </c>
      <c r="I110" s="12">
        <v>2535051</v>
      </c>
      <c r="J110" s="12">
        <v>2192296</v>
      </c>
      <c r="K110" s="12">
        <v>2450913</v>
      </c>
      <c r="L110" s="12">
        <v>2473707</v>
      </c>
      <c r="M110" s="12">
        <v>2242870</v>
      </c>
      <c r="N110" s="12">
        <v>2412767</v>
      </c>
      <c r="O110" s="12">
        <v>2605465</v>
      </c>
      <c r="P110" s="13">
        <f t="shared" si="23"/>
        <v>29482950</v>
      </c>
    </row>
    <row r="111" spans="1:16" x14ac:dyDescent="0.25">
      <c r="A111" s="10">
        <v>8102</v>
      </c>
      <c r="B111" s="17" t="s">
        <v>2193</v>
      </c>
      <c r="C111" s="110">
        <v>15</v>
      </c>
      <c r="D111" s="12">
        <v>1434838</v>
      </c>
      <c r="E111" s="12">
        <v>2274456</v>
      </c>
      <c r="F111" s="12">
        <v>2524811</v>
      </c>
      <c r="G111" s="12">
        <v>2032988</v>
      </c>
      <c r="H111" s="12">
        <v>2569742</v>
      </c>
      <c r="I111" s="12">
        <v>2184218</v>
      </c>
      <c r="J111" s="12">
        <v>2492926</v>
      </c>
      <c r="K111" s="12">
        <v>2606677</v>
      </c>
      <c r="L111" s="12">
        <v>2078152</v>
      </c>
      <c r="M111" s="12">
        <v>2248872</v>
      </c>
      <c r="N111" s="12">
        <v>1987168</v>
      </c>
      <c r="O111" s="12">
        <v>2117196</v>
      </c>
      <c r="P111" s="13">
        <f t="shared" si="23"/>
        <v>26552044</v>
      </c>
    </row>
    <row r="112" spans="1:16" x14ac:dyDescent="0.25">
      <c r="A112" s="10">
        <v>8103</v>
      </c>
      <c r="B112" s="17" t="s">
        <v>2194</v>
      </c>
      <c r="C112" s="110">
        <v>15</v>
      </c>
      <c r="D112" s="12">
        <v>29351</v>
      </c>
      <c r="E112" s="12">
        <v>15038</v>
      </c>
      <c r="F112" s="12">
        <v>16581</v>
      </c>
      <c r="G112" s="12">
        <v>31788</v>
      </c>
      <c r="H112" s="12">
        <v>25130</v>
      </c>
      <c r="I112" s="12">
        <v>18571</v>
      </c>
      <c r="J112" s="12">
        <v>32892</v>
      </c>
      <c r="K112" s="12">
        <v>19130</v>
      </c>
      <c r="L112" s="12">
        <v>20905</v>
      </c>
      <c r="M112" s="12">
        <v>18631</v>
      </c>
      <c r="N112" s="12">
        <v>20690</v>
      </c>
      <c r="O112" s="12">
        <v>20800</v>
      </c>
      <c r="P112" s="13">
        <f t="shared" si="23"/>
        <v>269507</v>
      </c>
    </row>
    <row r="113" spans="1:16" x14ac:dyDescent="0.25">
      <c r="A113" s="10">
        <v>8104</v>
      </c>
      <c r="B113" s="17" t="s">
        <v>2195</v>
      </c>
      <c r="C113" s="110">
        <v>15</v>
      </c>
      <c r="D113" s="12"/>
      <c r="E113" s="12"/>
      <c r="F113" s="12"/>
      <c r="G113" s="12"/>
      <c r="H113" s="12"/>
      <c r="I113" s="12"/>
      <c r="J113" s="12"/>
      <c r="K113" s="12"/>
      <c r="L113" s="12"/>
      <c r="M113" s="12"/>
      <c r="N113" s="12"/>
      <c r="O113" s="12"/>
      <c r="P113" s="13">
        <f t="shared" si="23"/>
        <v>0</v>
      </c>
    </row>
    <row r="114" spans="1:16" x14ac:dyDescent="0.25">
      <c r="A114" s="10">
        <v>8105</v>
      </c>
      <c r="B114" s="17" t="s">
        <v>2196</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2197</v>
      </c>
      <c r="C115" s="110">
        <v>15</v>
      </c>
      <c r="D115" s="12">
        <v>55177</v>
      </c>
      <c r="E115" s="12">
        <v>50398</v>
      </c>
      <c r="F115" s="12">
        <v>113196</v>
      </c>
      <c r="G115" s="12">
        <v>54150</v>
      </c>
      <c r="H115" s="12">
        <v>55788</v>
      </c>
      <c r="I115" s="12">
        <v>38384</v>
      </c>
      <c r="J115" s="12">
        <v>37259</v>
      </c>
      <c r="K115" s="12">
        <v>39094</v>
      </c>
      <c r="L115" s="12">
        <v>70657</v>
      </c>
      <c r="M115" s="12">
        <v>97664</v>
      </c>
      <c r="N115" s="12">
        <v>61100</v>
      </c>
      <c r="O115" s="12">
        <v>54933</v>
      </c>
      <c r="P115" s="13">
        <f t="shared" si="23"/>
        <v>727800</v>
      </c>
    </row>
    <row r="116" spans="1:16" x14ac:dyDescent="0.25">
      <c r="A116" s="10">
        <v>8107</v>
      </c>
      <c r="B116" s="17" t="s">
        <v>2198</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2199</v>
      </c>
      <c r="C117" s="110">
        <v>15</v>
      </c>
      <c r="D117" s="12"/>
      <c r="E117" s="12"/>
      <c r="F117" s="12"/>
      <c r="G117" s="12"/>
      <c r="H117" s="12"/>
      <c r="I117" s="12"/>
      <c r="J117" s="12"/>
      <c r="K117" s="12"/>
      <c r="L117" s="12"/>
      <c r="M117" s="12"/>
      <c r="N117" s="12"/>
      <c r="O117" s="12"/>
      <c r="P117" s="13">
        <f t="shared" si="23"/>
        <v>0</v>
      </c>
    </row>
    <row r="118" spans="1:16" x14ac:dyDescent="0.25">
      <c r="A118" s="10">
        <v>8109</v>
      </c>
      <c r="B118" s="17" t="s">
        <v>2200</v>
      </c>
      <c r="C118" s="110">
        <v>15</v>
      </c>
      <c r="D118" s="12">
        <v>96350</v>
      </c>
      <c r="E118" s="12">
        <v>95982</v>
      </c>
      <c r="F118" s="12">
        <v>95863</v>
      </c>
      <c r="G118" s="12">
        <v>83231</v>
      </c>
      <c r="H118" s="12">
        <v>106764</v>
      </c>
      <c r="I118" s="12">
        <v>108223</v>
      </c>
      <c r="J118" s="12">
        <v>126956</v>
      </c>
      <c r="K118" s="12">
        <v>97994</v>
      </c>
      <c r="L118" s="12">
        <v>102852</v>
      </c>
      <c r="M118" s="12">
        <v>105235</v>
      </c>
      <c r="N118" s="12">
        <v>100278</v>
      </c>
      <c r="O118" s="12">
        <v>108367</v>
      </c>
      <c r="P118" s="13">
        <f t="shared" si="23"/>
        <v>1228095</v>
      </c>
    </row>
    <row r="119" spans="1:16" x14ac:dyDescent="0.25">
      <c r="A119" s="10">
        <v>8110</v>
      </c>
      <c r="B119" s="17" t="s">
        <v>2201</v>
      </c>
      <c r="C119" s="110">
        <v>15</v>
      </c>
      <c r="D119" s="12">
        <v>193440</v>
      </c>
      <c r="E119" s="12">
        <v>197309</v>
      </c>
      <c r="F119" s="12">
        <v>197309</v>
      </c>
      <c r="G119" s="12">
        <v>201178</v>
      </c>
      <c r="H119" s="12">
        <v>200210</v>
      </c>
      <c r="I119" s="12">
        <v>198276</v>
      </c>
      <c r="J119" s="12">
        <v>198856</v>
      </c>
      <c r="K119" s="12">
        <v>201565</v>
      </c>
      <c r="L119" s="12">
        <v>205433</v>
      </c>
      <c r="M119" s="12">
        <v>203112</v>
      </c>
      <c r="N119" s="12">
        <v>206981</v>
      </c>
      <c r="O119" s="12">
        <v>207175</v>
      </c>
      <c r="P119" s="13">
        <f t="shared" si="23"/>
        <v>2410844</v>
      </c>
    </row>
    <row r="120" spans="1:16" ht="30" x14ac:dyDescent="0.25">
      <c r="A120" s="10">
        <v>8111</v>
      </c>
      <c r="B120" s="17" t="s">
        <v>2202</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v>1875</v>
      </c>
      <c r="E121" s="12">
        <v>2369</v>
      </c>
      <c r="F121" s="12">
        <v>1308</v>
      </c>
      <c r="G121" s="12">
        <v>1980</v>
      </c>
      <c r="H121" s="12">
        <v>2693</v>
      </c>
      <c r="I121" s="12">
        <v>2120</v>
      </c>
      <c r="J121" s="12">
        <v>2625</v>
      </c>
      <c r="K121" s="12">
        <v>1958</v>
      </c>
      <c r="L121" s="12">
        <v>2169</v>
      </c>
      <c r="M121" s="12">
        <v>2255</v>
      </c>
      <c r="N121" s="12">
        <v>2404</v>
      </c>
      <c r="O121" s="12">
        <v>2498</v>
      </c>
      <c r="P121" s="13">
        <f t="shared" si="23"/>
        <v>26254</v>
      </c>
    </row>
    <row r="122" spans="1:16" ht="15" customHeight="1" x14ac:dyDescent="0.25">
      <c r="A122" s="7">
        <v>8200</v>
      </c>
      <c r="B122" s="19" t="s">
        <v>581</v>
      </c>
      <c r="C122" s="149"/>
      <c r="D122" s="9">
        <f>SUM(D123:D124)</f>
        <v>711098</v>
      </c>
      <c r="E122" s="9">
        <f t="shared" ref="E122:O122" si="34">SUM(E123:E124)</f>
        <v>711098</v>
      </c>
      <c r="F122" s="9">
        <f t="shared" si="34"/>
        <v>711098</v>
      </c>
      <c r="G122" s="9">
        <f t="shared" si="34"/>
        <v>711098</v>
      </c>
      <c r="H122" s="9">
        <f t="shared" si="34"/>
        <v>711098</v>
      </c>
      <c r="I122" s="9">
        <f t="shared" si="34"/>
        <v>711097</v>
      </c>
      <c r="J122" s="9">
        <f t="shared" si="34"/>
        <v>711098</v>
      </c>
      <c r="K122" s="9">
        <f t="shared" si="34"/>
        <v>711099</v>
      </c>
      <c r="L122" s="9">
        <f t="shared" si="34"/>
        <v>711097</v>
      </c>
      <c r="M122" s="9">
        <f t="shared" si="34"/>
        <v>711099</v>
      </c>
      <c r="N122" s="9">
        <f t="shared" si="34"/>
        <v>230700</v>
      </c>
      <c r="O122" s="9">
        <f t="shared" si="34"/>
        <v>231030</v>
      </c>
      <c r="P122" s="9">
        <f t="shared" si="23"/>
        <v>7572710</v>
      </c>
    </row>
    <row r="123" spans="1:16" x14ac:dyDescent="0.25">
      <c r="A123" s="10">
        <v>8201</v>
      </c>
      <c r="B123" s="17" t="s">
        <v>582</v>
      </c>
      <c r="C123" s="110">
        <v>25</v>
      </c>
      <c r="D123" s="12">
        <v>480398</v>
      </c>
      <c r="E123" s="12">
        <v>480398</v>
      </c>
      <c r="F123" s="12">
        <v>480398</v>
      </c>
      <c r="G123" s="12">
        <v>480398</v>
      </c>
      <c r="H123" s="12">
        <v>480397</v>
      </c>
      <c r="I123" s="12">
        <v>480397</v>
      </c>
      <c r="J123" s="12">
        <v>480398</v>
      </c>
      <c r="K123" s="12">
        <v>480398</v>
      </c>
      <c r="L123" s="12">
        <v>480397</v>
      </c>
      <c r="M123" s="12">
        <v>480398</v>
      </c>
      <c r="N123" s="12"/>
      <c r="O123" s="12"/>
      <c r="P123" s="13">
        <f t="shared" si="23"/>
        <v>4803977</v>
      </c>
    </row>
    <row r="124" spans="1:16" x14ac:dyDescent="0.25">
      <c r="A124" s="10">
        <v>8202</v>
      </c>
      <c r="B124" s="17" t="s">
        <v>583</v>
      </c>
      <c r="C124" s="110">
        <v>25</v>
      </c>
      <c r="D124" s="12">
        <v>230700</v>
      </c>
      <c r="E124" s="12">
        <v>230700</v>
      </c>
      <c r="F124" s="12">
        <v>230700</v>
      </c>
      <c r="G124" s="12">
        <v>230700</v>
      </c>
      <c r="H124" s="12">
        <v>230701</v>
      </c>
      <c r="I124" s="12">
        <v>230700</v>
      </c>
      <c r="J124" s="12">
        <v>230700</v>
      </c>
      <c r="K124" s="12">
        <v>230701</v>
      </c>
      <c r="L124" s="12">
        <v>230700</v>
      </c>
      <c r="M124" s="12">
        <v>230701</v>
      </c>
      <c r="N124" s="12">
        <v>230700</v>
      </c>
      <c r="O124" s="12">
        <v>231030</v>
      </c>
      <c r="P124" s="13">
        <f t="shared" si="23"/>
        <v>2768733</v>
      </c>
    </row>
    <row r="125" spans="1:16" ht="15" customHeight="1" x14ac:dyDescent="0.25">
      <c r="A125" s="7">
        <v>8300</v>
      </c>
      <c r="B125" s="19" t="s">
        <v>584</v>
      </c>
      <c r="C125" s="149"/>
      <c r="D125" s="9">
        <f>SUM(D126:D131)</f>
        <v>0</v>
      </c>
      <c r="E125" s="9">
        <f t="shared" ref="E125:N125" si="35">SUM(E126:E131)</f>
        <v>0</v>
      </c>
      <c r="F125" s="9">
        <f t="shared" si="35"/>
        <v>0</v>
      </c>
      <c r="G125" s="9">
        <f t="shared" si="35"/>
        <v>0</v>
      </c>
      <c r="H125" s="9">
        <f t="shared" si="35"/>
        <v>3000000</v>
      </c>
      <c r="I125" s="9">
        <f t="shared" si="35"/>
        <v>0</v>
      </c>
      <c r="J125" s="9">
        <f t="shared" si="35"/>
        <v>2000000</v>
      </c>
      <c r="K125" s="9">
        <f t="shared" si="35"/>
        <v>0</v>
      </c>
      <c r="L125" s="9">
        <f t="shared" si="35"/>
        <v>0</v>
      </c>
      <c r="M125" s="9">
        <f t="shared" si="35"/>
        <v>0</v>
      </c>
      <c r="N125" s="9">
        <f t="shared" si="35"/>
        <v>0</v>
      </c>
      <c r="O125" s="9">
        <f>SUM(O126:O131)</f>
        <v>0</v>
      </c>
      <c r="P125" s="9">
        <f>SUM(D125:O125)</f>
        <v>5000000</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c r="E131" s="12"/>
      <c r="F131" s="12"/>
      <c r="G131" s="12"/>
      <c r="H131" s="12">
        <v>3000000</v>
      </c>
      <c r="I131" s="12"/>
      <c r="J131" s="12">
        <v>2000000</v>
      </c>
      <c r="K131" s="12"/>
      <c r="L131" s="12"/>
      <c r="M131" s="12"/>
      <c r="N131" s="12"/>
      <c r="O131" s="12"/>
      <c r="P131" s="13">
        <f>SUM(D131:O131)</f>
        <v>5000000</v>
      </c>
    </row>
    <row r="132" spans="1:16" ht="15" customHeight="1" x14ac:dyDescent="0.25">
      <c r="A132" s="7">
        <v>8400</v>
      </c>
      <c r="B132" s="19" t="s">
        <v>444</v>
      </c>
      <c r="C132" s="149"/>
      <c r="D132" s="9">
        <f>SUM(D133:D137)</f>
        <v>81095</v>
      </c>
      <c r="E132" s="9">
        <f t="shared" ref="E132:O132" si="36">SUM(E133:E137)</f>
        <v>84519</v>
      </c>
      <c r="F132" s="9">
        <f t="shared" si="36"/>
        <v>78042</v>
      </c>
      <c r="G132" s="9">
        <f t="shared" si="36"/>
        <v>76073</v>
      </c>
      <c r="H132" s="9">
        <f t="shared" si="36"/>
        <v>75439</v>
      </c>
      <c r="I132" s="9">
        <f t="shared" si="36"/>
        <v>78331</v>
      </c>
      <c r="J132" s="9">
        <f t="shared" si="36"/>
        <v>69314</v>
      </c>
      <c r="K132" s="9">
        <f t="shared" si="36"/>
        <v>71701</v>
      </c>
      <c r="L132" s="9">
        <f t="shared" si="36"/>
        <v>79310</v>
      </c>
      <c r="M132" s="9">
        <f t="shared" si="36"/>
        <v>75628</v>
      </c>
      <c r="N132" s="9">
        <f t="shared" si="36"/>
        <v>75907</v>
      </c>
      <c r="O132" s="9">
        <f t="shared" si="36"/>
        <v>60306</v>
      </c>
      <c r="P132" s="9">
        <f t="shared" si="23"/>
        <v>905665</v>
      </c>
    </row>
    <row r="133" spans="1:16" x14ac:dyDescent="0.25">
      <c r="A133" s="10">
        <v>8401</v>
      </c>
      <c r="B133" s="21" t="s">
        <v>588</v>
      </c>
      <c r="C133" s="110">
        <v>15</v>
      </c>
      <c r="D133" s="12">
        <v>2</v>
      </c>
      <c r="E133" s="12">
        <v>1</v>
      </c>
      <c r="F133" s="12"/>
      <c r="G133" s="12">
        <v>2</v>
      </c>
      <c r="H133" s="12"/>
      <c r="I133" s="12"/>
      <c r="J133" s="12"/>
      <c r="K133" s="12"/>
      <c r="L133" s="12">
        <v>3</v>
      </c>
      <c r="M133" s="12"/>
      <c r="N133" s="12">
        <v>2</v>
      </c>
      <c r="O133" s="12">
        <v>1</v>
      </c>
      <c r="P133" s="13">
        <f t="shared" si="23"/>
        <v>11</v>
      </c>
    </row>
    <row r="134" spans="1:16" x14ac:dyDescent="0.25">
      <c r="A134" s="10">
        <v>8402</v>
      </c>
      <c r="B134" s="21" t="s">
        <v>589</v>
      </c>
      <c r="C134" s="110">
        <v>15</v>
      </c>
      <c r="D134" s="12">
        <v>9578</v>
      </c>
      <c r="E134" s="12">
        <v>9578</v>
      </c>
      <c r="F134" s="12">
        <v>9578</v>
      </c>
      <c r="G134" s="12">
        <v>9578</v>
      </c>
      <c r="H134" s="12">
        <v>9578</v>
      </c>
      <c r="I134" s="12">
        <v>9578</v>
      </c>
      <c r="J134" s="12">
        <v>9578</v>
      </c>
      <c r="K134" s="12">
        <v>9578</v>
      </c>
      <c r="L134" s="12">
        <v>9578</v>
      </c>
      <c r="M134" s="12">
        <v>9578</v>
      </c>
      <c r="N134" s="12">
        <v>9578</v>
      </c>
      <c r="O134" s="12">
        <v>9578</v>
      </c>
      <c r="P134" s="13">
        <f t="shared" si="23"/>
        <v>114936</v>
      </c>
    </row>
    <row r="135" spans="1:16" x14ac:dyDescent="0.25">
      <c r="A135" s="10">
        <v>8403</v>
      </c>
      <c r="B135" s="21" t="s">
        <v>590</v>
      </c>
      <c r="C135" s="110">
        <v>15</v>
      </c>
      <c r="D135" s="12">
        <v>71515</v>
      </c>
      <c r="E135" s="12">
        <v>74940</v>
      </c>
      <c r="F135" s="12">
        <v>68464</v>
      </c>
      <c r="G135" s="12">
        <v>66493</v>
      </c>
      <c r="H135" s="12">
        <v>65861</v>
      </c>
      <c r="I135" s="12">
        <v>68753</v>
      </c>
      <c r="J135" s="12">
        <v>59736</v>
      </c>
      <c r="K135" s="12">
        <v>62123</v>
      </c>
      <c r="L135" s="12">
        <v>69729</v>
      </c>
      <c r="M135" s="12">
        <v>66050</v>
      </c>
      <c r="N135" s="12">
        <v>66327</v>
      </c>
      <c r="O135" s="12">
        <v>50727</v>
      </c>
      <c r="P135" s="13">
        <f t="shared" si="23"/>
        <v>790718</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2203</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x14ac:dyDescent="0.25">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x14ac:dyDescent="0.25">
      <c r="A143" s="10">
        <v>9101</v>
      </c>
      <c r="B143" s="17" t="s">
        <v>614</v>
      </c>
      <c r="C143" s="110">
        <v>17</v>
      </c>
      <c r="D143" s="12"/>
      <c r="E143" s="12"/>
      <c r="F143" s="12"/>
      <c r="G143" s="12"/>
      <c r="H143" s="12"/>
      <c r="I143" s="12"/>
      <c r="J143" s="12"/>
      <c r="K143" s="12"/>
      <c r="L143" s="12"/>
      <c r="M143" s="12"/>
      <c r="N143" s="12"/>
      <c r="O143" s="12"/>
      <c r="P143" s="13">
        <f>SUM(D143:O143)</f>
        <v>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2204</v>
      </c>
      <c r="B162" s="529"/>
      <c r="C162" s="145"/>
      <c r="D162" s="26">
        <f>D7+D28+D34+D39+D71+D78+D94+D108+D141+D157</f>
        <v>6847601</v>
      </c>
      <c r="E162" s="26">
        <f t="shared" ref="E162:N162" si="46">E7+E28+E34+E39+E71+E78+E94+E108+E141+E157</f>
        <v>6658516</v>
      </c>
      <c r="F162" s="26">
        <f t="shared" si="46"/>
        <v>6533275</v>
      </c>
      <c r="G162" s="26">
        <f t="shared" si="46"/>
        <v>6002347</v>
      </c>
      <c r="H162" s="26">
        <f t="shared" si="46"/>
        <v>9459465</v>
      </c>
      <c r="I162" s="26">
        <f t="shared" si="46"/>
        <v>6083333</v>
      </c>
      <c r="J162" s="26">
        <f t="shared" si="46"/>
        <v>8143489</v>
      </c>
      <c r="K162" s="26">
        <f t="shared" si="46"/>
        <v>6544796</v>
      </c>
      <c r="L162" s="26">
        <f t="shared" si="46"/>
        <v>5938026</v>
      </c>
      <c r="M162" s="26">
        <f t="shared" si="46"/>
        <v>5931116</v>
      </c>
      <c r="N162" s="26">
        <f t="shared" si="46"/>
        <v>5355327</v>
      </c>
      <c r="O162" s="26">
        <f>O7+O28+O34+O39+O71+O78+O94+O108+O141+O157</f>
        <v>5614112</v>
      </c>
      <c r="P162" s="26">
        <f>SUM(D162:O162)</f>
        <v>79111403</v>
      </c>
    </row>
    <row r="163" spans="1:17" ht="15.75" x14ac:dyDescent="0.25">
      <c r="A163" s="530" t="s">
        <v>2205</v>
      </c>
      <c r="B163" s="531"/>
      <c r="C163" s="146">
        <v>11</v>
      </c>
      <c r="D163" s="165"/>
      <c r="E163" s="166"/>
      <c r="F163" s="166"/>
      <c r="G163" s="166"/>
      <c r="H163" s="166"/>
      <c r="I163" s="166"/>
      <c r="J163" s="166"/>
      <c r="K163" s="166"/>
      <c r="L163" s="166"/>
      <c r="M163" s="166"/>
      <c r="N163" s="166"/>
      <c r="O163" s="167"/>
      <c r="P163" s="12"/>
    </row>
    <row r="164" spans="1:17" ht="15.75" x14ac:dyDescent="0.25">
      <c r="A164" s="530" t="s">
        <v>2206</v>
      </c>
      <c r="B164" s="531"/>
      <c r="C164" s="110">
        <v>12</v>
      </c>
      <c r="D164" s="168"/>
      <c r="E164" s="169"/>
      <c r="F164" s="169"/>
      <c r="G164" s="169"/>
      <c r="H164" s="169"/>
      <c r="I164" s="169"/>
      <c r="J164" s="169"/>
      <c r="K164" s="169"/>
      <c r="L164" s="169"/>
      <c r="M164" s="169"/>
      <c r="N164" s="169"/>
      <c r="O164" s="170"/>
      <c r="P164" s="12"/>
    </row>
    <row r="165" spans="1:17" ht="15.75" x14ac:dyDescent="0.25">
      <c r="A165" s="530" t="s">
        <v>2207</v>
      </c>
      <c r="B165" s="531"/>
      <c r="C165" s="110">
        <v>14</v>
      </c>
      <c r="D165" s="168"/>
      <c r="E165" s="169"/>
      <c r="F165" s="169"/>
      <c r="G165" s="169"/>
      <c r="H165" s="169"/>
      <c r="I165" s="169"/>
      <c r="J165" s="169"/>
      <c r="K165" s="169"/>
      <c r="L165" s="169"/>
      <c r="M165" s="169"/>
      <c r="N165" s="169"/>
      <c r="O165" s="170"/>
      <c r="P165" s="12"/>
    </row>
    <row r="166" spans="1:17" ht="15.75" x14ac:dyDescent="0.25">
      <c r="A166" s="530" t="s">
        <v>2208</v>
      </c>
      <c r="B166" s="531"/>
      <c r="C166" s="110">
        <v>15</v>
      </c>
      <c r="D166" s="168"/>
      <c r="E166" s="169"/>
      <c r="F166" s="169"/>
      <c r="G166" s="169"/>
      <c r="H166" s="169"/>
      <c r="I166" s="169"/>
      <c r="J166" s="169"/>
      <c r="K166" s="169"/>
      <c r="L166" s="169"/>
      <c r="M166" s="169"/>
      <c r="N166" s="169"/>
      <c r="O166" s="170"/>
      <c r="P166" s="12"/>
    </row>
    <row r="167" spans="1:17" ht="15.75" x14ac:dyDescent="0.25">
      <c r="A167" s="530" t="s">
        <v>2169</v>
      </c>
      <c r="B167" s="531"/>
      <c r="C167" s="110">
        <v>16</v>
      </c>
      <c r="D167" s="168"/>
      <c r="E167" s="169"/>
      <c r="F167" s="169"/>
      <c r="G167" s="169"/>
      <c r="H167" s="169"/>
      <c r="I167" s="169"/>
      <c r="J167" s="169"/>
      <c r="K167" s="169"/>
      <c r="L167" s="169"/>
      <c r="M167" s="169"/>
      <c r="N167" s="169"/>
      <c r="O167" s="170"/>
      <c r="P167" s="12"/>
    </row>
    <row r="168" spans="1:17" ht="15.75" x14ac:dyDescent="0.25">
      <c r="A168" s="530" t="s">
        <v>2209</v>
      </c>
      <c r="B168" s="531"/>
      <c r="C168" s="110">
        <v>17</v>
      </c>
      <c r="D168" s="168"/>
      <c r="E168" s="169"/>
      <c r="F168" s="169"/>
      <c r="G168" s="169"/>
      <c r="H168" s="169"/>
      <c r="I168" s="169"/>
      <c r="J168" s="169"/>
      <c r="K168" s="169"/>
      <c r="L168" s="169"/>
      <c r="M168" s="169"/>
      <c r="N168" s="169"/>
      <c r="O168" s="170"/>
      <c r="P168" s="12"/>
    </row>
    <row r="169" spans="1:17" ht="15.75" x14ac:dyDescent="0.25">
      <c r="A169" s="530" t="s">
        <v>2210</v>
      </c>
      <c r="B169" s="531"/>
      <c r="C169" s="110">
        <v>25</v>
      </c>
      <c r="D169" s="168"/>
      <c r="E169" s="169"/>
      <c r="F169" s="169"/>
      <c r="G169" s="169"/>
      <c r="H169" s="169"/>
      <c r="I169" s="169"/>
      <c r="J169" s="169"/>
      <c r="K169" s="169"/>
      <c r="L169" s="169"/>
      <c r="M169" s="169"/>
      <c r="N169" s="169"/>
      <c r="O169" s="170"/>
      <c r="P169" s="12"/>
    </row>
    <row r="170" spans="1:17" ht="15.75" x14ac:dyDescent="0.25">
      <c r="A170" s="530" t="s">
        <v>2169</v>
      </c>
      <c r="B170" s="531"/>
      <c r="C170" s="110">
        <v>26</v>
      </c>
      <c r="D170" s="168"/>
      <c r="E170" s="169"/>
      <c r="F170" s="169"/>
      <c r="G170" s="169"/>
      <c r="H170" s="169"/>
      <c r="I170" s="169"/>
      <c r="J170" s="169"/>
      <c r="K170" s="169"/>
      <c r="L170" s="169"/>
      <c r="M170" s="169"/>
      <c r="N170" s="169"/>
      <c r="O170" s="170"/>
      <c r="P170" s="12"/>
    </row>
    <row r="171" spans="1:17" ht="15.75" x14ac:dyDescent="0.25">
      <c r="A171" s="530" t="s">
        <v>2211</v>
      </c>
      <c r="B171" s="531"/>
      <c r="C171" s="110">
        <v>27</v>
      </c>
      <c r="D171" s="171"/>
      <c r="E171" s="172"/>
      <c r="F171" s="172"/>
      <c r="G171" s="172"/>
      <c r="H171" s="172"/>
      <c r="I171" s="172"/>
      <c r="J171" s="172"/>
      <c r="K171" s="172"/>
      <c r="L171" s="172"/>
      <c r="M171" s="172"/>
      <c r="N171" s="172"/>
      <c r="O171" s="173"/>
      <c r="P171" s="12"/>
    </row>
    <row r="172" spans="1:17" ht="15.75" x14ac:dyDescent="0.25">
      <c r="A172" s="532" t="s">
        <v>2212</v>
      </c>
      <c r="B172" s="529"/>
      <c r="C172" s="145"/>
      <c r="D172" s="26"/>
      <c r="E172" s="26"/>
      <c r="F172" s="26"/>
      <c r="G172" s="26"/>
      <c r="H172" s="26"/>
      <c r="I172" s="26"/>
      <c r="J172" s="26"/>
      <c r="K172" s="26"/>
      <c r="L172" s="26"/>
      <c r="M172" s="26"/>
      <c r="N172" s="26"/>
      <c r="O172" s="26"/>
      <c r="P172" s="26">
        <f>P162+SUM(P163:P171)</f>
        <v>79111403</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scale="40" fitToHeight="0" orientation="landscape" horizontalDpi="4294967293" verticalDpi="360"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pageSetUpPr fitToPage="1"/>
  </sheetPr>
  <dimension ref="A1:AC207"/>
  <sheetViews>
    <sheetView showGridLines="0" zoomScaleNormal="100" workbookViewId="0">
      <pane xSplit="1" ySplit="7" topLeftCell="K8" activePane="bottomRight" state="frozen"/>
      <selection pane="topRight" activeCell="B1" sqref="B1"/>
      <selection pane="bottomLeft" activeCell="A3" sqref="A3"/>
      <selection pane="bottomRight" activeCell="P22" sqref="P22"/>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2527</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San Cristóbal de la Barranca,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2025</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9" t="s">
        <v>2232</v>
      </c>
      <c r="Q6" s="249" t="s">
        <v>2233</v>
      </c>
      <c r="R6" s="249" t="s">
        <v>2234</v>
      </c>
      <c r="S6" s="249" t="s">
        <v>2235</v>
      </c>
      <c r="T6" s="249" t="s">
        <v>2236</v>
      </c>
      <c r="U6" s="249" t="s">
        <v>2237</v>
      </c>
      <c r="V6" s="249" t="s">
        <v>2238</v>
      </c>
      <c r="W6" s="249" t="s">
        <v>2239</v>
      </c>
      <c r="X6" s="250" t="s">
        <v>2240</v>
      </c>
      <c r="Y6" s="240">
        <f>SUM(Y8:Y207)</f>
        <v>1</v>
      </c>
      <c r="Z6" s="240">
        <f>SUM(Z8:Z207)</f>
        <v>1</v>
      </c>
      <c r="AA6" s="240">
        <f>SUM(AA8:AA207)</f>
        <v>2</v>
      </c>
      <c r="AB6" s="240">
        <f>SUM(AB8:AB207)</f>
        <v>2</v>
      </c>
    </row>
    <row r="7" spans="1:29" x14ac:dyDescent="0.25">
      <c r="A7" s="536"/>
      <c r="B7" s="534"/>
      <c r="C7" s="534"/>
      <c r="D7" s="534"/>
      <c r="E7" s="534"/>
      <c r="F7" s="534"/>
      <c r="G7" s="534"/>
      <c r="H7" s="534"/>
      <c r="I7" s="534"/>
      <c r="J7" s="534"/>
      <c r="K7" s="534"/>
      <c r="L7" s="534"/>
      <c r="M7" s="534"/>
      <c r="N7" s="534"/>
      <c r="O7" s="534"/>
      <c r="P7" s="251">
        <f>SUM(P8:P207)</f>
        <v>30899099</v>
      </c>
      <c r="Q7" s="251">
        <f t="shared" ref="Q7:X7" si="0">SUM(Q8:Q207)</f>
        <v>15956061</v>
      </c>
      <c r="R7" s="251">
        <f t="shared" si="0"/>
        <v>12671520</v>
      </c>
      <c r="S7" s="251">
        <f t="shared" si="0"/>
        <v>4796833</v>
      </c>
      <c r="T7" s="251">
        <f t="shared" si="0"/>
        <v>1634263</v>
      </c>
      <c r="U7" s="251">
        <f t="shared" si="0"/>
        <v>13153627</v>
      </c>
      <c r="V7" s="251">
        <f t="shared" si="0"/>
        <v>0</v>
      </c>
      <c r="W7" s="251">
        <f t="shared" si="0"/>
        <v>0</v>
      </c>
      <c r="X7" s="252">
        <f t="shared" si="0"/>
        <v>0</v>
      </c>
      <c r="Y7" s="183" t="s">
        <v>1709</v>
      </c>
      <c r="Z7" s="183" t="s">
        <v>2135</v>
      </c>
      <c r="AA7" s="183" t="s">
        <v>1711</v>
      </c>
      <c r="AB7" s="183" t="s">
        <v>1712</v>
      </c>
    </row>
    <row r="8" spans="1:29" x14ac:dyDescent="0.25">
      <c r="A8" s="242">
        <f>IF(B8&gt;0,1,"")</f>
        <v>1</v>
      </c>
      <c r="B8" s="243" t="s">
        <v>2622</v>
      </c>
      <c r="C8" s="244" t="str">
        <f>IF(G8&gt;0,IF(G8="INDICADOR DE GESTIÓN","INDICADOR DE GESTIÓN","MIR"),"")</f>
        <v>INDICADOR DE GESTIÓN</v>
      </c>
      <c r="D8" s="244" t="str">
        <f>IF(F8="","",INDEX(B!$I$2:$I$112,MATCH(F8,B!$K$2:$K$112,0)))</f>
        <v>1. Gobierno</v>
      </c>
      <c r="E8" s="244" t="str">
        <f>IF(F8="","",INDEX(B!$J$2:$J$112,MATCH(F8,B!$K$2:$K$112,0)))</f>
        <v>1.1. Legislación</v>
      </c>
      <c r="F8" s="243" t="s">
        <v>1555</v>
      </c>
      <c r="G8" s="243" t="s">
        <v>1713</v>
      </c>
      <c r="H8" s="245"/>
      <c r="I8" s="243" t="s">
        <v>2628</v>
      </c>
      <c r="J8" s="243" t="s">
        <v>2629</v>
      </c>
      <c r="K8" s="243" t="s">
        <v>2630</v>
      </c>
      <c r="L8" s="243">
        <v>3</v>
      </c>
      <c r="M8" s="243">
        <v>3</v>
      </c>
      <c r="N8" s="243" t="s">
        <v>1717</v>
      </c>
      <c r="O8" s="243" t="s">
        <v>1725</v>
      </c>
      <c r="P8" s="246">
        <v>6306319</v>
      </c>
      <c r="Q8" s="246"/>
      <c r="R8" s="246">
        <v>675427</v>
      </c>
      <c r="S8" s="246"/>
      <c r="T8" s="246"/>
      <c r="U8" s="246"/>
      <c r="V8" s="246"/>
      <c r="W8" s="246"/>
      <c r="X8" s="246"/>
      <c r="Y8" s="183">
        <f>IF(G8="FIN",1,0)</f>
        <v>0</v>
      </c>
      <c r="Z8" s="183">
        <f>IF(G8="PROPÓSITO",1,0)</f>
        <v>0</v>
      </c>
      <c r="AA8" s="183">
        <f>IF(G8="COMPONENTE",1,0)</f>
        <v>0</v>
      </c>
      <c r="AB8" s="183">
        <f>IF(G8="ACTIVIDAD",1,0)</f>
        <v>0</v>
      </c>
      <c r="AC8" s="241">
        <f>SUM(P8:X8)</f>
        <v>6981746</v>
      </c>
    </row>
    <row r="9" spans="1:29" x14ac:dyDescent="0.25">
      <c r="A9" s="181">
        <f>IF(B9&gt;0,A8+1,"")</f>
        <v>2</v>
      </c>
      <c r="B9" s="179" t="s">
        <v>2623</v>
      </c>
      <c r="C9" s="182" t="str">
        <f t="shared" ref="C9:C72" si="1">IF(G9&gt;0,IF(G9="INDICADOR DE GESTIÓN","INDICADOR DE GESTIÓN","MIR"),"")</f>
        <v>INDICADOR DE GESTIÓN</v>
      </c>
      <c r="D9" s="182" t="str">
        <f>IF(F9="","",INDEX(B!$I$2:$I$112,MATCH(F9,B!$K$2:$K$112,0)))</f>
        <v>2. Desarrollo social</v>
      </c>
      <c r="E9" s="182" t="str">
        <f>IF(F9="","",INDEX(B!$J$2:$J$112,MATCH(F9,B!$K$2:$K$112,0)))</f>
        <v>2.2. Vivienda y servicios a la comunidad</v>
      </c>
      <c r="F9" s="179" t="s">
        <v>1563</v>
      </c>
      <c r="G9" s="179" t="s">
        <v>1713</v>
      </c>
      <c r="H9" s="184"/>
      <c r="I9" s="179" t="s">
        <v>2631</v>
      </c>
      <c r="J9" s="179" t="s">
        <v>2632</v>
      </c>
      <c r="K9" s="179" t="s">
        <v>2633</v>
      </c>
      <c r="L9" s="179">
        <v>17</v>
      </c>
      <c r="M9" s="179">
        <v>17</v>
      </c>
      <c r="N9" s="179" t="s">
        <v>1717</v>
      </c>
      <c r="O9" s="179" t="s">
        <v>1725</v>
      </c>
      <c r="P9" s="185">
        <v>5776311</v>
      </c>
      <c r="Q9" s="185">
        <v>5798525</v>
      </c>
      <c r="R9" s="185">
        <v>310118</v>
      </c>
      <c r="S9" s="185"/>
      <c r="T9" s="185">
        <v>685000</v>
      </c>
      <c r="U9" s="185">
        <v>10153627</v>
      </c>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22723581</v>
      </c>
    </row>
    <row r="10" spans="1:29" x14ac:dyDescent="0.25">
      <c r="A10" s="181">
        <f t="shared" ref="A10:A73" si="7">IF(B10&gt;0,A9+1,"")</f>
        <v>3</v>
      </c>
      <c r="B10" s="179" t="s">
        <v>2624</v>
      </c>
      <c r="C10" s="182" t="str">
        <f t="shared" si="1"/>
        <v>INDICADOR DE GESTIÓN</v>
      </c>
      <c r="D10" s="182" t="str">
        <f>IF(F10="","",INDEX(B!$I$2:$I$112,MATCH(F10,B!$K$2:$K$112,0)))</f>
        <v>2. Desarrollo social</v>
      </c>
      <c r="E10" s="182" t="str">
        <f>IF(F10="","",INDEX(B!$J$2:$J$112,MATCH(F10,B!$K$2:$K$112,0)))</f>
        <v>2.2. Vivienda y servicios a la comunidad</v>
      </c>
      <c r="F10" s="179" t="s">
        <v>1621</v>
      </c>
      <c r="G10" s="179" t="s">
        <v>1713</v>
      </c>
      <c r="H10" s="184"/>
      <c r="I10" s="179" t="s">
        <v>2634</v>
      </c>
      <c r="J10" s="179" t="s">
        <v>2635</v>
      </c>
      <c r="K10" s="179" t="s">
        <v>2636</v>
      </c>
      <c r="L10" s="179">
        <v>3</v>
      </c>
      <c r="M10" s="179">
        <v>3</v>
      </c>
      <c r="N10" s="179" t="s">
        <v>1717</v>
      </c>
      <c r="O10" s="179" t="s">
        <v>1725</v>
      </c>
      <c r="P10" s="185"/>
      <c r="Q10" s="185"/>
      <c r="R10" s="185"/>
      <c r="S10" s="185"/>
      <c r="T10" s="185"/>
      <c r="U10" s="185">
        <v>1000000</v>
      </c>
      <c r="V10" s="185"/>
      <c r="W10" s="185"/>
      <c r="X10" s="185"/>
      <c r="Y10" s="183">
        <f t="shared" si="2"/>
        <v>0</v>
      </c>
      <c r="Z10" s="183">
        <f t="shared" si="3"/>
        <v>0</v>
      </c>
      <c r="AA10" s="183">
        <f t="shared" si="4"/>
        <v>0</v>
      </c>
      <c r="AB10" s="183">
        <f t="shared" si="5"/>
        <v>0</v>
      </c>
      <c r="AC10" s="241">
        <f t="shared" si="6"/>
        <v>1000000</v>
      </c>
    </row>
    <row r="11" spans="1:29" x14ac:dyDescent="0.25">
      <c r="A11" s="181">
        <f t="shared" si="7"/>
        <v>4</v>
      </c>
      <c r="B11" s="179" t="s">
        <v>2625</v>
      </c>
      <c r="C11" s="182" t="str">
        <f t="shared" si="1"/>
        <v>INDICADOR DE GESTIÓN</v>
      </c>
      <c r="D11" s="182" t="str">
        <f>IF(F11="","",INDEX(B!$I$2:$I$112,MATCH(F11,B!$K$2:$K$112,0)))</f>
        <v>2. Desarrollo social</v>
      </c>
      <c r="E11" s="182" t="str">
        <f>IF(F11="","",INDEX(B!$J$2:$J$112,MATCH(F11,B!$K$2:$K$112,0)))</f>
        <v>2.2. Vivienda y servicios a la comunidad</v>
      </c>
      <c r="F11" s="179" t="s">
        <v>1623</v>
      </c>
      <c r="G11" s="179" t="s">
        <v>1713</v>
      </c>
      <c r="H11" s="184"/>
      <c r="I11" s="179" t="s">
        <v>2637</v>
      </c>
      <c r="J11" s="179" t="s">
        <v>2638</v>
      </c>
      <c r="K11" s="179" t="s">
        <v>2639</v>
      </c>
      <c r="L11" s="179">
        <v>6</v>
      </c>
      <c r="M11" s="179">
        <v>6</v>
      </c>
      <c r="N11" s="179" t="s">
        <v>1717</v>
      </c>
      <c r="O11" s="179" t="s">
        <v>1725</v>
      </c>
      <c r="P11" s="185">
        <v>15607917</v>
      </c>
      <c r="Q11" s="185">
        <v>9382601</v>
      </c>
      <c r="R11" s="185">
        <v>11273797</v>
      </c>
      <c r="S11" s="185">
        <v>4404833</v>
      </c>
      <c r="T11" s="185">
        <v>924243</v>
      </c>
      <c r="U11" s="185"/>
      <c r="V11" s="185"/>
      <c r="W11" s="185"/>
      <c r="X11" s="185"/>
      <c r="Y11" s="183">
        <f t="shared" si="2"/>
        <v>0</v>
      </c>
      <c r="Z11" s="183">
        <f t="shared" si="3"/>
        <v>0</v>
      </c>
      <c r="AA11" s="183">
        <f t="shared" si="4"/>
        <v>0</v>
      </c>
      <c r="AB11" s="183">
        <f t="shared" si="5"/>
        <v>0</v>
      </c>
      <c r="AC11" s="241">
        <f t="shared" si="6"/>
        <v>41593391</v>
      </c>
    </row>
    <row r="12" spans="1:29" x14ac:dyDescent="0.25">
      <c r="A12" s="181">
        <f t="shared" si="7"/>
        <v>5</v>
      </c>
      <c r="B12" s="179" t="s">
        <v>2626</v>
      </c>
      <c r="C12" s="182" t="str">
        <f t="shared" si="1"/>
        <v>INDICADOR DE GESTIÓN</v>
      </c>
      <c r="D12" s="182" t="str">
        <f>IF(F12="","",INDEX(B!$I$2:$I$112,MATCH(F12,B!$K$2:$K$112,0)))</f>
        <v>2. Desarrollo social</v>
      </c>
      <c r="E12" s="182" t="str">
        <f>IF(F12="","",INDEX(B!$J$2:$J$112,MATCH(F12,B!$K$2:$K$112,0)))</f>
        <v>2.5. Educación</v>
      </c>
      <c r="F12" s="179" t="s">
        <v>1640</v>
      </c>
      <c r="G12" s="179" t="s">
        <v>1713</v>
      </c>
      <c r="H12" s="184"/>
      <c r="I12" s="179" t="s">
        <v>2640</v>
      </c>
      <c r="J12" s="179" t="s">
        <v>2641</v>
      </c>
      <c r="K12" s="179" t="s">
        <v>2642</v>
      </c>
      <c r="L12" s="179">
        <v>35</v>
      </c>
      <c r="M12" s="179">
        <v>35</v>
      </c>
      <c r="N12" s="179" t="s">
        <v>1717</v>
      </c>
      <c r="O12" s="179" t="s">
        <v>1725</v>
      </c>
      <c r="P12" s="185">
        <v>2053231</v>
      </c>
      <c r="Q12" s="185">
        <v>542106</v>
      </c>
      <c r="R12" s="185">
        <v>325057</v>
      </c>
      <c r="S12" s="185">
        <v>392000</v>
      </c>
      <c r="T12" s="185"/>
      <c r="U12" s="185">
        <v>2000000</v>
      </c>
      <c r="V12" s="185"/>
      <c r="W12" s="185"/>
      <c r="X12" s="185"/>
      <c r="Y12" s="183">
        <f t="shared" si="2"/>
        <v>0</v>
      </c>
      <c r="Z12" s="183">
        <f t="shared" si="3"/>
        <v>0</v>
      </c>
      <c r="AA12" s="183">
        <f t="shared" si="4"/>
        <v>0</v>
      </c>
      <c r="AB12" s="183">
        <f t="shared" si="5"/>
        <v>0</v>
      </c>
      <c r="AC12" s="241">
        <f t="shared" si="6"/>
        <v>5312394</v>
      </c>
    </row>
    <row r="13" spans="1:29" x14ac:dyDescent="0.25">
      <c r="A13" s="181">
        <f t="shared" si="7"/>
        <v>6</v>
      </c>
      <c r="B13" s="179" t="s">
        <v>2627</v>
      </c>
      <c r="C13" s="182" t="str">
        <f t="shared" si="1"/>
        <v>MIR</v>
      </c>
      <c r="D13" s="182" t="str">
        <f>IF(F13="","",INDEX(B!$I$2:$I$112,MATCH(F13,B!$K$2:$K$112,0)))</f>
        <v>3. Desarrollo económico</v>
      </c>
      <c r="E13" s="182" t="str">
        <f>IF(F13="","",INDEX(B!$J$2:$J$112,MATCH(F13,B!$K$2:$K$112,0)))</f>
        <v>3.2. Agropecuaria silvicultura pesca y caza</v>
      </c>
      <c r="F13" s="179" t="s">
        <v>1569</v>
      </c>
      <c r="G13" s="179" t="s">
        <v>1709</v>
      </c>
      <c r="H13" s="184"/>
      <c r="I13" s="179" t="s">
        <v>2643</v>
      </c>
      <c r="J13" s="179" t="s">
        <v>2644</v>
      </c>
      <c r="K13" s="179"/>
      <c r="L13" s="179"/>
      <c r="M13" s="179"/>
      <c r="N13" s="179"/>
      <c r="O13" s="179"/>
      <c r="P13" s="185"/>
      <c r="Q13" s="185"/>
      <c r="R13" s="185"/>
      <c r="S13" s="185"/>
      <c r="T13" s="185"/>
      <c r="U13" s="185"/>
      <c r="V13" s="185"/>
      <c r="W13" s="185"/>
      <c r="X13" s="185"/>
      <c r="Y13" s="183">
        <f t="shared" si="2"/>
        <v>1</v>
      </c>
      <c r="Z13" s="183">
        <f t="shared" si="3"/>
        <v>0</v>
      </c>
      <c r="AA13" s="183">
        <f t="shared" si="4"/>
        <v>0</v>
      </c>
      <c r="AB13" s="183">
        <f t="shared" si="5"/>
        <v>0</v>
      </c>
      <c r="AC13" s="241">
        <f t="shared" si="6"/>
        <v>0</v>
      </c>
    </row>
    <row r="14" spans="1:29" x14ac:dyDescent="0.25">
      <c r="A14" s="181" t="str">
        <f t="shared" si="7"/>
        <v/>
      </c>
      <c r="B14" s="179"/>
      <c r="C14" s="182" t="str">
        <f t="shared" si="1"/>
        <v>MIR</v>
      </c>
      <c r="D14" s="182" t="str">
        <f>IF(F14="","",INDEX(B!$I$2:$I$112,MATCH(F14,B!$K$2:$K$112,0)))</f>
        <v>3. Desarrollo económico</v>
      </c>
      <c r="E14" s="182" t="str">
        <f>IF(F14="","",INDEX(B!$J$2:$J$112,MATCH(F14,B!$K$2:$K$112,0)))</f>
        <v>3.2. Agropecuaria silvicultura pesca y caza</v>
      </c>
      <c r="F14" s="179" t="s">
        <v>1569</v>
      </c>
      <c r="G14" s="179" t="s">
        <v>1710</v>
      </c>
      <c r="H14" s="184"/>
      <c r="I14" s="179" t="s">
        <v>2645</v>
      </c>
      <c r="J14" s="179" t="s">
        <v>2646</v>
      </c>
      <c r="K14" s="179"/>
      <c r="L14" s="179"/>
      <c r="M14" s="179"/>
      <c r="N14" s="179"/>
      <c r="O14" s="179"/>
      <c r="P14" s="185"/>
      <c r="Q14" s="185"/>
      <c r="R14" s="185"/>
      <c r="S14" s="185"/>
      <c r="T14" s="185"/>
      <c r="U14" s="185"/>
      <c r="V14" s="185"/>
      <c r="W14" s="185"/>
      <c r="X14" s="185"/>
      <c r="Y14" s="183">
        <f t="shared" si="2"/>
        <v>0</v>
      </c>
      <c r="Z14" s="183">
        <f t="shared" si="3"/>
        <v>1</v>
      </c>
      <c r="AA14" s="183">
        <f t="shared" si="4"/>
        <v>0</v>
      </c>
      <c r="AB14" s="183">
        <f t="shared" si="5"/>
        <v>0</v>
      </c>
      <c r="AC14" s="241">
        <f t="shared" si="6"/>
        <v>0</v>
      </c>
    </row>
    <row r="15" spans="1:29" x14ac:dyDescent="0.25">
      <c r="A15" s="181" t="str">
        <f t="shared" si="7"/>
        <v/>
      </c>
      <c r="B15" s="179"/>
      <c r="C15" s="182" t="str">
        <f t="shared" si="1"/>
        <v>MIR</v>
      </c>
      <c r="D15" s="182" t="str">
        <f>IF(F15="","",INDEX(B!$I$2:$I$112,MATCH(F15,B!$K$2:$K$112,0)))</f>
        <v>3. Desarrollo económico</v>
      </c>
      <c r="E15" s="182" t="str">
        <f>IF(F15="","",INDEX(B!$J$2:$J$112,MATCH(F15,B!$K$2:$K$112,0)))</f>
        <v>3.2. Agropecuaria silvicultura pesca y caza</v>
      </c>
      <c r="F15" s="179" t="s">
        <v>1569</v>
      </c>
      <c r="G15" s="179" t="s">
        <v>1711</v>
      </c>
      <c r="H15" s="184"/>
      <c r="I15" s="179" t="s">
        <v>2647</v>
      </c>
      <c r="J15" s="179" t="s">
        <v>2648</v>
      </c>
      <c r="K15" s="179" t="s">
        <v>2649</v>
      </c>
      <c r="L15" s="179">
        <v>10</v>
      </c>
      <c r="M15" s="179">
        <v>10</v>
      </c>
      <c r="N15" s="179" t="s">
        <v>1717</v>
      </c>
      <c r="O15" s="179" t="s">
        <v>1725</v>
      </c>
      <c r="P15" s="185">
        <v>578097</v>
      </c>
      <c r="Q15" s="185">
        <v>89843</v>
      </c>
      <c r="R15" s="185">
        <v>32552</v>
      </c>
      <c r="S15" s="185"/>
      <c r="T15" s="185">
        <v>14520</v>
      </c>
      <c r="U15" s="185"/>
      <c r="V15" s="185"/>
      <c r="W15" s="185"/>
      <c r="X15" s="185"/>
      <c r="Y15" s="183">
        <f t="shared" si="2"/>
        <v>0</v>
      </c>
      <c r="Z15" s="183">
        <f t="shared" si="3"/>
        <v>0</v>
      </c>
      <c r="AA15" s="183">
        <f t="shared" si="4"/>
        <v>1</v>
      </c>
      <c r="AB15" s="183">
        <f t="shared" si="5"/>
        <v>0</v>
      </c>
      <c r="AC15" s="241">
        <f t="shared" si="6"/>
        <v>715012</v>
      </c>
    </row>
    <row r="16" spans="1:29" x14ac:dyDescent="0.25">
      <c r="A16" s="181" t="str">
        <f t="shared" si="7"/>
        <v/>
      </c>
      <c r="B16" s="179"/>
      <c r="C16" s="182" t="str">
        <f t="shared" si="1"/>
        <v>MIR</v>
      </c>
      <c r="D16" s="182" t="str">
        <f>IF(F16="","",INDEX(B!$I$2:$I$112,MATCH(F16,B!$K$2:$K$112,0)))</f>
        <v>3. Desarrollo económico</v>
      </c>
      <c r="E16" s="182" t="str">
        <f>IF(F16="","",INDEX(B!$J$2:$J$112,MATCH(F16,B!$K$2:$K$112,0)))</f>
        <v>3.2. Agropecuaria silvicultura pesca y caza</v>
      </c>
      <c r="F16" s="179" t="s">
        <v>1569</v>
      </c>
      <c r="G16" s="179" t="s">
        <v>1712</v>
      </c>
      <c r="H16" s="184"/>
      <c r="I16" s="179" t="s">
        <v>2650</v>
      </c>
      <c r="J16" s="179"/>
      <c r="K16" s="179"/>
      <c r="L16" s="179">
        <v>7</v>
      </c>
      <c r="M16" s="179">
        <v>7</v>
      </c>
      <c r="N16" s="179" t="s">
        <v>1717</v>
      </c>
      <c r="O16" s="179" t="s">
        <v>1725</v>
      </c>
      <c r="P16" s="185"/>
      <c r="Q16" s="185"/>
      <c r="R16" s="185"/>
      <c r="S16" s="185"/>
      <c r="T16" s="185"/>
      <c r="U16" s="185"/>
      <c r="V16" s="185"/>
      <c r="W16" s="185"/>
      <c r="X16" s="185"/>
      <c r="Y16" s="183">
        <f t="shared" si="2"/>
        <v>0</v>
      </c>
      <c r="Z16" s="183">
        <f t="shared" si="3"/>
        <v>0</v>
      </c>
      <c r="AA16" s="183">
        <f t="shared" si="4"/>
        <v>0</v>
      </c>
      <c r="AB16" s="183">
        <f t="shared" si="5"/>
        <v>1</v>
      </c>
      <c r="AC16" s="241">
        <f t="shared" si="6"/>
        <v>0</v>
      </c>
    </row>
    <row r="17" spans="1:29" x14ac:dyDescent="0.25">
      <c r="A17" s="181" t="str">
        <f t="shared" si="7"/>
        <v/>
      </c>
      <c r="B17" s="179"/>
      <c r="C17" s="182" t="str">
        <f t="shared" si="1"/>
        <v>MIR</v>
      </c>
      <c r="D17" s="182" t="str">
        <f>IF(F17="","",INDEX(B!$I$2:$I$112,MATCH(F17,B!$K$2:$K$112,0)))</f>
        <v>3. Desarrollo económico</v>
      </c>
      <c r="E17" s="182" t="str">
        <f>IF(F17="","",INDEX(B!$J$2:$J$112,MATCH(F17,B!$K$2:$K$112,0)))</f>
        <v>3.7. Turismo</v>
      </c>
      <c r="F17" s="179" t="s">
        <v>1577</v>
      </c>
      <c r="G17" s="179" t="s">
        <v>1711</v>
      </c>
      <c r="H17" s="184"/>
      <c r="I17" s="179" t="s">
        <v>2651</v>
      </c>
      <c r="J17" s="179" t="s">
        <v>2652</v>
      </c>
      <c r="K17" s="179" t="s">
        <v>2653</v>
      </c>
      <c r="L17" s="179">
        <v>12</v>
      </c>
      <c r="M17" s="179">
        <v>12</v>
      </c>
      <c r="N17" s="179" t="s">
        <v>1717</v>
      </c>
      <c r="O17" s="179" t="s">
        <v>1725</v>
      </c>
      <c r="P17" s="185">
        <v>577224</v>
      </c>
      <c r="Q17" s="185">
        <v>142986</v>
      </c>
      <c r="R17" s="185">
        <v>54569</v>
      </c>
      <c r="S17" s="185"/>
      <c r="T17" s="185">
        <v>10500</v>
      </c>
      <c r="U17" s="185"/>
      <c r="V17" s="185"/>
      <c r="W17" s="185"/>
      <c r="X17" s="185"/>
      <c r="Y17" s="183">
        <f t="shared" si="2"/>
        <v>0</v>
      </c>
      <c r="Z17" s="183">
        <f t="shared" si="3"/>
        <v>0</v>
      </c>
      <c r="AA17" s="183">
        <f t="shared" si="4"/>
        <v>1</v>
      </c>
      <c r="AB17" s="183">
        <f t="shared" si="5"/>
        <v>0</v>
      </c>
      <c r="AC17" s="241">
        <f t="shared" si="6"/>
        <v>785279</v>
      </c>
    </row>
    <row r="18" spans="1:29" x14ac:dyDescent="0.25">
      <c r="A18" s="181" t="str">
        <f t="shared" si="7"/>
        <v/>
      </c>
      <c r="B18" s="179"/>
      <c r="C18" s="182" t="str">
        <f t="shared" si="1"/>
        <v>MIR</v>
      </c>
      <c r="D18" s="182" t="str">
        <f>IF(F18="","",INDEX(B!$I$2:$I$112,MATCH(F18,B!$K$2:$K$112,0)))</f>
        <v>3. Desarrollo económico</v>
      </c>
      <c r="E18" s="182" t="str">
        <f>IF(F18="","",INDEX(B!$J$2:$J$112,MATCH(F18,B!$K$2:$K$112,0)))</f>
        <v>3.7. Turismo</v>
      </c>
      <c r="F18" s="179" t="s">
        <v>1577</v>
      </c>
      <c r="G18" s="179" t="s">
        <v>1712</v>
      </c>
      <c r="H18" s="184"/>
      <c r="I18" s="179" t="s">
        <v>2654</v>
      </c>
      <c r="J18" s="179"/>
      <c r="K18" s="179"/>
      <c r="L18" s="179">
        <v>3</v>
      </c>
      <c r="M18" s="179">
        <v>3</v>
      </c>
      <c r="N18" s="179" t="s">
        <v>1717</v>
      </c>
      <c r="O18" s="179" t="s">
        <v>1725</v>
      </c>
      <c r="P18" s="185"/>
      <c r="Q18" s="185"/>
      <c r="R18" s="185"/>
      <c r="S18" s="185"/>
      <c r="T18" s="185"/>
      <c r="U18" s="185"/>
      <c r="V18" s="185"/>
      <c r="W18" s="185"/>
      <c r="X18" s="185"/>
      <c r="Y18" s="183">
        <f t="shared" si="2"/>
        <v>0</v>
      </c>
      <c r="Z18" s="183">
        <f t="shared" si="3"/>
        <v>0</v>
      </c>
      <c r="AA18" s="183">
        <f t="shared" si="4"/>
        <v>0</v>
      </c>
      <c r="AB18" s="183">
        <f t="shared" si="5"/>
        <v>1</v>
      </c>
      <c r="AC18" s="241">
        <f t="shared" si="6"/>
        <v>0</v>
      </c>
    </row>
    <row r="19" spans="1:29" x14ac:dyDescent="0.2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2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scale="30" fitToHeight="0" orientation="landscape" horizontalDpi="4294967293" verticalDpi="360"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Isi Pérez Castro</cp:lastModifiedBy>
  <cp:lastPrinted>2024-12-18T19:22:54Z</cp:lastPrinted>
  <dcterms:created xsi:type="dcterms:W3CDTF">2018-10-16T17:38:59Z</dcterms:created>
  <dcterms:modified xsi:type="dcterms:W3CDTF">2024-12-18T19:36:19Z</dcterms:modified>
</cp:coreProperties>
</file>