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tesor\OneDrive\Escritorio\Red\TRANSPARENCIA ARTICULO 8\8.v.g) Nòmina\NOMINAS ENE-DIC 2025\"/>
    </mc:Choice>
  </mc:AlternateContent>
  <xr:revisionPtr revIDLastSave="0" documentId="13_ncr:1_{D0F49419-658F-4B25-A9DF-C0C4CC995432}" xr6:coauthVersionLast="47" xr6:coauthVersionMax="47" xr10:uidLastSave="{00000000-0000-0000-0000-000000000000}"/>
  <bookViews>
    <workbookView xWindow="-120" yWindow="-120" windowWidth="29040" windowHeight="15720" tabRatio="772" firstSheet="1" activeTab="11" xr2:uid="{00000000-000D-0000-FFFF-FFFF00000000}"/>
  </bookViews>
  <sheets>
    <sheet name="tarifa" sheetId="2" state="hidden" r:id="rId1"/>
    <sheet name="PRESIDENCIA" sheetId="119" r:id="rId2"/>
    <sheet name="CONTRALORIA " sheetId="134" r:id="rId3"/>
    <sheet name="OBRAS PUBLICAS" sheetId="120" r:id="rId4"/>
    <sheet name="SERV.PBCOS" sheetId="121" r:id="rId5"/>
    <sheet name="PROGRAMAS" sheetId="123" r:id="rId6"/>
    <sheet name="HDA.MPAL" sheetId="118" r:id="rId7"/>
    <sheet name="REGIDORES 2" sheetId="131" r:id="rId8"/>
    <sheet name="SINDICO" sheetId="136" r:id="rId9"/>
    <sheet name="CHOFERES" sheetId="132" r:id="rId10"/>
    <sheet name="SEGURIDAD " sheetId="135" r:id="rId11"/>
    <sheet name="SERV.MEDICOS" sheetId="133" r:id="rId12"/>
  </sheets>
  <definedNames>
    <definedName name="_xlnm.Print_Area" localSheetId="2">'CONTRALORIA '!$1:$25</definedName>
    <definedName name="_xlnm.Print_Area" localSheetId="8">SINDICO!$1:$23</definedName>
    <definedName name="Credito">tarifa!$F$13:$G$23</definedName>
    <definedName name="Credito1">tarifa!$F$38:$G$48</definedName>
    <definedName name="SMG">tarifa!$I$3</definedName>
    <definedName name="Subsidio">tarifa!$F$13:$G$23</definedName>
    <definedName name="Tarifa">tarifa!$B$13:$D$23</definedName>
    <definedName name="Tarifa1">tarifa!$B$41:$D$51</definedName>
    <definedName name="_xlnm.Print_Titles" localSheetId="1">PRESIDENCIA!$1:$7</definedName>
    <definedName name="UMA">tarifa!$I$8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5" i="121" l="1"/>
  <c r="M25" i="121" s="1"/>
  <c r="K25" i="121"/>
  <c r="H25" i="121"/>
  <c r="T25" i="121" l="1"/>
  <c r="R25" i="121"/>
  <c r="P25" i="121"/>
  <c r="N25" i="121"/>
  <c r="O25" i="121" s="1"/>
  <c r="Q25" i="121" l="1"/>
  <c r="S25" i="121" s="1"/>
  <c r="U25" i="121" s="1"/>
  <c r="W25" i="121" s="1"/>
  <c r="X25" i="121" s="1"/>
  <c r="V25" i="121" l="1"/>
  <c r="Y25" i="121"/>
  <c r="L57" i="123" l="1"/>
  <c r="M57" i="123" s="1"/>
  <c r="K57" i="123"/>
  <c r="H57" i="123"/>
  <c r="L55" i="123"/>
  <c r="M55" i="123" s="1"/>
  <c r="K55" i="123"/>
  <c r="H55" i="123"/>
  <c r="L56" i="123"/>
  <c r="M56" i="123" s="1"/>
  <c r="K56" i="123"/>
  <c r="H56" i="123"/>
  <c r="L54" i="123"/>
  <c r="M54" i="123" s="1"/>
  <c r="K54" i="123"/>
  <c r="H54" i="123"/>
  <c r="L53" i="123"/>
  <c r="M53" i="123" s="1"/>
  <c r="R53" i="123" s="1"/>
  <c r="K53" i="123"/>
  <c r="H53" i="123"/>
  <c r="B50" i="123"/>
  <c r="K52" i="123"/>
  <c r="L52" i="123"/>
  <c r="M52" i="123" s="1"/>
  <c r="H52" i="123"/>
  <c r="K9" i="134"/>
  <c r="K8" i="134" s="1"/>
  <c r="L9" i="134"/>
  <c r="M9" i="134" s="1"/>
  <c r="H9" i="134"/>
  <c r="J8" i="134"/>
  <c r="I8" i="134"/>
  <c r="K58" i="123"/>
  <c r="L58" i="123"/>
  <c r="M58" i="123" s="1"/>
  <c r="N58" i="123" s="1"/>
  <c r="K43" i="123"/>
  <c r="L43" i="123"/>
  <c r="M43" i="123" s="1"/>
  <c r="K40" i="123"/>
  <c r="L40" i="123"/>
  <c r="M40" i="123" s="1"/>
  <c r="K41" i="123"/>
  <c r="L41" i="123"/>
  <c r="M41" i="123" s="1"/>
  <c r="K42" i="123"/>
  <c r="L42" i="123"/>
  <c r="M42" i="123" s="1"/>
  <c r="N42" i="123" s="1"/>
  <c r="J39" i="123"/>
  <c r="I39" i="123"/>
  <c r="H43" i="123"/>
  <c r="K26" i="120"/>
  <c r="L26" i="120"/>
  <c r="M26" i="120" s="1"/>
  <c r="H26" i="120"/>
  <c r="K25" i="120"/>
  <c r="L25" i="120"/>
  <c r="M25" i="120"/>
  <c r="N25" i="120" s="1"/>
  <c r="H25" i="120"/>
  <c r="K24" i="120"/>
  <c r="L24" i="120"/>
  <c r="M24" i="120"/>
  <c r="N24" i="120" s="1"/>
  <c r="R24" i="120"/>
  <c r="T24" i="120"/>
  <c r="H24" i="120"/>
  <c r="K23" i="120"/>
  <c r="L23" i="120"/>
  <c r="M23" i="120" s="1"/>
  <c r="H23" i="120"/>
  <c r="K22" i="120"/>
  <c r="L22" i="120"/>
  <c r="M22" i="120" s="1"/>
  <c r="H22" i="120"/>
  <c r="K21" i="120"/>
  <c r="L21" i="120"/>
  <c r="M21" i="120" s="1"/>
  <c r="H21" i="120"/>
  <c r="K14" i="120"/>
  <c r="L14" i="120"/>
  <c r="M14" i="120"/>
  <c r="N14" i="120" s="1"/>
  <c r="H14" i="120"/>
  <c r="H42" i="123"/>
  <c r="H41" i="123"/>
  <c r="K48" i="135"/>
  <c r="L48" i="135" s="1"/>
  <c r="J48" i="135"/>
  <c r="G48" i="135"/>
  <c r="L33" i="121"/>
  <c r="M33" i="121" s="1"/>
  <c r="K33" i="121"/>
  <c r="K32" i="121" s="1"/>
  <c r="H33" i="121"/>
  <c r="J32" i="121"/>
  <c r="I32" i="121"/>
  <c r="K47" i="135"/>
  <c r="L47" i="135"/>
  <c r="S47" i="135" s="1"/>
  <c r="J47" i="135"/>
  <c r="G47" i="135"/>
  <c r="K46" i="135"/>
  <c r="L46" i="135"/>
  <c r="S46" i="135" s="1"/>
  <c r="J46" i="135"/>
  <c r="G46" i="135"/>
  <c r="K45" i="135"/>
  <c r="L45" i="135" s="1"/>
  <c r="J45" i="135"/>
  <c r="G45" i="135"/>
  <c r="W15" i="123"/>
  <c r="X15" i="123" s="1"/>
  <c r="L15" i="123"/>
  <c r="M15" i="123" s="1"/>
  <c r="K15" i="123"/>
  <c r="H15" i="123"/>
  <c r="L37" i="120"/>
  <c r="M37" i="120" s="1"/>
  <c r="K37" i="120"/>
  <c r="H37" i="120"/>
  <c r="L36" i="120"/>
  <c r="M36" i="120" s="1"/>
  <c r="K36" i="120"/>
  <c r="H36" i="120"/>
  <c r="L35" i="120"/>
  <c r="M35" i="120" s="1"/>
  <c r="T35" i="120" s="1"/>
  <c r="K35" i="120"/>
  <c r="H35" i="120"/>
  <c r="L34" i="120"/>
  <c r="M34" i="120" s="1"/>
  <c r="K34" i="120"/>
  <c r="H34" i="120"/>
  <c r="L33" i="120"/>
  <c r="M33" i="120" s="1"/>
  <c r="K33" i="120"/>
  <c r="H33" i="120"/>
  <c r="L13" i="120"/>
  <c r="M13" i="120" s="1"/>
  <c r="K13" i="120"/>
  <c r="H13" i="120"/>
  <c r="K11" i="134"/>
  <c r="L11" i="134"/>
  <c r="M11" i="134" s="1"/>
  <c r="K13" i="134"/>
  <c r="L13" i="134"/>
  <c r="M13" i="134" s="1"/>
  <c r="K10" i="134"/>
  <c r="K12" i="134"/>
  <c r="K14" i="134"/>
  <c r="J10" i="134"/>
  <c r="J12" i="134"/>
  <c r="I10" i="134"/>
  <c r="I12" i="134"/>
  <c r="L13" i="133"/>
  <c r="M13" i="133" s="1"/>
  <c r="R13" i="133" s="1"/>
  <c r="K13" i="133"/>
  <c r="H13" i="133"/>
  <c r="W17" i="133"/>
  <c r="X17" i="133" s="1"/>
  <c r="L17" i="133"/>
  <c r="M17" i="133" s="1"/>
  <c r="K17" i="133"/>
  <c r="L22" i="119"/>
  <c r="M22" i="119"/>
  <c r="P22" i="119" s="1"/>
  <c r="K22" i="119"/>
  <c r="J21" i="119"/>
  <c r="I21" i="119"/>
  <c r="L16" i="133"/>
  <c r="M16" i="133" s="1"/>
  <c r="T16" i="133" s="1"/>
  <c r="K16" i="133"/>
  <c r="H16" i="133"/>
  <c r="J8" i="121"/>
  <c r="I8" i="121"/>
  <c r="L26" i="121"/>
  <c r="M26" i="121"/>
  <c r="T26" i="121" s="1"/>
  <c r="K26" i="121"/>
  <c r="L24" i="121"/>
  <c r="M24" i="121" s="1"/>
  <c r="K24" i="121"/>
  <c r="H24" i="121"/>
  <c r="H26" i="121"/>
  <c r="L11" i="133"/>
  <c r="M11" i="133" s="1"/>
  <c r="K11" i="133"/>
  <c r="H11" i="133"/>
  <c r="L12" i="133"/>
  <c r="M12" i="133" s="1"/>
  <c r="K12" i="133"/>
  <c r="H12" i="133"/>
  <c r="H14" i="133"/>
  <c r="K14" i="133"/>
  <c r="L14" i="133"/>
  <c r="M14" i="133" s="1"/>
  <c r="H15" i="133"/>
  <c r="K15" i="133"/>
  <c r="L15" i="133"/>
  <c r="M15" i="133" s="1"/>
  <c r="H17" i="133"/>
  <c r="L10" i="133"/>
  <c r="M10" i="133" s="1"/>
  <c r="L9" i="133"/>
  <c r="M9" i="133" s="1"/>
  <c r="H10" i="133"/>
  <c r="H9" i="133"/>
  <c r="K49" i="135"/>
  <c r="L49" i="135" s="1"/>
  <c r="K44" i="135"/>
  <c r="L44" i="135" s="1"/>
  <c r="K43" i="135"/>
  <c r="L43" i="135"/>
  <c r="Q43" i="135" s="1"/>
  <c r="K42" i="135"/>
  <c r="L42" i="135"/>
  <c r="O42" i="135" s="1"/>
  <c r="K33" i="135"/>
  <c r="L33" i="135" s="1"/>
  <c r="S33" i="135" s="1"/>
  <c r="K32" i="135"/>
  <c r="L32" i="135" s="1"/>
  <c r="Q32" i="135" s="1"/>
  <c r="K31" i="135"/>
  <c r="L31" i="135"/>
  <c r="S31" i="135" s="1"/>
  <c r="K30" i="135"/>
  <c r="L30" i="135" s="1"/>
  <c r="K29" i="135"/>
  <c r="L29" i="135"/>
  <c r="O29" i="135" s="1"/>
  <c r="K28" i="135"/>
  <c r="L28" i="135"/>
  <c r="S28" i="135" s="1"/>
  <c r="K27" i="135"/>
  <c r="L27" i="135" s="1"/>
  <c r="K26" i="135"/>
  <c r="L26" i="135" s="1"/>
  <c r="K25" i="135"/>
  <c r="L25" i="135"/>
  <c r="K17" i="135"/>
  <c r="L17" i="135"/>
  <c r="S17" i="135" s="1"/>
  <c r="K16" i="135"/>
  <c r="L16" i="135"/>
  <c r="M16" i="135" s="1"/>
  <c r="N16" i="135" s="1"/>
  <c r="K15" i="135"/>
  <c r="L15" i="135" s="1"/>
  <c r="K14" i="135"/>
  <c r="L14" i="135" s="1"/>
  <c r="Q14" i="135" s="1"/>
  <c r="K13" i="135"/>
  <c r="L13" i="135"/>
  <c r="O13" i="135" s="1"/>
  <c r="K12" i="135"/>
  <c r="L12" i="135" s="1"/>
  <c r="K11" i="135"/>
  <c r="L11" i="135"/>
  <c r="Q11" i="135" s="1"/>
  <c r="K10" i="135"/>
  <c r="L10" i="135" s="1"/>
  <c r="K9" i="135"/>
  <c r="L9" i="135" s="1"/>
  <c r="G49" i="135"/>
  <c r="G44" i="135"/>
  <c r="G43" i="135"/>
  <c r="G42" i="135"/>
  <c r="G33" i="135"/>
  <c r="G32" i="135"/>
  <c r="G31" i="135"/>
  <c r="G30" i="135"/>
  <c r="G29" i="135"/>
  <c r="G28" i="135"/>
  <c r="G27" i="135"/>
  <c r="G26" i="135"/>
  <c r="G25" i="135"/>
  <c r="G17" i="135"/>
  <c r="G16" i="135"/>
  <c r="G15" i="135"/>
  <c r="G14" i="135"/>
  <c r="G13" i="135"/>
  <c r="G12" i="135"/>
  <c r="G11" i="135"/>
  <c r="G10" i="135"/>
  <c r="G9" i="135"/>
  <c r="H21" i="132"/>
  <c r="H20" i="132"/>
  <c r="H13" i="132"/>
  <c r="H12" i="132"/>
  <c r="H11" i="132"/>
  <c r="H10" i="132"/>
  <c r="H9" i="132"/>
  <c r="L21" i="132"/>
  <c r="M21" i="132" s="1"/>
  <c r="L20" i="132"/>
  <c r="M20" i="132" s="1"/>
  <c r="L13" i="132"/>
  <c r="M13" i="132" s="1"/>
  <c r="T13" i="132" s="1"/>
  <c r="L12" i="132"/>
  <c r="M12" i="132" s="1"/>
  <c r="L11" i="132"/>
  <c r="M11" i="132" s="1"/>
  <c r="L10" i="132"/>
  <c r="M10" i="132" s="1"/>
  <c r="P10" i="132" s="1"/>
  <c r="L9" i="132"/>
  <c r="M9" i="132" s="1"/>
  <c r="P9" i="132" s="1"/>
  <c r="K9" i="136"/>
  <c r="L9" i="136" s="1"/>
  <c r="L23" i="131"/>
  <c r="M23" i="131" s="1"/>
  <c r="L22" i="131"/>
  <c r="M22" i="131" s="1"/>
  <c r="L21" i="131"/>
  <c r="M21" i="131" s="1"/>
  <c r="L20" i="131"/>
  <c r="M20" i="131" s="1"/>
  <c r="T20" i="131" s="1"/>
  <c r="L13" i="131"/>
  <c r="M13" i="131" s="1"/>
  <c r="T13" i="131" s="1"/>
  <c r="L12" i="131"/>
  <c r="M12" i="131"/>
  <c r="R12" i="131" s="1"/>
  <c r="L11" i="131"/>
  <c r="M11" i="131"/>
  <c r="T11" i="131" s="1"/>
  <c r="L10" i="131"/>
  <c r="M10" i="131"/>
  <c r="T10" i="131" s="1"/>
  <c r="L9" i="131"/>
  <c r="M9" i="131" s="1"/>
  <c r="H23" i="131"/>
  <c r="H22" i="131"/>
  <c r="H21" i="131"/>
  <c r="H20" i="131"/>
  <c r="H13" i="131"/>
  <c r="H12" i="131"/>
  <c r="H11" i="131"/>
  <c r="H10" i="131"/>
  <c r="H9" i="131"/>
  <c r="L12" i="118"/>
  <c r="M12" i="118"/>
  <c r="R12" i="118" s="1"/>
  <c r="L11" i="118"/>
  <c r="M11" i="118" s="1"/>
  <c r="L10" i="118"/>
  <c r="M10" i="118" s="1"/>
  <c r="H12" i="118"/>
  <c r="H11" i="118"/>
  <c r="H10" i="118"/>
  <c r="L38" i="123"/>
  <c r="M38" i="123" s="1"/>
  <c r="N38" i="123" s="1"/>
  <c r="L29" i="123"/>
  <c r="M29" i="123" s="1"/>
  <c r="P29" i="123" s="1"/>
  <c r="L27" i="123"/>
  <c r="M27" i="123" s="1"/>
  <c r="L26" i="123"/>
  <c r="M26" i="123"/>
  <c r="R26" i="123" s="1"/>
  <c r="L25" i="123"/>
  <c r="M25" i="123"/>
  <c r="T25" i="123" s="1"/>
  <c r="L23" i="123"/>
  <c r="M23" i="123"/>
  <c r="N23" i="123" s="1"/>
  <c r="L13" i="123"/>
  <c r="M13" i="123" s="1"/>
  <c r="L12" i="123"/>
  <c r="M12" i="123" s="1"/>
  <c r="T12" i="123" s="1"/>
  <c r="L10" i="123"/>
  <c r="M10" i="123" s="1"/>
  <c r="W13" i="123"/>
  <c r="X13" i="123" s="1"/>
  <c r="L9" i="123"/>
  <c r="H58" i="123"/>
  <c r="H40" i="123"/>
  <c r="H38" i="123"/>
  <c r="H29" i="123"/>
  <c r="H27" i="123"/>
  <c r="H26" i="123"/>
  <c r="H25" i="123"/>
  <c r="H23" i="123"/>
  <c r="H13" i="123"/>
  <c r="H12" i="123"/>
  <c r="H10" i="123"/>
  <c r="H9" i="123"/>
  <c r="L38" i="121"/>
  <c r="M38" i="121" s="1"/>
  <c r="T38" i="121" s="1"/>
  <c r="L36" i="121"/>
  <c r="M36" i="121" s="1"/>
  <c r="L35" i="121"/>
  <c r="M35" i="121" s="1"/>
  <c r="N35" i="121" s="1"/>
  <c r="H38" i="121"/>
  <c r="H36" i="121"/>
  <c r="H35" i="121"/>
  <c r="H23" i="121"/>
  <c r="H22" i="121"/>
  <c r="H21" i="121"/>
  <c r="H20" i="121"/>
  <c r="L23" i="121"/>
  <c r="M23" i="121"/>
  <c r="R23" i="121" s="1"/>
  <c r="L22" i="121"/>
  <c r="M22" i="121" s="1"/>
  <c r="L21" i="121"/>
  <c r="M21" i="121" s="1"/>
  <c r="L20" i="121"/>
  <c r="M20" i="121" s="1"/>
  <c r="L13" i="121"/>
  <c r="M13" i="121" s="1"/>
  <c r="L12" i="121"/>
  <c r="M12" i="121" s="1"/>
  <c r="L11" i="121"/>
  <c r="M11" i="121" s="1"/>
  <c r="L10" i="121"/>
  <c r="M10" i="121"/>
  <c r="T10" i="121" s="1"/>
  <c r="L9" i="121"/>
  <c r="M9" i="121" s="1"/>
  <c r="H13" i="121"/>
  <c r="H12" i="121"/>
  <c r="H11" i="121"/>
  <c r="H10" i="121"/>
  <c r="H9" i="121"/>
  <c r="L12" i="120"/>
  <c r="M12" i="120" s="1"/>
  <c r="L11" i="120"/>
  <c r="M11" i="120" s="1"/>
  <c r="L10" i="120"/>
  <c r="M10" i="120" s="1"/>
  <c r="L9" i="120"/>
  <c r="M9" i="120" s="1"/>
  <c r="H12" i="120"/>
  <c r="H11" i="120"/>
  <c r="H10" i="120"/>
  <c r="H9" i="120"/>
  <c r="H11" i="134"/>
  <c r="H13" i="134"/>
  <c r="L24" i="119"/>
  <c r="M24" i="119" s="1"/>
  <c r="P24" i="119" s="1"/>
  <c r="L20" i="119"/>
  <c r="M20" i="119" s="1"/>
  <c r="R20" i="119" s="1"/>
  <c r="L19" i="119"/>
  <c r="M19" i="119" s="1"/>
  <c r="L13" i="119"/>
  <c r="M13" i="119"/>
  <c r="R13" i="119" s="1"/>
  <c r="L11" i="119"/>
  <c r="M11" i="119" s="1"/>
  <c r="L10" i="119"/>
  <c r="L9" i="119"/>
  <c r="M9" i="119"/>
  <c r="T9" i="119" s="1"/>
  <c r="S11" i="136"/>
  <c r="M11" i="136"/>
  <c r="Q11" i="136"/>
  <c r="O11" i="136"/>
  <c r="L11" i="136"/>
  <c r="S25" i="135"/>
  <c r="Q25" i="135"/>
  <c r="O25" i="135"/>
  <c r="M25" i="135"/>
  <c r="N25" i="135" s="1"/>
  <c r="P25" i="135" s="1"/>
  <c r="R25" i="135" s="1"/>
  <c r="T25" i="135" s="1"/>
  <c r="Q17" i="135"/>
  <c r="N12" i="131"/>
  <c r="O12" i="131"/>
  <c r="T12" i="131"/>
  <c r="V23" i="119"/>
  <c r="J23" i="119"/>
  <c r="I23" i="119"/>
  <c r="K20" i="119"/>
  <c r="K19" i="119"/>
  <c r="K18" i="119" s="1"/>
  <c r="J18" i="119"/>
  <c r="I18" i="119"/>
  <c r="B18" i="131"/>
  <c r="K29" i="123"/>
  <c r="K28" i="123" s="1"/>
  <c r="J28" i="123"/>
  <c r="I28" i="123"/>
  <c r="B35" i="123"/>
  <c r="B21" i="123"/>
  <c r="J34" i="121"/>
  <c r="I34" i="121"/>
  <c r="B30" i="121"/>
  <c r="K35" i="121"/>
  <c r="B31" i="120"/>
  <c r="B19" i="120"/>
  <c r="I38" i="120"/>
  <c r="I50" i="135"/>
  <c r="J23" i="132"/>
  <c r="I11" i="136"/>
  <c r="J24" i="123"/>
  <c r="I24" i="123"/>
  <c r="J14" i="123"/>
  <c r="I14" i="123"/>
  <c r="J11" i="123"/>
  <c r="J8" i="123"/>
  <c r="J38" i="120"/>
  <c r="K21" i="121"/>
  <c r="K10" i="121"/>
  <c r="N11" i="136"/>
  <c r="P11" i="136"/>
  <c r="R11" i="136"/>
  <c r="T11" i="136"/>
  <c r="J12" i="119"/>
  <c r="I12" i="119"/>
  <c r="J42" i="135"/>
  <c r="J18" i="133"/>
  <c r="I18" i="133"/>
  <c r="H11" i="136"/>
  <c r="J8" i="119"/>
  <c r="B40" i="135"/>
  <c r="K20" i="121"/>
  <c r="K12" i="121"/>
  <c r="B18" i="121"/>
  <c r="K23" i="123"/>
  <c r="K21" i="132"/>
  <c r="K20" i="132"/>
  <c r="W21" i="132"/>
  <c r="X21" i="132" s="1"/>
  <c r="K10" i="133"/>
  <c r="K9" i="133"/>
  <c r="J44" i="135"/>
  <c r="K13" i="132"/>
  <c r="J9" i="136"/>
  <c r="G9" i="136"/>
  <c r="J25" i="135"/>
  <c r="K10" i="120"/>
  <c r="J11" i="136"/>
  <c r="K38" i="121"/>
  <c r="K23" i="121"/>
  <c r="W23" i="121"/>
  <c r="X23" i="121" s="1"/>
  <c r="J43" i="135"/>
  <c r="J14" i="135"/>
  <c r="J26" i="135"/>
  <c r="I11" i="123"/>
  <c r="K13" i="121"/>
  <c r="J49" i="135"/>
  <c r="J33" i="135"/>
  <c r="J32" i="135"/>
  <c r="J31" i="135"/>
  <c r="J30" i="135"/>
  <c r="J29" i="135"/>
  <c r="J28" i="135"/>
  <c r="J27" i="135"/>
  <c r="J17" i="135"/>
  <c r="J16" i="135"/>
  <c r="J15" i="135"/>
  <c r="K13" i="123"/>
  <c r="A3" i="136"/>
  <c r="W24" i="119"/>
  <c r="W23" i="119" s="1"/>
  <c r="K24" i="119"/>
  <c r="K23" i="119"/>
  <c r="X24" i="119"/>
  <c r="X23" i="119"/>
  <c r="J13" i="135"/>
  <c r="J11" i="135"/>
  <c r="A3" i="132"/>
  <c r="A3" i="133" s="1"/>
  <c r="A3" i="131"/>
  <c r="A3" i="118"/>
  <c r="A3" i="123"/>
  <c r="A3" i="121"/>
  <c r="A3" i="120"/>
  <c r="B3" i="134"/>
  <c r="K12" i="132"/>
  <c r="K27" i="123"/>
  <c r="K22" i="121"/>
  <c r="I8" i="123"/>
  <c r="W27" i="123"/>
  <c r="X27" i="123" s="1"/>
  <c r="K25" i="123"/>
  <c r="K36" i="121"/>
  <c r="K11" i="120"/>
  <c r="K26" i="123"/>
  <c r="K11" i="121"/>
  <c r="K9" i="121"/>
  <c r="K9" i="132"/>
  <c r="K11" i="132"/>
  <c r="J9" i="135"/>
  <c r="J12" i="135"/>
  <c r="K10" i="118"/>
  <c r="K10" i="119"/>
  <c r="K12" i="123"/>
  <c r="K38" i="123"/>
  <c r="K37" i="123" s="1"/>
  <c r="K9" i="120"/>
  <c r="K13" i="119"/>
  <c r="K12" i="119" s="1"/>
  <c r="K10" i="123"/>
  <c r="J10" i="135"/>
  <c r="K10" i="132"/>
  <c r="H50" i="135"/>
  <c r="K12" i="120"/>
  <c r="K9" i="123"/>
  <c r="K8" i="123" s="1"/>
  <c r="K11" i="136"/>
  <c r="K12" i="131"/>
  <c r="K9" i="119"/>
  <c r="K13" i="131"/>
  <c r="K23" i="131"/>
  <c r="K22" i="131"/>
  <c r="K21" i="131"/>
  <c r="K20" i="131"/>
  <c r="K11" i="131"/>
  <c r="K10" i="131"/>
  <c r="K9" i="131"/>
  <c r="R14" i="134"/>
  <c r="N14" i="134"/>
  <c r="L14" i="134"/>
  <c r="M14" i="134"/>
  <c r="P14" i="134"/>
  <c r="O14" i="134"/>
  <c r="J37" i="121"/>
  <c r="Q14" i="134"/>
  <c r="S14" i="134"/>
  <c r="I37" i="121"/>
  <c r="K11" i="118"/>
  <c r="J14" i="118"/>
  <c r="I8" i="119"/>
  <c r="J37" i="123"/>
  <c r="I37" i="123"/>
  <c r="K11" i="119"/>
  <c r="I23" i="132"/>
  <c r="I25" i="131"/>
  <c r="K12" i="118"/>
  <c r="I14" i="118"/>
  <c r="T14" i="134"/>
  <c r="U14" i="134"/>
  <c r="R10" i="133" l="1"/>
  <c r="P10" i="133"/>
  <c r="N10" i="133"/>
  <c r="O10" i="133" s="1"/>
  <c r="Q10" i="133" s="1"/>
  <c r="S10" i="133" s="1"/>
  <c r="T10" i="133"/>
  <c r="R12" i="133"/>
  <c r="P12" i="133"/>
  <c r="N12" i="133"/>
  <c r="O12" i="133" s="1"/>
  <c r="Q12" i="133" s="1"/>
  <c r="S12" i="133" s="1"/>
  <c r="T12" i="133"/>
  <c r="N9" i="133"/>
  <c r="O9" i="133"/>
  <c r="P9" i="133"/>
  <c r="T9" i="133"/>
  <c r="R9" i="133"/>
  <c r="T14" i="133"/>
  <c r="N14" i="133"/>
  <c r="O14" i="133" s="1"/>
  <c r="P14" i="133"/>
  <c r="R11" i="133"/>
  <c r="N11" i="133"/>
  <c r="O11" i="133" s="1"/>
  <c r="P11" i="133"/>
  <c r="T11" i="133"/>
  <c r="L18" i="133"/>
  <c r="P15" i="133"/>
  <c r="R15" i="133"/>
  <c r="T15" i="133"/>
  <c r="N15" i="133"/>
  <c r="O15" i="133" s="1"/>
  <c r="M18" i="133"/>
  <c r="N17" i="133"/>
  <c r="R17" i="133"/>
  <c r="O17" i="133"/>
  <c r="T17" i="133"/>
  <c r="P17" i="133"/>
  <c r="K18" i="133"/>
  <c r="N13" i="133"/>
  <c r="R14" i="133"/>
  <c r="O13" i="133"/>
  <c r="P13" i="133"/>
  <c r="N16" i="133"/>
  <c r="O16" i="133" s="1"/>
  <c r="T13" i="133"/>
  <c r="P16" i="133"/>
  <c r="R16" i="133"/>
  <c r="S12" i="135"/>
  <c r="O12" i="135"/>
  <c r="M12" i="135"/>
  <c r="N12" i="135" s="1"/>
  <c r="P12" i="135" s="1"/>
  <c r="R12" i="135" s="1"/>
  <c r="T12" i="135" s="1"/>
  <c r="Q15" i="135"/>
  <c r="M15" i="135"/>
  <c r="S15" i="135"/>
  <c r="N15" i="135"/>
  <c r="O15" i="135"/>
  <c r="Q30" i="135"/>
  <c r="M30" i="135"/>
  <c r="O30" i="135"/>
  <c r="N30" i="135"/>
  <c r="P30" i="135" s="1"/>
  <c r="R30" i="135" s="1"/>
  <c r="S30" i="135"/>
  <c r="S43" i="135"/>
  <c r="Q47" i="135"/>
  <c r="K50" i="135"/>
  <c r="N47" i="135"/>
  <c r="P47" i="135" s="1"/>
  <c r="R47" i="135" s="1"/>
  <c r="T47" i="135" s="1"/>
  <c r="V47" i="135" s="1"/>
  <c r="W47" i="135" s="1"/>
  <c r="N43" i="135"/>
  <c r="P43" i="135" s="1"/>
  <c r="R43" i="135" s="1"/>
  <c r="T43" i="135" s="1"/>
  <c r="V43" i="135" s="1"/>
  <c r="W43" i="135" s="1"/>
  <c r="M43" i="135"/>
  <c r="O47" i="135"/>
  <c r="M42" i="135"/>
  <c r="J50" i="135"/>
  <c r="N42" i="135"/>
  <c r="Q16" i="135"/>
  <c r="O17" i="135"/>
  <c r="M47" i="135"/>
  <c r="O43" i="135"/>
  <c r="M17" i="135"/>
  <c r="N17" i="135" s="1"/>
  <c r="P17" i="135" s="1"/>
  <c r="R17" i="135" s="1"/>
  <c r="T17" i="135" s="1"/>
  <c r="S44" i="135"/>
  <c r="Q44" i="135"/>
  <c r="O44" i="135"/>
  <c r="M44" i="135"/>
  <c r="N44" i="135"/>
  <c r="P44" i="135" s="1"/>
  <c r="R44" i="135" s="1"/>
  <c r="T44" i="135" s="1"/>
  <c r="S27" i="135"/>
  <c r="O27" i="135"/>
  <c r="M27" i="135"/>
  <c r="N27" i="135" s="1"/>
  <c r="Q27" i="135"/>
  <c r="S26" i="135"/>
  <c r="Q26" i="135"/>
  <c r="M26" i="135"/>
  <c r="N26" i="135" s="1"/>
  <c r="O26" i="135"/>
  <c r="M10" i="135"/>
  <c r="Q10" i="135"/>
  <c r="O10" i="135"/>
  <c r="S10" i="135"/>
  <c r="N10" i="135"/>
  <c r="P10" i="135" s="1"/>
  <c r="R10" i="135" s="1"/>
  <c r="T10" i="135" s="1"/>
  <c r="P42" i="135"/>
  <c r="V25" i="135"/>
  <c r="W25" i="135" s="1"/>
  <c r="U25" i="135"/>
  <c r="X25" i="135" s="1"/>
  <c r="M49" i="135"/>
  <c r="N49" i="135" s="1"/>
  <c r="O49" i="135"/>
  <c r="Q49" i="135"/>
  <c r="S49" i="135"/>
  <c r="L50" i="135"/>
  <c r="Q9" i="135"/>
  <c r="O9" i="135"/>
  <c r="M9" i="135"/>
  <c r="N9" i="135"/>
  <c r="S9" i="135"/>
  <c r="S48" i="135"/>
  <c r="O48" i="135"/>
  <c r="M48" i="135"/>
  <c r="N48" i="135"/>
  <c r="P48" i="135" s="1"/>
  <c r="Q48" i="135"/>
  <c r="S45" i="135"/>
  <c r="Q45" i="135"/>
  <c r="M45" i="135"/>
  <c r="N45" i="135" s="1"/>
  <c r="O45" i="135"/>
  <c r="Q12" i="135"/>
  <c r="Q29" i="135"/>
  <c r="S32" i="135"/>
  <c r="M32" i="135"/>
  <c r="N32" i="135" s="1"/>
  <c r="O16" i="135"/>
  <c r="P16" i="135" s="1"/>
  <c r="S11" i="135"/>
  <c r="O32" i="135"/>
  <c r="S16" i="135"/>
  <c r="M14" i="135"/>
  <c r="N14" i="135" s="1"/>
  <c r="M33" i="135"/>
  <c r="N33" i="135" s="1"/>
  <c r="M11" i="135"/>
  <c r="N11" i="135" s="1"/>
  <c r="S14" i="135"/>
  <c r="Q28" i="135"/>
  <c r="O33" i="135"/>
  <c r="M31" i="135"/>
  <c r="N31" i="135" s="1"/>
  <c r="P31" i="135" s="1"/>
  <c r="R31" i="135" s="1"/>
  <c r="T31" i="135" s="1"/>
  <c r="O11" i="135"/>
  <c r="O14" i="135"/>
  <c r="M46" i="135"/>
  <c r="N46" i="135" s="1"/>
  <c r="P46" i="135" s="1"/>
  <c r="R46" i="135" s="1"/>
  <c r="T46" i="135" s="1"/>
  <c r="M29" i="135"/>
  <c r="N29" i="135" s="1"/>
  <c r="P29" i="135" s="1"/>
  <c r="R29" i="135" s="1"/>
  <c r="S29" i="135"/>
  <c r="Q33" i="135"/>
  <c r="O31" i="135"/>
  <c r="S42" i="135"/>
  <c r="O46" i="135"/>
  <c r="Q31" i="135"/>
  <c r="Q42" i="135"/>
  <c r="Q13" i="135"/>
  <c r="Q46" i="135"/>
  <c r="M28" i="135"/>
  <c r="M13" i="135"/>
  <c r="N13" i="135" s="1"/>
  <c r="P13" i="135" s="1"/>
  <c r="R13" i="135" s="1"/>
  <c r="S13" i="135"/>
  <c r="N28" i="135"/>
  <c r="O28" i="135"/>
  <c r="K23" i="132"/>
  <c r="L23" i="132"/>
  <c r="P21" i="132"/>
  <c r="T21" i="132"/>
  <c r="N21" i="132"/>
  <c r="O21" i="132" s="1"/>
  <c r="Q21" i="132" s="1"/>
  <c r="R21" i="132"/>
  <c r="T12" i="132"/>
  <c r="R12" i="132"/>
  <c r="P12" i="132"/>
  <c r="N12" i="132"/>
  <c r="O12" i="132" s="1"/>
  <c r="Q12" i="132" s="1"/>
  <c r="S12" i="132" s="1"/>
  <c r="U12" i="132" s="1"/>
  <c r="T20" i="132"/>
  <c r="N20" i="132"/>
  <c r="O20" i="132"/>
  <c r="P20" i="132"/>
  <c r="R20" i="132"/>
  <c r="T11" i="132"/>
  <c r="P11" i="132"/>
  <c r="R11" i="132"/>
  <c r="N11" i="132"/>
  <c r="O11" i="132" s="1"/>
  <c r="Q11" i="132" s="1"/>
  <c r="S11" i="132" s="1"/>
  <c r="N9" i="132"/>
  <c r="T10" i="132"/>
  <c r="R13" i="132"/>
  <c r="N10" i="132"/>
  <c r="O10" i="132" s="1"/>
  <c r="Q10" i="132" s="1"/>
  <c r="R9" i="132"/>
  <c r="T9" i="132"/>
  <c r="R10" i="132"/>
  <c r="M23" i="132"/>
  <c r="P13" i="132"/>
  <c r="N13" i="132"/>
  <c r="O13" i="132" s="1"/>
  <c r="Q13" i="132" s="1"/>
  <c r="S13" i="132" s="1"/>
  <c r="U13" i="132" s="1"/>
  <c r="O9" i="136"/>
  <c r="S9" i="136"/>
  <c r="M9" i="136"/>
  <c r="N9" i="136" s="1"/>
  <c r="P9" i="136" s="1"/>
  <c r="Q9" i="136"/>
  <c r="T21" i="131"/>
  <c r="P21" i="131"/>
  <c r="R21" i="131"/>
  <c r="R13" i="131"/>
  <c r="P20" i="131"/>
  <c r="R20" i="131"/>
  <c r="K25" i="131"/>
  <c r="L25" i="131"/>
  <c r="N20" i="131"/>
  <c r="O20" i="131" s="1"/>
  <c r="Q20" i="131" s="1"/>
  <c r="S20" i="131" s="1"/>
  <c r="U20" i="131" s="1"/>
  <c r="M25" i="131"/>
  <c r="R9" i="131"/>
  <c r="P9" i="131"/>
  <c r="N9" i="131"/>
  <c r="O9" i="131"/>
  <c r="T9" i="131"/>
  <c r="R22" i="131"/>
  <c r="P22" i="131"/>
  <c r="N22" i="131"/>
  <c r="O22" i="131" s="1"/>
  <c r="Q22" i="131" s="1"/>
  <c r="S22" i="131" s="1"/>
  <c r="T22" i="131"/>
  <c r="R23" i="131"/>
  <c r="N23" i="131"/>
  <c r="O23" i="131" s="1"/>
  <c r="P23" i="131"/>
  <c r="T23" i="131"/>
  <c r="P11" i="131"/>
  <c r="P13" i="131"/>
  <c r="N21" i="131"/>
  <c r="O21" i="131" s="1"/>
  <c r="Q21" i="131" s="1"/>
  <c r="S21" i="131" s="1"/>
  <c r="U21" i="131" s="1"/>
  <c r="R11" i="131"/>
  <c r="N13" i="131"/>
  <c r="O13" i="131" s="1"/>
  <c r="Q13" i="131" s="1"/>
  <c r="S13" i="131" s="1"/>
  <c r="U13" i="131" s="1"/>
  <c r="N11" i="131"/>
  <c r="O11" i="131" s="1"/>
  <c r="Q11" i="131" s="1"/>
  <c r="S11" i="131" s="1"/>
  <c r="U11" i="131" s="1"/>
  <c r="P10" i="131"/>
  <c r="R10" i="131"/>
  <c r="P12" i="131"/>
  <c r="Q12" i="131" s="1"/>
  <c r="S12" i="131" s="1"/>
  <c r="U12" i="131" s="1"/>
  <c r="N10" i="131"/>
  <c r="O10" i="131" s="1"/>
  <c r="Q10" i="131" s="1"/>
  <c r="S10" i="131" s="1"/>
  <c r="U10" i="131" s="1"/>
  <c r="K14" i="118"/>
  <c r="L14" i="118"/>
  <c r="R11" i="118"/>
  <c r="T11" i="118"/>
  <c r="N11" i="118"/>
  <c r="O11" i="118" s="1"/>
  <c r="P11" i="118"/>
  <c r="R10" i="118"/>
  <c r="R14" i="118" s="1"/>
  <c r="M14" i="118"/>
  <c r="P10" i="118"/>
  <c r="T10" i="118"/>
  <c r="N10" i="118"/>
  <c r="O10" i="118"/>
  <c r="T12" i="118"/>
  <c r="P12" i="118"/>
  <c r="N12" i="118"/>
  <c r="O12" i="118"/>
  <c r="Q12" i="118" s="1"/>
  <c r="S12" i="118" s="1"/>
  <c r="U12" i="118" s="1"/>
  <c r="L8" i="123"/>
  <c r="I60" i="123"/>
  <c r="N11" i="121"/>
  <c r="P11" i="121"/>
  <c r="P23" i="121"/>
  <c r="N23" i="121"/>
  <c r="T23" i="121"/>
  <c r="P26" i="121"/>
  <c r="J40" i="121"/>
  <c r="P24" i="120"/>
  <c r="N34" i="120"/>
  <c r="P34" i="120"/>
  <c r="N11" i="120"/>
  <c r="O11" i="120" s="1"/>
  <c r="Q11" i="120" s="1"/>
  <c r="S11" i="120" s="1"/>
  <c r="U11" i="120" s="1"/>
  <c r="P11" i="120"/>
  <c r="R11" i="120"/>
  <c r="T11" i="120"/>
  <c r="T10" i="120"/>
  <c r="R10" i="120"/>
  <c r="N10" i="120"/>
  <c r="O10" i="120" s="1"/>
  <c r="R9" i="120"/>
  <c r="P9" i="120"/>
  <c r="N9" i="120"/>
  <c r="O9" i="120" s="1"/>
  <c r="Q9" i="120" s="1"/>
  <c r="S9" i="120" s="1"/>
  <c r="T9" i="120"/>
  <c r="T22" i="120"/>
  <c r="P22" i="120"/>
  <c r="N22" i="120"/>
  <c r="O22" i="120"/>
  <c r="Q22" i="120" s="1"/>
  <c r="R22" i="120"/>
  <c r="T25" i="120"/>
  <c r="R25" i="120"/>
  <c r="T21" i="120"/>
  <c r="R21" i="120"/>
  <c r="P21" i="120"/>
  <c r="N21" i="120"/>
  <c r="O21" i="120"/>
  <c r="Q21" i="120" s="1"/>
  <c r="S21" i="120" s="1"/>
  <c r="U21" i="120" s="1"/>
  <c r="T13" i="120"/>
  <c r="R13" i="120"/>
  <c r="P13" i="120"/>
  <c r="N13" i="120"/>
  <c r="O13" i="120"/>
  <c r="Q13" i="120" s="1"/>
  <c r="S13" i="120" s="1"/>
  <c r="U13" i="120" s="1"/>
  <c r="N33" i="120"/>
  <c r="R33" i="120"/>
  <c r="O33" i="120"/>
  <c r="T33" i="120"/>
  <c r="P33" i="120"/>
  <c r="P12" i="120"/>
  <c r="R12" i="120"/>
  <c r="N12" i="120"/>
  <c r="O12" i="120" s="1"/>
  <c r="Q12" i="120" s="1"/>
  <c r="T12" i="120"/>
  <c r="T36" i="120"/>
  <c r="P36" i="120"/>
  <c r="N36" i="120"/>
  <c r="O36" i="120"/>
  <c r="Q36" i="120" s="1"/>
  <c r="R36" i="120"/>
  <c r="P37" i="120"/>
  <c r="R37" i="120"/>
  <c r="T37" i="120"/>
  <c r="N37" i="120"/>
  <c r="O37" i="120" s="1"/>
  <c r="Q37" i="120" s="1"/>
  <c r="S37" i="120" s="1"/>
  <c r="U37" i="120" s="1"/>
  <c r="N23" i="120"/>
  <c r="O23" i="120" s="1"/>
  <c r="Q23" i="120" s="1"/>
  <c r="P10" i="120"/>
  <c r="P25" i="120"/>
  <c r="O25" i="120"/>
  <c r="Q25" i="120" s="1"/>
  <c r="S25" i="120" s="1"/>
  <c r="N35" i="120"/>
  <c r="O35" i="120" s="1"/>
  <c r="P35" i="120"/>
  <c r="T23" i="120"/>
  <c r="R35" i="120"/>
  <c r="O24" i="120"/>
  <c r="Q24" i="120" s="1"/>
  <c r="S24" i="120" s="1"/>
  <c r="U24" i="120" s="1"/>
  <c r="T34" i="120"/>
  <c r="R23" i="120"/>
  <c r="R34" i="120"/>
  <c r="O34" i="120"/>
  <c r="Q34" i="120" s="1"/>
  <c r="P23" i="120"/>
  <c r="J14" i="134"/>
  <c r="I14" i="134"/>
  <c r="T11" i="134"/>
  <c r="R11" i="134"/>
  <c r="N11" i="134"/>
  <c r="O11" i="134" s="1"/>
  <c r="Q11" i="134" s="1"/>
  <c r="P11" i="134"/>
  <c r="N13" i="134"/>
  <c r="O13" i="134" s="1"/>
  <c r="R13" i="134"/>
  <c r="P13" i="134"/>
  <c r="T13" i="134"/>
  <c r="N9" i="134"/>
  <c r="O9" i="134" s="1"/>
  <c r="P9" i="134"/>
  <c r="R9" i="134"/>
  <c r="T9" i="134"/>
  <c r="L26" i="119"/>
  <c r="Y24" i="119"/>
  <c r="Y23" i="119" s="1"/>
  <c r="R9" i="119"/>
  <c r="N9" i="119"/>
  <c r="O9" i="119" s="1"/>
  <c r="R24" i="119"/>
  <c r="I26" i="119"/>
  <c r="T24" i="119"/>
  <c r="P9" i="119"/>
  <c r="N22" i="119"/>
  <c r="O22" i="119" s="1"/>
  <c r="Q22" i="119" s="1"/>
  <c r="S22" i="119" s="1"/>
  <c r="R22" i="119"/>
  <c r="N24" i="119"/>
  <c r="O24" i="119" s="1"/>
  <c r="Q24" i="119" s="1"/>
  <c r="S24" i="119" s="1"/>
  <c r="U24" i="119" s="1"/>
  <c r="T22" i="119"/>
  <c r="J26" i="119"/>
  <c r="R11" i="119"/>
  <c r="N11" i="119"/>
  <c r="O11" i="119" s="1"/>
  <c r="P11" i="119"/>
  <c r="T11" i="119"/>
  <c r="N19" i="119"/>
  <c r="O19" i="119" s="1"/>
  <c r="P19" i="119"/>
  <c r="T19" i="119"/>
  <c r="R19" i="119"/>
  <c r="K21" i="119"/>
  <c r="T13" i="119"/>
  <c r="K8" i="119"/>
  <c r="K26" i="119" s="1"/>
  <c r="T20" i="119"/>
  <c r="N20" i="119"/>
  <c r="O20" i="119" s="1"/>
  <c r="N13" i="119"/>
  <c r="O13" i="119" s="1"/>
  <c r="P20" i="119"/>
  <c r="P13" i="119"/>
  <c r="M10" i="119"/>
  <c r="R33" i="121"/>
  <c r="T33" i="121"/>
  <c r="P33" i="121"/>
  <c r="T11" i="121"/>
  <c r="P36" i="121"/>
  <c r="R36" i="121"/>
  <c r="N36" i="121"/>
  <c r="O36" i="121" s="1"/>
  <c r="T36" i="121"/>
  <c r="I40" i="121"/>
  <c r="R11" i="121"/>
  <c r="N26" i="121"/>
  <c r="O26" i="121" s="1"/>
  <c r="K8" i="121"/>
  <c r="N33" i="121"/>
  <c r="O33" i="121" s="1"/>
  <c r="O23" i="121"/>
  <c r="Q23" i="121" s="1"/>
  <c r="S23" i="121" s="1"/>
  <c r="U23" i="121" s="1"/>
  <c r="V23" i="121" s="1"/>
  <c r="Y23" i="121" s="1"/>
  <c r="R10" i="121"/>
  <c r="P10" i="121"/>
  <c r="N10" i="121"/>
  <c r="O10" i="121" s="1"/>
  <c r="N24" i="121"/>
  <c r="O24" i="121" s="1"/>
  <c r="R24" i="121"/>
  <c r="T24" i="121"/>
  <c r="P24" i="121"/>
  <c r="R13" i="121"/>
  <c r="N13" i="121"/>
  <c r="O13" i="121"/>
  <c r="P13" i="121"/>
  <c r="T13" i="121"/>
  <c r="R20" i="121"/>
  <c r="P20" i="121"/>
  <c r="N20" i="121"/>
  <c r="O20" i="121" s="1"/>
  <c r="Q20" i="121" s="1"/>
  <c r="T20" i="121"/>
  <c r="R21" i="121"/>
  <c r="T21" i="121"/>
  <c r="P21" i="121"/>
  <c r="N21" i="121"/>
  <c r="O21" i="121"/>
  <c r="Q21" i="121" s="1"/>
  <c r="S21" i="121" s="1"/>
  <c r="U21" i="121" s="1"/>
  <c r="N12" i="121"/>
  <c r="O12" i="121" s="1"/>
  <c r="R12" i="121"/>
  <c r="T12" i="121"/>
  <c r="K34" i="121"/>
  <c r="T35" i="121"/>
  <c r="K37" i="121"/>
  <c r="O35" i="121"/>
  <c r="R22" i="121"/>
  <c r="R35" i="121"/>
  <c r="P38" i="121"/>
  <c r="R26" i="121"/>
  <c r="P35" i="121"/>
  <c r="N38" i="121"/>
  <c r="T22" i="121"/>
  <c r="R38" i="121"/>
  <c r="N22" i="121"/>
  <c r="O22" i="121" s="1"/>
  <c r="O11" i="121"/>
  <c r="Q11" i="121" s="1"/>
  <c r="P22" i="121"/>
  <c r="O38" i="121"/>
  <c r="T14" i="120"/>
  <c r="R14" i="120"/>
  <c r="P14" i="120"/>
  <c r="O14" i="120"/>
  <c r="K38" i="120"/>
  <c r="P12" i="121"/>
  <c r="M40" i="121"/>
  <c r="T9" i="121"/>
  <c r="N9" i="121"/>
  <c r="R9" i="121"/>
  <c r="P9" i="121"/>
  <c r="L40" i="121"/>
  <c r="B18" i="132"/>
  <c r="P26" i="120"/>
  <c r="R26" i="120"/>
  <c r="N26" i="120"/>
  <c r="T26" i="120"/>
  <c r="M38" i="120"/>
  <c r="L38" i="120"/>
  <c r="P57" i="123"/>
  <c r="N57" i="123"/>
  <c r="O57" i="123" s="1"/>
  <c r="Q57" i="123" s="1"/>
  <c r="T57" i="123"/>
  <c r="R57" i="123"/>
  <c r="L24" i="123"/>
  <c r="K14" i="123"/>
  <c r="T55" i="123"/>
  <c r="R55" i="123"/>
  <c r="P55" i="123"/>
  <c r="N55" i="123"/>
  <c r="O55" i="123"/>
  <c r="Q55" i="123" s="1"/>
  <c r="T56" i="123"/>
  <c r="R56" i="123"/>
  <c r="P56" i="123"/>
  <c r="N56" i="123"/>
  <c r="O56" i="123" s="1"/>
  <c r="Q56" i="123" s="1"/>
  <c r="M9" i="123"/>
  <c r="T9" i="123" s="1"/>
  <c r="T15" i="123"/>
  <c r="T14" i="123" s="1"/>
  <c r="M14" i="123"/>
  <c r="R41" i="123"/>
  <c r="N41" i="123"/>
  <c r="O41" i="123"/>
  <c r="P41" i="123"/>
  <c r="T23" i="123"/>
  <c r="N9" i="123"/>
  <c r="O9" i="123" s="1"/>
  <c r="K24" i="123"/>
  <c r="P12" i="123"/>
  <c r="P23" i="123"/>
  <c r="J60" i="123"/>
  <c r="L14" i="123"/>
  <c r="L60" i="123" s="1"/>
  <c r="R54" i="123"/>
  <c r="P54" i="123"/>
  <c r="T54" i="123"/>
  <c r="N54" i="123"/>
  <c r="O54" i="123" s="1"/>
  <c r="K39" i="123"/>
  <c r="P52" i="123"/>
  <c r="N52" i="123"/>
  <c r="O52" i="123" s="1"/>
  <c r="Q52" i="123" s="1"/>
  <c r="R52" i="123"/>
  <c r="T52" i="123"/>
  <c r="R23" i="123"/>
  <c r="T41" i="123"/>
  <c r="K11" i="123"/>
  <c r="T38" i="123"/>
  <c r="O58" i="123"/>
  <c r="O23" i="123"/>
  <c r="P9" i="123"/>
  <c r="N53" i="123"/>
  <c r="O53" i="123" s="1"/>
  <c r="P53" i="123"/>
  <c r="T53" i="123"/>
  <c r="N10" i="123"/>
  <c r="N8" i="123" s="1"/>
  <c r="O10" i="123"/>
  <c r="R10" i="123"/>
  <c r="T10" i="123"/>
  <c r="P10" i="123"/>
  <c r="T13" i="123"/>
  <c r="P13" i="123"/>
  <c r="N13" i="123"/>
  <c r="O13" i="123" s="1"/>
  <c r="Q13" i="123" s="1"/>
  <c r="R13" i="123"/>
  <c r="T27" i="123"/>
  <c r="N27" i="123"/>
  <c r="O27" i="123" s="1"/>
  <c r="R27" i="123"/>
  <c r="P27" i="123"/>
  <c r="R43" i="123"/>
  <c r="N43" i="123"/>
  <c r="O43" i="123" s="1"/>
  <c r="T43" i="123"/>
  <c r="P43" i="123"/>
  <c r="N40" i="123"/>
  <c r="O40" i="123"/>
  <c r="P40" i="123"/>
  <c r="R40" i="123"/>
  <c r="T40" i="123"/>
  <c r="P38" i="123"/>
  <c r="P26" i="123"/>
  <c r="N26" i="123"/>
  <c r="O26" i="123" s="1"/>
  <c r="Q26" i="123" s="1"/>
  <c r="S26" i="123" s="1"/>
  <c r="R25" i="123"/>
  <c r="R38" i="123"/>
  <c r="T42" i="123"/>
  <c r="T29" i="123"/>
  <c r="R12" i="123"/>
  <c r="N15" i="123"/>
  <c r="N14" i="123" s="1"/>
  <c r="R42" i="123"/>
  <c r="R15" i="123"/>
  <c r="R14" i="123" s="1"/>
  <c r="P42" i="123"/>
  <c r="T58" i="123"/>
  <c r="T26" i="123"/>
  <c r="P15" i="123"/>
  <c r="P14" i="123" s="1"/>
  <c r="N12" i="123"/>
  <c r="O12" i="123" s="1"/>
  <c r="N29" i="123"/>
  <c r="O29" i="123" s="1"/>
  <c r="Q29" i="123" s="1"/>
  <c r="O42" i="123"/>
  <c r="R29" i="123"/>
  <c r="P25" i="123"/>
  <c r="R58" i="123"/>
  <c r="P58" i="123"/>
  <c r="M24" i="123"/>
  <c r="N25" i="123"/>
  <c r="O25" i="123" s="1"/>
  <c r="O38" i="123"/>
  <c r="Q11" i="133" l="1"/>
  <c r="Q14" i="133"/>
  <c r="U12" i="133"/>
  <c r="P18" i="133"/>
  <c r="S14" i="133"/>
  <c r="U14" i="133" s="1"/>
  <c r="U10" i="133"/>
  <c r="Q9" i="133"/>
  <c r="S9" i="133" s="1"/>
  <c r="U9" i="133" s="1"/>
  <c r="Q16" i="133"/>
  <c r="S16" i="133" s="1"/>
  <c r="U16" i="133" s="1"/>
  <c r="V16" i="133" s="1"/>
  <c r="W16" i="133"/>
  <c r="X16" i="133" s="1"/>
  <c r="Q15" i="133"/>
  <c r="S15" i="133" s="1"/>
  <c r="U15" i="133" s="1"/>
  <c r="O18" i="133"/>
  <c r="W14" i="133"/>
  <c r="X14" i="133" s="1"/>
  <c r="V14" i="133"/>
  <c r="Q17" i="133"/>
  <c r="S17" i="133" s="1"/>
  <c r="U17" i="133" s="1"/>
  <c r="V17" i="133" s="1"/>
  <c r="Y17" i="133" s="1"/>
  <c r="N18" i="133"/>
  <c r="S11" i="133"/>
  <c r="R18" i="133"/>
  <c r="T18" i="133"/>
  <c r="Q13" i="133"/>
  <c r="S13" i="133" s="1"/>
  <c r="U13" i="133" s="1"/>
  <c r="U17" i="135"/>
  <c r="V17" i="135"/>
  <c r="W17" i="135" s="1"/>
  <c r="U47" i="135"/>
  <c r="X47" i="135" s="1"/>
  <c r="P15" i="135"/>
  <c r="R15" i="135" s="1"/>
  <c r="T15" i="135" s="1"/>
  <c r="P49" i="135"/>
  <c r="R49" i="135" s="1"/>
  <c r="T49" i="135" s="1"/>
  <c r="P45" i="135"/>
  <c r="R45" i="135" s="1"/>
  <c r="T45" i="135" s="1"/>
  <c r="P11" i="135"/>
  <c r="R11" i="135" s="1"/>
  <c r="T11" i="135" s="1"/>
  <c r="P14" i="135"/>
  <c r="R14" i="135" s="1"/>
  <c r="T14" i="135" s="1"/>
  <c r="R16" i="135"/>
  <c r="T16" i="135" s="1"/>
  <c r="U16" i="135" s="1"/>
  <c r="P32" i="135"/>
  <c r="R32" i="135" s="1"/>
  <c r="T32" i="135" s="1"/>
  <c r="U32" i="135" s="1"/>
  <c r="T30" i="135"/>
  <c r="T13" i="135"/>
  <c r="P33" i="135"/>
  <c r="R33" i="135" s="1"/>
  <c r="T33" i="135" s="1"/>
  <c r="V33" i="135" s="1"/>
  <c r="W33" i="135" s="1"/>
  <c r="P26" i="135"/>
  <c r="R26" i="135" s="1"/>
  <c r="T26" i="135" s="1"/>
  <c r="U43" i="135"/>
  <c r="X43" i="135" s="1"/>
  <c r="P27" i="135"/>
  <c r="R27" i="135" s="1"/>
  <c r="T27" i="135" s="1"/>
  <c r="V27" i="135" s="1"/>
  <c r="W27" i="135" s="1"/>
  <c r="V13" i="135"/>
  <c r="W13" i="135" s="1"/>
  <c r="U13" i="135"/>
  <c r="X13" i="135" s="1"/>
  <c r="V26" i="135"/>
  <c r="W26" i="135" s="1"/>
  <c r="U26" i="135"/>
  <c r="X26" i="135" s="1"/>
  <c r="U46" i="135"/>
  <c r="V46" i="135"/>
  <c r="W46" i="135" s="1"/>
  <c r="V14" i="135"/>
  <c r="W14" i="135" s="1"/>
  <c r="U14" i="135"/>
  <c r="X14" i="135" s="1"/>
  <c r="U45" i="135"/>
  <c r="V45" i="135"/>
  <c r="W45" i="135" s="1"/>
  <c r="V11" i="135"/>
  <c r="W11" i="135" s="1"/>
  <c r="U11" i="135"/>
  <c r="X11" i="135" s="1"/>
  <c r="V49" i="135"/>
  <c r="W49" i="135" s="1"/>
  <c r="U49" i="135"/>
  <c r="X49" i="135" s="1"/>
  <c r="V31" i="135"/>
  <c r="W31" i="135" s="1"/>
  <c r="U31" i="135"/>
  <c r="X31" i="135" s="1"/>
  <c r="V10" i="135"/>
  <c r="W10" i="135" s="1"/>
  <c r="U10" i="135"/>
  <c r="X10" i="135" s="1"/>
  <c r="S50" i="135"/>
  <c r="P28" i="135"/>
  <c r="R28" i="135" s="1"/>
  <c r="T28" i="135" s="1"/>
  <c r="P9" i="135"/>
  <c r="N50" i="135"/>
  <c r="V12" i="135"/>
  <c r="W12" i="135" s="1"/>
  <c r="U12" i="135"/>
  <c r="X12" i="135" s="1"/>
  <c r="M50" i="135"/>
  <c r="T29" i="135"/>
  <c r="U44" i="135"/>
  <c r="V44" i="135"/>
  <c r="W44" i="135" s="1"/>
  <c r="O50" i="135"/>
  <c r="R48" i="135"/>
  <c r="T48" i="135" s="1"/>
  <c r="R42" i="135"/>
  <c r="T42" i="135" s="1"/>
  <c r="Q50" i="135"/>
  <c r="S21" i="132"/>
  <c r="U21" i="132" s="1"/>
  <c r="V21" i="132" s="1"/>
  <c r="Y21" i="132" s="1"/>
  <c r="P23" i="132"/>
  <c r="S10" i="132"/>
  <c r="U10" i="132" s="1"/>
  <c r="V12" i="132"/>
  <c r="W12" i="132"/>
  <c r="X12" i="132" s="1"/>
  <c r="V10" i="132"/>
  <c r="W10" i="132"/>
  <c r="X10" i="132" s="1"/>
  <c r="W13" i="132"/>
  <c r="X13" i="132" s="1"/>
  <c r="V13" i="132"/>
  <c r="R23" i="132"/>
  <c r="U11" i="132"/>
  <c r="T23" i="132"/>
  <c r="Q20" i="132"/>
  <c r="S20" i="132" s="1"/>
  <c r="U20" i="132" s="1"/>
  <c r="N23" i="132"/>
  <c r="O9" i="132"/>
  <c r="R9" i="136"/>
  <c r="T9" i="136" s="1"/>
  <c r="V9" i="136"/>
  <c r="U9" i="136"/>
  <c r="U22" i="131"/>
  <c r="Q23" i="131"/>
  <c r="S23" i="131" s="1"/>
  <c r="U23" i="131" s="1"/>
  <c r="W20" i="131"/>
  <c r="X20" i="131" s="1"/>
  <c r="V20" i="131"/>
  <c r="W23" i="131"/>
  <c r="X23" i="131" s="1"/>
  <c r="V23" i="131"/>
  <c r="Y23" i="131" s="1"/>
  <c r="W10" i="131"/>
  <c r="X10" i="131" s="1"/>
  <c r="V10" i="131"/>
  <c r="V11" i="131"/>
  <c r="W11" i="131"/>
  <c r="X11" i="131" s="1"/>
  <c r="V13" i="131"/>
  <c r="W13" i="131"/>
  <c r="X13" i="131" s="1"/>
  <c r="V22" i="131"/>
  <c r="W22" i="131"/>
  <c r="X22" i="131" s="1"/>
  <c r="N25" i="131"/>
  <c r="V12" i="131"/>
  <c r="W12" i="131"/>
  <c r="X12" i="131" s="1"/>
  <c r="P25" i="131"/>
  <c r="Y20" i="131"/>
  <c r="O25" i="131"/>
  <c r="Q9" i="131"/>
  <c r="V21" i="131"/>
  <c r="W21" i="131"/>
  <c r="X21" i="131" s="1"/>
  <c r="R25" i="131"/>
  <c r="T25" i="131"/>
  <c r="Q11" i="118"/>
  <c r="S11" i="118" s="1"/>
  <c r="U11" i="118" s="1"/>
  <c r="V11" i="118"/>
  <c r="W11" i="118"/>
  <c r="X11" i="118" s="1"/>
  <c r="Q10" i="118"/>
  <c r="O14" i="118"/>
  <c r="V12" i="118"/>
  <c r="W12" i="118"/>
  <c r="X12" i="118" s="1"/>
  <c r="N14" i="118"/>
  <c r="P14" i="118"/>
  <c r="T14" i="118"/>
  <c r="M8" i="123"/>
  <c r="S13" i="123"/>
  <c r="S57" i="123"/>
  <c r="U57" i="123" s="1"/>
  <c r="P8" i="123"/>
  <c r="T8" i="123"/>
  <c r="Q26" i="121"/>
  <c r="Q38" i="121"/>
  <c r="S38" i="121" s="1"/>
  <c r="U38" i="121" s="1"/>
  <c r="Q36" i="121"/>
  <c r="S36" i="121" s="1"/>
  <c r="Q33" i="121"/>
  <c r="S33" i="121" s="1"/>
  <c r="U33" i="121" s="1"/>
  <c r="U25" i="120"/>
  <c r="S23" i="120"/>
  <c r="U23" i="120" s="1"/>
  <c r="S12" i="120"/>
  <c r="S34" i="120"/>
  <c r="U34" i="120" s="1"/>
  <c r="V34" i="120" s="1"/>
  <c r="U9" i="120"/>
  <c r="Q10" i="120"/>
  <c r="S10" i="120" s="1"/>
  <c r="U10" i="120" s="1"/>
  <c r="W10" i="120" s="1"/>
  <c r="X10" i="120" s="1"/>
  <c r="S22" i="120"/>
  <c r="U22" i="120" s="1"/>
  <c r="U12" i="120"/>
  <c r="Q35" i="120"/>
  <c r="S35" i="120" s="1"/>
  <c r="U35" i="120" s="1"/>
  <c r="W35" i="120"/>
  <c r="X35" i="120" s="1"/>
  <c r="V35" i="120"/>
  <c r="Y35" i="120" s="1"/>
  <c r="W12" i="120"/>
  <c r="X12" i="120" s="1"/>
  <c r="V12" i="120"/>
  <c r="W37" i="120"/>
  <c r="X37" i="120" s="1"/>
  <c r="V37" i="120"/>
  <c r="Y37" i="120" s="1"/>
  <c r="V13" i="120"/>
  <c r="W13" i="120"/>
  <c r="X13" i="120" s="1"/>
  <c r="V21" i="120"/>
  <c r="W21" i="120"/>
  <c r="X21" i="120" s="1"/>
  <c r="N38" i="120"/>
  <c r="W24" i="120"/>
  <c r="X24" i="120" s="1"/>
  <c r="V24" i="120"/>
  <c r="Y24" i="120" s="1"/>
  <c r="V11" i="120"/>
  <c r="W11" i="120"/>
  <c r="X11" i="120" s="1"/>
  <c r="W9" i="120"/>
  <c r="X9" i="120" s="1"/>
  <c r="V9" i="120"/>
  <c r="S36" i="120"/>
  <c r="U36" i="120" s="1"/>
  <c r="V25" i="120"/>
  <c r="W25" i="120"/>
  <c r="X25" i="120" s="1"/>
  <c r="V23" i="120"/>
  <c r="W23" i="120"/>
  <c r="X23" i="120" s="1"/>
  <c r="Y23" i="120" s="1"/>
  <c r="Q33" i="120"/>
  <c r="S33" i="120" s="1"/>
  <c r="U33" i="120" s="1"/>
  <c r="Q9" i="134"/>
  <c r="S11" i="134"/>
  <c r="U11" i="134" s="1"/>
  <c r="V11" i="134"/>
  <c r="W11" i="134"/>
  <c r="Q13" i="134"/>
  <c r="S13" i="134" s="1"/>
  <c r="U13" i="134" s="1"/>
  <c r="S9" i="134"/>
  <c r="U9" i="134" s="1"/>
  <c r="W9" i="134"/>
  <c r="V9" i="134"/>
  <c r="W13" i="134"/>
  <c r="V13" i="134"/>
  <c r="X11" i="134"/>
  <c r="X10" i="134" s="1"/>
  <c r="W10" i="134"/>
  <c r="Y11" i="134"/>
  <c r="Y10" i="134" s="1"/>
  <c r="V10" i="134"/>
  <c r="Q9" i="119"/>
  <c r="Q19" i="119"/>
  <c r="S19" i="119" s="1"/>
  <c r="U19" i="119" s="1"/>
  <c r="U22" i="119"/>
  <c r="V22" i="119" s="1"/>
  <c r="Q11" i="119"/>
  <c r="S11" i="119" s="1"/>
  <c r="U11" i="119" s="1"/>
  <c r="Q20" i="119"/>
  <c r="S20" i="119" s="1"/>
  <c r="U20" i="119" s="1"/>
  <c r="Q13" i="119"/>
  <c r="S13" i="119" s="1"/>
  <c r="U13" i="119" s="1"/>
  <c r="W13" i="119"/>
  <c r="V13" i="119"/>
  <c r="W20" i="119"/>
  <c r="X20" i="119" s="1"/>
  <c r="V20" i="119"/>
  <c r="V19" i="119"/>
  <c r="W19" i="119"/>
  <c r="W11" i="119"/>
  <c r="X11" i="119" s="1"/>
  <c r="V11" i="119"/>
  <c r="M26" i="119"/>
  <c r="P10" i="119"/>
  <c r="P26" i="119" s="1"/>
  <c r="N10" i="119"/>
  <c r="N26" i="119" s="1"/>
  <c r="T10" i="119"/>
  <c r="T26" i="119" s="1"/>
  <c r="R10" i="119"/>
  <c r="R26" i="119" s="1"/>
  <c r="W22" i="119"/>
  <c r="S9" i="119"/>
  <c r="Q12" i="121"/>
  <c r="S20" i="121"/>
  <c r="V33" i="121"/>
  <c r="V32" i="121" s="1"/>
  <c r="W33" i="121"/>
  <c r="X33" i="121" s="1"/>
  <c r="X32" i="121" s="1"/>
  <c r="S12" i="121"/>
  <c r="U12" i="121" s="1"/>
  <c r="W12" i="121" s="1"/>
  <c r="X12" i="121" s="1"/>
  <c r="U36" i="121"/>
  <c r="U20" i="121"/>
  <c r="W20" i="121" s="1"/>
  <c r="X20" i="121" s="1"/>
  <c r="S11" i="121"/>
  <c r="U11" i="121" s="1"/>
  <c r="V11" i="121" s="1"/>
  <c r="Q22" i="121"/>
  <c r="S22" i="121" s="1"/>
  <c r="U22" i="121" s="1"/>
  <c r="V22" i="121" s="1"/>
  <c r="S26" i="121"/>
  <c r="U26" i="121" s="1"/>
  <c r="V26" i="121" s="1"/>
  <c r="K40" i="121"/>
  <c r="Q24" i="121"/>
  <c r="S24" i="121" s="1"/>
  <c r="U24" i="121" s="1"/>
  <c r="V24" i="121" s="1"/>
  <c r="Q10" i="121"/>
  <c r="S10" i="121" s="1"/>
  <c r="U10" i="121" s="1"/>
  <c r="W26" i="121"/>
  <c r="X26" i="121" s="1"/>
  <c r="R40" i="121"/>
  <c r="W21" i="121"/>
  <c r="X21" i="121" s="1"/>
  <c r="V21" i="121"/>
  <c r="Q35" i="121"/>
  <c r="S35" i="121" s="1"/>
  <c r="U35" i="121" s="1"/>
  <c r="P40" i="121"/>
  <c r="V38" i="121"/>
  <c r="W38" i="121"/>
  <c r="Q13" i="121"/>
  <c r="S13" i="121" s="1"/>
  <c r="U13" i="121" s="1"/>
  <c r="T40" i="121"/>
  <c r="N40" i="121"/>
  <c r="P38" i="120"/>
  <c r="T38" i="120"/>
  <c r="R38" i="120"/>
  <c r="Q14" i="120"/>
  <c r="S14" i="120" s="1"/>
  <c r="U14" i="120" s="1"/>
  <c r="V14" i="120" s="1"/>
  <c r="O9" i="121"/>
  <c r="O26" i="120"/>
  <c r="W57" i="123"/>
  <c r="X57" i="123" s="1"/>
  <c r="V57" i="123"/>
  <c r="S56" i="123"/>
  <c r="U56" i="123" s="1"/>
  <c r="Q58" i="123"/>
  <c r="S58" i="123" s="1"/>
  <c r="U58" i="123" s="1"/>
  <c r="V58" i="123" s="1"/>
  <c r="R9" i="123"/>
  <c r="R8" i="123" s="1"/>
  <c r="Q12" i="123"/>
  <c r="S12" i="123" s="1"/>
  <c r="U12" i="123" s="1"/>
  <c r="Q54" i="123"/>
  <c r="S54" i="123" s="1"/>
  <c r="U54" i="123" s="1"/>
  <c r="W54" i="123" s="1"/>
  <c r="X54" i="123" s="1"/>
  <c r="S55" i="123"/>
  <c r="U55" i="123" s="1"/>
  <c r="W56" i="123"/>
  <c r="X56" i="123" s="1"/>
  <c r="V56" i="123"/>
  <c r="K60" i="123"/>
  <c r="S29" i="123"/>
  <c r="U29" i="123" s="1"/>
  <c r="V29" i="123" s="1"/>
  <c r="Q9" i="123"/>
  <c r="S9" i="123" s="1"/>
  <c r="O8" i="123"/>
  <c r="U26" i="123"/>
  <c r="V26" i="123" s="1"/>
  <c r="Q41" i="123"/>
  <c r="S41" i="123" s="1"/>
  <c r="Q23" i="123"/>
  <c r="S23" i="123" s="1"/>
  <c r="U23" i="123" s="1"/>
  <c r="Q42" i="123"/>
  <c r="S42" i="123" s="1"/>
  <c r="U42" i="123" s="1"/>
  <c r="Q38" i="123"/>
  <c r="S38" i="123" s="1"/>
  <c r="U38" i="123" s="1"/>
  <c r="Q40" i="123"/>
  <c r="S40" i="123" s="1"/>
  <c r="U40" i="123" s="1"/>
  <c r="Q53" i="123"/>
  <c r="S53" i="123" s="1"/>
  <c r="U53" i="123" s="1"/>
  <c r="V53" i="123" s="1"/>
  <c r="Q43" i="123"/>
  <c r="S43" i="123" s="1"/>
  <c r="U43" i="123" s="1"/>
  <c r="W43" i="123" s="1"/>
  <c r="X43" i="123" s="1"/>
  <c r="U41" i="123"/>
  <c r="Q27" i="123"/>
  <c r="S27" i="123" s="1"/>
  <c r="U27" i="123" s="1"/>
  <c r="V27" i="123" s="1"/>
  <c r="Y27" i="123" s="1"/>
  <c r="T24" i="123"/>
  <c r="T60" i="123" s="1"/>
  <c r="U13" i="123"/>
  <c r="V13" i="123" s="1"/>
  <c r="Y13" i="123" s="1"/>
  <c r="S52" i="123"/>
  <c r="U52" i="123" s="1"/>
  <c r="Q25" i="123"/>
  <c r="O24" i="123"/>
  <c r="O15" i="123"/>
  <c r="R24" i="123"/>
  <c r="P24" i="123"/>
  <c r="M60" i="123"/>
  <c r="Q10" i="123"/>
  <c r="S10" i="123" s="1"/>
  <c r="U10" i="123" s="1"/>
  <c r="N24" i="123"/>
  <c r="N60" i="123" s="1"/>
  <c r="Y14" i="133" l="1"/>
  <c r="W10" i="133"/>
  <c r="X10" i="133" s="1"/>
  <c r="V10" i="133"/>
  <c r="V9" i="133"/>
  <c r="W9" i="133"/>
  <c r="X9" i="133" s="1"/>
  <c r="W12" i="133"/>
  <c r="X12" i="133" s="1"/>
  <c r="V12" i="133"/>
  <c r="V13" i="133"/>
  <c r="W13" i="133"/>
  <c r="X13" i="133" s="1"/>
  <c r="Y9" i="133"/>
  <c r="Q18" i="133"/>
  <c r="V15" i="133"/>
  <c r="W15" i="133"/>
  <c r="X15" i="133" s="1"/>
  <c r="S18" i="133"/>
  <c r="U11" i="133"/>
  <c r="Y16" i="133"/>
  <c r="U15" i="135"/>
  <c r="V15" i="135"/>
  <c r="W15" i="135" s="1"/>
  <c r="X15" i="135" s="1"/>
  <c r="U30" i="135"/>
  <c r="V30" i="135"/>
  <c r="W30" i="135" s="1"/>
  <c r="V32" i="135"/>
  <c r="W32" i="135" s="1"/>
  <c r="X32" i="135" s="1"/>
  <c r="U33" i="135"/>
  <c r="U27" i="135"/>
  <c r="V16" i="135"/>
  <c r="W16" i="135" s="1"/>
  <c r="X17" i="135"/>
  <c r="U42" i="135"/>
  <c r="V42" i="135"/>
  <c r="W42" i="135" s="1"/>
  <c r="U29" i="135"/>
  <c r="V29" i="135"/>
  <c r="W29" i="135" s="1"/>
  <c r="X33" i="135"/>
  <c r="P50" i="135"/>
  <c r="R9" i="135"/>
  <c r="X27" i="135"/>
  <c r="V48" i="135"/>
  <c r="W48" i="135" s="1"/>
  <c r="U48" i="135"/>
  <c r="X16" i="135"/>
  <c r="X45" i="135"/>
  <c r="X44" i="135"/>
  <c r="X46" i="135"/>
  <c r="U28" i="135"/>
  <c r="V28" i="135"/>
  <c r="W28" i="135" s="1"/>
  <c r="Y13" i="132"/>
  <c r="O23" i="132"/>
  <c r="Q9" i="132"/>
  <c r="V11" i="132"/>
  <c r="W11" i="132"/>
  <c r="X11" i="132" s="1"/>
  <c r="Y10" i="132"/>
  <c r="V20" i="132"/>
  <c r="W20" i="132"/>
  <c r="X20" i="132" s="1"/>
  <c r="Y12" i="132"/>
  <c r="U11" i="136"/>
  <c r="W9" i="136"/>
  <c r="W11" i="136" s="1"/>
  <c r="V11" i="136"/>
  <c r="Y21" i="131"/>
  <c r="Y12" i="131"/>
  <c r="Q25" i="131"/>
  <c r="S9" i="131"/>
  <c r="Y22" i="131"/>
  <c r="Y10" i="131"/>
  <c r="Y13" i="131"/>
  <c r="Y11" i="131"/>
  <c r="Y12" i="118"/>
  <c r="Q14" i="118"/>
  <c r="S10" i="118"/>
  <c r="Y11" i="118"/>
  <c r="V54" i="123"/>
  <c r="Q8" i="123"/>
  <c r="Y56" i="123"/>
  <c r="P60" i="123"/>
  <c r="V20" i="121"/>
  <c r="V12" i="121"/>
  <c r="Y12" i="121" s="1"/>
  <c r="W11" i="121"/>
  <c r="X11" i="121" s="1"/>
  <c r="Y11" i="121" s="1"/>
  <c r="W22" i="121"/>
  <c r="X22" i="121" s="1"/>
  <c r="Y22" i="121" s="1"/>
  <c r="W24" i="121"/>
  <c r="X24" i="121" s="1"/>
  <c r="V10" i="120"/>
  <c r="Y10" i="120" s="1"/>
  <c r="W34" i="120"/>
  <c r="X34" i="120" s="1"/>
  <c r="Y12" i="120"/>
  <c r="Y34" i="120"/>
  <c r="V22" i="120"/>
  <c r="W22" i="120"/>
  <c r="X22" i="120" s="1"/>
  <c r="Y11" i="120"/>
  <c r="W33" i="120"/>
  <c r="X33" i="120" s="1"/>
  <c r="V33" i="120"/>
  <c r="Y21" i="120"/>
  <c r="Y13" i="120"/>
  <c r="V36" i="120"/>
  <c r="W36" i="120"/>
  <c r="X36" i="120" s="1"/>
  <c r="Y25" i="120"/>
  <c r="W14" i="120"/>
  <c r="X14" i="120" s="1"/>
  <c r="Y14" i="120" s="1"/>
  <c r="Y9" i="120"/>
  <c r="W12" i="134"/>
  <c r="X13" i="134"/>
  <c r="X12" i="134" s="1"/>
  <c r="X14" i="134" s="1"/>
  <c r="V12" i="134"/>
  <c r="V14" i="134" s="1"/>
  <c r="Y13" i="134"/>
  <c r="Y12" i="134" s="1"/>
  <c r="Y14" i="134" s="1"/>
  <c r="V8" i="134"/>
  <c r="W14" i="134"/>
  <c r="X9" i="134"/>
  <c r="X8" i="134" s="1"/>
  <c r="W8" i="134"/>
  <c r="Y11" i="119"/>
  <c r="Y20" i="119"/>
  <c r="O10" i="119"/>
  <c r="U9" i="119"/>
  <c r="V18" i="119"/>
  <c r="V21" i="119"/>
  <c r="W18" i="119"/>
  <c r="X19" i="119"/>
  <c r="X18" i="119" s="1"/>
  <c r="V12" i="119"/>
  <c r="W21" i="119"/>
  <c r="X22" i="119"/>
  <c r="X21" i="119" s="1"/>
  <c r="X13" i="119"/>
  <c r="X12" i="119" s="1"/>
  <c r="W12" i="119"/>
  <c r="Y21" i="121"/>
  <c r="Y26" i="121"/>
  <c r="W32" i="121"/>
  <c r="V10" i="121"/>
  <c r="W10" i="121"/>
  <c r="X10" i="121" s="1"/>
  <c r="W36" i="121"/>
  <c r="X36" i="121" s="1"/>
  <c r="V36" i="121"/>
  <c r="X38" i="121"/>
  <c r="X37" i="121" s="1"/>
  <c r="W37" i="121"/>
  <c r="Y20" i="121"/>
  <c r="Y24" i="121"/>
  <c r="V13" i="121"/>
  <c r="W13" i="121"/>
  <c r="X13" i="121" s="1"/>
  <c r="W35" i="121"/>
  <c r="V35" i="121"/>
  <c r="Y33" i="121"/>
  <c r="Y32" i="121" s="1"/>
  <c r="V37" i="121"/>
  <c r="O40" i="121"/>
  <c r="Q9" i="121"/>
  <c r="Q26" i="120"/>
  <c r="O38" i="120"/>
  <c r="Y57" i="123"/>
  <c r="W26" i="123"/>
  <c r="X26" i="123" s="1"/>
  <c r="Y26" i="123" s="1"/>
  <c r="W53" i="123"/>
  <c r="X53" i="123" s="1"/>
  <c r="Y53" i="123" s="1"/>
  <c r="W29" i="123"/>
  <c r="W55" i="123"/>
  <c r="X55" i="123" s="1"/>
  <c r="V55" i="123"/>
  <c r="V43" i="123"/>
  <c r="Y43" i="123" s="1"/>
  <c r="V23" i="123"/>
  <c r="W23" i="123"/>
  <c r="R60" i="123"/>
  <c r="W58" i="123"/>
  <c r="X58" i="123" s="1"/>
  <c r="Y58" i="123" s="1"/>
  <c r="Y54" i="123"/>
  <c r="V52" i="123"/>
  <c r="W52" i="123"/>
  <c r="X52" i="123" s="1"/>
  <c r="W41" i="123"/>
  <c r="X41" i="123" s="1"/>
  <c r="V41" i="123"/>
  <c r="S8" i="123"/>
  <c r="U9" i="123"/>
  <c r="V10" i="123"/>
  <c r="W10" i="123"/>
  <c r="X10" i="123" s="1"/>
  <c r="V38" i="123"/>
  <c r="W38" i="123"/>
  <c r="V40" i="123"/>
  <c r="W40" i="123"/>
  <c r="O14" i="123"/>
  <c r="O60" i="123" s="1"/>
  <c r="Q15" i="123"/>
  <c r="S25" i="123"/>
  <c r="Q24" i="123"/>
  <c r="W28" i="123"/>
  <c r="X29" i="123"/>
  <c r="X28" i="123" s="1"/>
  <c r="V42" i="123"/>
  <c r="W42" i="123"/>
  <c r="X42" i="123" s="1"/>
  <c r="V12" i="123"/>
  <c r="W12" i="123"/>
  <c r="V28" i="123"/>
  <c r="Y12" i="133" l="1"/>
  <c r="Y10" i="133"/>
  <c r="W11" i="133"/>
  <c r="U18" i="133"/>
  <c r="V11" i="133"/>
  <c r="Y15" i="133"/>
  <c r="Y13" i="133"/>
  <c r="X30" i="135"/>
  <c r="X48" i="135"/>
  <c r="R50" i="135"/>
  <c r="T9" i="135"/>
  <c r="X29" i="135"/>
  <c r="X28" i="135"/>
  <c r="X42" i="135"/>
  <c r="Y20" i="132"/>
  <c r="Q23" i="132"/>
  <c r="S9" i="132"/>
  <c r="Y11" i="132"/>
  <c r="X9" i="136"/>
  <c r="X11" i="136" s="1"/>
  <c r="U9" i="131"/>
  <c r="S25" i="131"/>
  <c r="U10" i="118"/>
  <c r="S14" i="118"/>
  <c r="Y55" i="123"/>
  <c r="Y41" i="123"/>
  <c r="Y36" i="121"/>
  <c r="Y38" i="121"/>
  <c r="Y37" i="121" s="1"/>
  <c r="Y33" i="120"/>
  <c r="Y36" i="120"/>
  <c r="Y22" i="120"/>
  <c r="Y9" i="134"/>
  <c r="Y8" i="134" s="1"/>
  <c r="Y22" i="119"/>
  <c r="Y21" i="119" s="1"/>
  <c r="Y13" i="119"/>
  <c r="Y12" i="119" s="1"/>
  <c r="Y19" i="119"/>
  <c r="Y18" i="119" s="1"/>
  <c r="V9" i="119"/>
  <c r="W9" i="119"/>
  <c r="Q10" i="119"/>
  <c r="O26" i="119"/>
  <c r="Y10" i="121"/>
  <c r="V34" i="121"/>
  <c r="X35" i="121"/>
  <c r="X34" i="121" s="1"/>
  <c r="W34" i="121"/>
  <c r="Y13" i="121"/>
  <c r="S9" i="121"/>
  <c r="Q40" i="121"/>
  <c r="S26" i="120"/>
  <c r="Q38" i="120"/>
  <c r="Y29" i="123"/>
  <c r="Y28" i="123" s="1"/>
  <c r="X23" i="123"/>
  <c r="X14" i="123" s="1"/>
  <c r="W14" i="123"/>
  <c r="Y52" i="123"/>
  <c r="X12" i="123"/>
  <c r="X11" i="123" s="1"/>
  <c r="W11" i="123"/>
  <c r="Y12" i="123"/>
  <c r="Y11" i="123" s="1"/>
  <c r="V11" i="123"/>
  <c r="W37" i="123"/>
  <c r="X38" i="123"/>
  <c r="X37" i="123" s="1"/>
  <c r="Y42" i="123"/>
  <c r="S24" i="123"/>
  <c r="U25" i="123"/>
  <c r="X40" i="123"/>
  <c r="X39" i="123" s="1"/>
  <c r="W39" i="123"/>
  <c r="Y38" i="123"/>
  <c r="Y37" i="123" s="1"/>
  <c r="V37" i="123"/>
  <c r="W9" i="123"/>
  <c r="V9" i="123"/>
  <c r="U8" i="123"/>
  <c r="Q14" i="123"/>
  <c r="Q60" i="123" s="1"/>
  <c r="S15" i="123"/>
  <c r="V39" i="123"/>
  <c r="Y10" i="123"/>
  <c r="V18" i="133" l="1"/>
  <c r="X11" i="133"/>
  <c r="X18" i="133" s="1"/>
  <c r="W18" i="133"/>
  <c r="T50" i="135"/>
  <c r="V9" i="135"/>
  <c r="U9" i="135"/>
  <c r="U9" i="132"/>
  <c r="S23" i="132"/>
  <c r="W9" i="131"/>
  <c r="U25" i="131"/>
  <c r="V9" i="131"/>
  <c r="V10" i="118"/>
  <c r="U14" i="118"/>
  <c r="W10" i="118"/>
  <c r="Y40" i="123"/>
  <c r="Y39" i="123" s="1"/>
  <c r="S10" i="119"/>
  <c r="Q26" i="119"/>
  <c r="X9" i="119"/>
  <c r="Y35" i="121"/>
  <c r="Y34" i="121" s="1"/>
  <c r="S40" i="121"/>
  <c r="U9" i="121"/>
  <c r="S38" i="120"/>
  <c r="U26" i="120"/>
  <c r="Y23" i="123"/>
  <c r="V8" i="123"/>
  <c r="U15" i="123"/>
  <c r="S14" i="123"/>
  <c r="S60" i="123" s="1"/>
  <c r="W8" i="123"/>
  <c r="X9" i="123"/>
  <c r="X8" i="123" s="1"/>
  <c r="V25" i="123"/>
  <c r="W25" i="123"/>
  <c r="U24" i="123"/>
  <c r="Y11" i="133" l="1"/>
  <c r="Y18" i="133" s="1"/>
  <c r="X9" i="135"/>
  <c r="X50" i="135" s="1"/>
  <c r="U50" i="135"/>
  <c r="W9" i="135"/>
  <c r="W50" i="135" s="1"/>
  <c r="V50" i="135"/>
  <c r="U23" i="132"/>
  <c r="W9" i="132"/>
  <c r="V9" i="132"/>
  <c r="V25" i="131"/>
  <c r="X9" i="131"/>
  <c r="X25" i="131" s="1"/>
  <c r="W25" i="131"/>
  <c r="W14" i="118"/>
  <c r="X10" i="118"/>
  <c r="X14" i="118" s="1"/>
  <c r="V14" i="118"/>
  <c r="Y10" i="118"/>
  <c r="Y14" i="118" s="1"/>
  <c r="U10" i="119"/>
  <c r="S26" i="119"/>
  <c r="Y9" i="119"/>
  <c r="W9" i="121"/>
  <c r="U40" i="121"/>
  <c r="V9" i="121"/>
  <c r="V26" i="120"/>
  <c r="W26" i="120"/>
  <c r="U38" i="120"/>
  <c r="V24" i="123"/>
  <c r="W24" i="123"/>
  <c r="W60" i="123" s="1"/>
  <c r="X25" i="123"/>
  <c r="X24" i="123" s="1"/>
  <c r="X60" i="123" s="1"/>
  <c r="V15" i="123"/>
  <c r="U14" i="123"/>
  <c r="U60" i="123" s="1"/>
  <c r="Y9" i="123"/>
  <c r="Y8" i="123" s="1"/>
  <c r="V23" i="132" l="1"/>
  <c r="X9" i="132"/>
  <c r="X23" i="132" s="1"/>
  <c r="W23" i="132"/>
  <c r="Y9" i="131"/>
  <c r="Y25" i="131" s="1"/>
  <c r="W10" i="119"/>
  <c r="V10" i="119"/>
  <c r="U26" i="119"/>
  <c r="V8" i="121"/>
  <c r="V40" i="121" s="1"/>
  <c r="W8" i="121"/>
  <c r="W40" i="121" s="1"/>
  <c r="X9" i="121"/>
  <c r="X8" i="121" s="1"/>
  <c r="X40" i="121" s="1"/>
  <c r="W38" i="120"/>
  <c r="X26" i="120"/>
  <c r="X38" i="120" s="1"/>
  <c r="V38" i="120"/>
  <c r="V14" i="123"/>
  <c r="V60" i="123" s="1"/>
  <c r="Y15" i="123"/>
  <c r="Y14" i="123" s="1"/>
  <c r="Y25" i="123"/>
  <c r="Y24" i="123" s="1"/>
  <c r="Y60" i="123" s="1"/>
  <c r="Y9" i="132" l="1"/>
  <c r="Y23" i="132" s="1"/>
  <c r="V8" i="119"/>
  <c r="V26" i="119" s="1"/>
  <c r="X10" i="119"/>
  <c r="X8" i="119" s="1"/>
  <c r="X26" i="119" s="1"/>
  <c r="W8" i="119"/>
  <c r="W26" i="119" s="1"/>
  <c r="Y9" i="121"/>
  <c r="Y8" i="121" s="1"/>
  <c r="Y40" i="121" s="1"/>
  <c r="Y26" i="120"/>
  <c r="Y38" i="120" s="1"/>
  <c r="Y10" i="119" l="1"/>
  <c r="Y8" i="119" s="1"/>
  <c r="Y26" i="119" s="1"/>
</calcChain>
</file>

<file path=xl/sharedStrings.xml><?xml version="1.0" encoding="utf-8"?>
<sst xmlns="http://schemas.openxmlformats.org/spreadsheetml/2006/main" count="1222" uniqueCount="392">
  <si>
    <t>TOTAL</t>
  </si>
  <si>
    <t>P E R C E P C I O N E S</t>
  </si>
  <si>
    <t xml:space="preserve">D E D U C C I O N E S </t>
  </si>
  <si>
    <t xml:space="preserve">A </t>
  </si>
  <si>
    <t>PAGAR</t>
  </si>
  <si>
    <t>Sueldo</t>
  </si>
  <si>
    <t>Total</t>
  </si>
  <si>
    <t xml:space="preserve">  %</t>
  </si>
  <si>
    <t>TARIFA</t>
  </si>
  <si>
    <t>I.S.R.</t>
  </si>
  <si>
    <t>T A R I F A</t>
  </si>
  <si>
    <t>Limite</t>
  </si>
  <si>
    <t>Inferior</t>
  </si>
  <si>
    <t>Cuota</t>
  </si>
  <si>
    <t>Fija</t>
  </si>
  <si>
    <t>S/Excedente</t>
  </si>
  <si>
    <t>De.......A</t>
  </si>
  <si>
    <t>Credito al</t>
  </si>
  <si>
    <t>Salario</t>
  </si>
  <si>
    <t>NOTA:</t>
  </si>
  <si>
    <t>Num.</t>
  </si>
  <si>
    <t>Nombre</t>
  </si>
  <si>
    <t>Dias</t>
  </si>
  <si>
    <t>Trab.</t>
  </si>
  <si>
    <t>diario</t>
  </si>
  <si>
    <t>Horas</t>
  </si>
  <si>
    <t>Extras</t>
  </si>
  <si>
    <t>total</t>
  </si>
  <si>
    <t>Percepcion</t>
  </si>
  <si>
    <t>Credito</t>
  </si>
  <si>
    <t>Al</t>
  </si>
  <si>
    <t>Base</t>
  </si>
  <si>
    <t>Gravable</t>
  </si>
  <si>
    <t>Excedente</t>
  </si>
  <si>
    <t>Limite Inf.</t>
  </si>
  <si>
    <t>%/S exced.</t>
  </si>
  <si>
    <t>Impuesto</t>
  </si>
  <si>
    <t>Marginal</t>
  </si>
  <si>
    <t>Bruto</t>
  </si>
  <si>
    <t xml:space="preserve">Al </t>
  </si>
  <si>
    <t>a Cargo</t>
  </si>
  <si>
    <r>
      <t>o</t>
    </r>
    <r>
      <rPr>
        <b/>
        <sz val="8"/>
        <color indexed="10"/>
        <rFont val="Arial"/>
        <family val="2"/>
      </rPr>
      <t xml:space="preserve"> (A Favor)</t>
    </r>
  </si>
  <si>
    <t>Gravadas</t>
  </si>
  <si>
    <t>Deduc.</t>
  </si>
  <si>
    <t>T O T A L E S</t>
  </si>
  <si>
    <t>CONVERSION DE TABLAS A QUINCENALES</t>
  </si>
  <si>
    <t>Quincenal</t>
  </si>
  <si>
    <t>TABLAS DE TARIFA Y CREDITO AL SALARIO PARA CALCULO DE I.S.P.T.</t>
  </si>
  <si>
    <t>SUBSIDO AL EMPLEO</t>
  </si>
  <si>
    <t>MENSUAL</t>
  </si>
  <si>
    <t>Subsidio al</t>
  </si>
  <si>
    <t>Empleo</t>
  </si>
  <si>
    <t>Subsidio</t>
  </si>
  <si>
    <t>SUBSIDIO AL</t>
  </si>
  <si>
    <t>EMPLEO</t>
  </si>
  <si>
    <t>NOMBRE DE LA EMPRESA</t>
  </si>
  <si>
    <t>F   I   R   M   A</t>
  </si>
  <si>
    <t>TIEMPO</t>
  </si>
  <si>
    <t>EXTRA</t>
  </si>
  <si>
    <t>SALA DE REGIDORES</t>
  </si>
  <si>
    <t>PUESTO</t>
  </si>
  <si>
    <t>PRESIDENCIA</t>
  </si>
  <si>
    <t>SECRETARIA</t>
  </si>
  <si>
    <t>RFC MSC 850101 FR1</t>
  </si>
  <si>
    <t>MARIA GUADALUPE PEREZ LLAMAS</t>
  </si>
  <si>
    <t>DIRECTOR</t>
  </si>
  <si>
    <t>CHOFER CAMION VOLTEO</t>
  </si>
  <si>
    <t>OBRAS PUBLICAS</t>
  </si>
  <si>
    <t>SERVICIOS PUBLICOS</t>
  </si>
  <si>
    <t>EVERARDO RODRIGUEZ ARTEAGA</t>
  </si>
  <si>
    <t>ELECTRICISTA</t>
  </si>
  <si>
    <t>ISIDRA PÈREZ CASTRO</t>
  </si>
  <si>
    <t>SINDICATURA</t>
  </si>
  <si>
    <t>R E G I D O R</t>
  </si>
  <si>
    <t>JURIDICO</t>
  </si>
  <si>
    <t>MUNICIPIO DE : SAN CRISTÒBAL DE LA BARRANCA, JALISCO</t>
  </si>
  <si>
    <t>MUNICIPIO DE : SAN CRISTÒBAL DE LA BARRANCA,JALISCO</t>
  </si>
  <si>
    <t>COMANDANTE</t>
  </si>
  <si>
    <t>POLICIA DE LINEA</t>
  </si>
  <si>
    <t>GUADALUPE DE LOS ANGELES CASTRO CASTRO</t>
  </si>
  <si>
    <t>DIRECTOR DE CATASTRO</t>
  </si>
  <si>
    <t>1</t>
  </si>
  <si>
    <t>2</t>
  </si>
  <si>
    <t>3</t>
  </si>
  <si>
    <t>4</t>
  </si>
  <si>
    <t>5</t>
  </si>
  <si>
    <t>6</t>
  </si>
  <si>
    <t>7</t>
  </si>
  <si>
    <t>8</t>
  </si>
  <si>
    <t>9</t>
  </si>
  <si>
    <t>JULIAN URZUA AVILA</t>
  </si>
  <si>
    <t>DIRECTOR DE PROTECCIÓN CIVIL</t>
  </si>
  <si>
    <t>SOFIA CASTRO AVELAR</t>
  </si>
  <si>
    <t>CESAR JESUS LANDEROS MORA</t>
  </si>
  <si>
    <t>DIRECTORA DEL INSTITUTO MUNICIPAL DE LA MUJER</t>
  </si>
  <si>
    <t>Núm de Empleado</t>
  </si>
  <si>
    <t>AFANADOR PARQUE LA ISLA</t>
  </si>
  <si>
    <t>052</t>
  </si>
  <si>
    <t>002</t>
  </si>
  <si>
    <t>088</t>
  </si>
  <si>
    <t>N°</t>
  </si>
  <si>
    <t>007</t>
  </si>
  <si>
    <t>102</t>
  </si>
  <si>
    <t>105</t>
  </si>
  <si>
    <t>HACIENDA PÚBLICA MPAL</t>
  </si>
  <si>
    <t>111</t>
  </si>
  <si>
    <t>SEGURIDAD PÚLICA</t>
  </si>
  <si>
    <t>03</t>
  </si>
  <si>
    <t>FORMA DE PAGO</t>
  </si>
  <si>
    <t xml:space="preserve">CHOFER </t>
  </si>
  <si>
    <t>REGISTRO CIVIL</t>
  </si>
  <si>
    <t>CATASTRO MUNICIPAL</t>
  </si>
  <si>
    <t>AGUA POTABLE</t>
  </si>
  <si>
    <t>Forma de Pago</t>
  </si>
  <si>
    <r>
      <t>o</t>
    </r>
    <r>
      <rPr>
        <b/>
        <sz val="9"/>
        <color indexed="10"/>
        <rFont val="Arial"/>
        <family val="2"/>
      </rPr>
      <t xml:space="preserve"> (A Favor)</t>
    </r>
  </si>
  <si>
    <t>PROTECCIÓN CIVIL</t>
  </si>
  <si>
    <t>INSTITUTO MUNICIPAL DE LA MUJER</t>
  </si>
  <si>
    <r>
      <t>o</t>
    </r>
    <r>
      <rPr>
        <sz val="10"/>
        <color indexed="10"/>
        <rFont val="Arial"/>
        <family val="2"/>
      </rPr>
      <t xml:space="preserve"> (A Favor)</t>
    </r>
  </si>
  <si>
    <t>MARCO ANTONIO IBARRA RODRIGUEZ</t>
  </si>
  <si>
    <t>141</t>
  </si>
  <si>
    <t>SAUL CASTRO CASTAÑEDA</t>
  </si>
  <si>
    <t>PARAMÉDICO</t>
  </si>
  <si>
    <t>CHOFER AMBULANCIA</t>
  </si>
  <si>
    <t>SERVICIOS MÉDICOS MUNICIPALES</t>
  </si>
  <si>
    <t>153</t>
  </si>
  <si>
    <t>FRED DE JESUS VILLALOBOS CASTILLO</t>
  </si>
  <si>
    <t>AUXILIAR DISTRIBUCIÓN DE AGUA POTABLE</t>
  </si>
  <si>
    <t>JOSE MAGDALENO CASTRO AVELAR</t>
  </si>
  <si>
    <t>SECRETARIA DESARROLLO SOCIAL</t>
  </si>
  <si>
    <t>RASTRO</t>
  </si>
  <si>
    <t>PROYECTOS PRODUCTIVOS</t>
  </si>
  <si>
    <t>EDUARDO CASILLAS SOLIS</t>
  </si>
  <si>
    <t>INSPECTOR DE GANADERÍA</t>
  </si>
  <si>
    <t>EDUARDO ROBLES CORONA</t>
  </si>
  <si>
    <t>158</t>
  </si>
  <si>
    <t>168</t>
  </si>
  <si>
    <t>173</t>
  </si>
  <si>
    <t>184</t>
  </si>
  <si>
    <t>MARCOS NUÑEZ SILVA</t>
  </si>
  <si>
    <t>JORGE CASTRO SANDOVAL</t>
  </si>
  <si>
    <t>DAVID CASTRO RAMIREZ</t>
  </si>
  <si>
    <t>AXILIAR DE ELECTRICISTA</t>
  </si>
  <si>
    <t>CHOFER DE ASEO PUBLICO</t>
  </si>
  <si>
    <t>SANTIAGO SOLIS CASILLAS</t>
  </si>
  <si>
    <t>195</t>
  </si>
  <si>
    <t>198</t>
  </si>
  <si>
    <t>210</t>
  </si>
  <si>
    <t>ENCARGADA DEL COMEDOR ESCOLAR</t>
  </si>
  <si>
    <t>MARIO AVILA AVILA</t>
  </si>
  <si>
    <t>220</t>
  </si>
  <si>
    <t>226</t>
  </si>
  <si>
    <t>HERIBERTA AVILA VEGA</t>
  </si>
  <si>
    <t>SUELDO  DEL 16 AL 31 DE OCTUBRE DE 2019</t>
  </si>
  <si>
    <t>236</t>
  </si>
  <si>
    <t>015</t>
  </si>
  <si>
    <t>248</t>
  </si>
  <si>
    <t>GILBERTO CASTRO BALTIERRA</t>
  </si>
  <si>
    <t>EMILIA RAMIREZ CASTRO</t>
  </si>
  <si>
    <t>251</t>
  </si>
  <si>
    <t xml:space="preserve">SALARIO MINIMO GENERAL </t>
  </si>
  <si>
    <t>UMA</t>
  </si>
  <si>
    <t>DIAS</t>
  </si>
  <si>
    <t>PRESIDENTE MUNICIPAL</t>
  </si>
  <si>
    <t xml:space="preserve">SECRETARIO GENERAL </t>
  </si>
  <si>
    <t>170</t>
  </si>
  <si>
    <t>CARLOS ADRIAN AVILA LLAMAS</t>
  </si>
  <si>
    <r>
      <t>o</t>
    </r>
    <r>
      <rPr>
        <b/>
        <sz val="12"/>
        <color indexed="10"/>
        <rFont val="Arial"/>
        <family val="2"/>
      </rPr>
      <t xml:space="preserve"> (A Favor)</t>
    </r>
  </si>
  <si>
    <t>ENCARGADO DE LA HACIENDA MUNICIPAL</t>
  </si>
  <si>
    <t>SECRETARIA HACIENDA MUNICIPAL</t>
  </si>
  <si>
    <t>270</t>
  </si>
  <si>
    <t>271</t>
  </si>
  <si>
    <t>ROSA ESMERALDA SANDOVAL MACHUCA</t>
  </si>
  <si>
    <t>MARGARITA SOLIS CASILLAS</t>
  </si>
  <si>
    <t>VICTORIANO SANDOVAL FLORES</t>
  </si>
  <si>
    <t>194</t>
  </si>
  <si>
    <t>EFRAIN SILVA NUÑEZ</t>
  </si>
  <si>
    <t>AFANADORA PRESIDENCIA MUNICIPAL</t>
  </si>
  <si>
    <t>136</t>
  </si>
  <si>
    <t>SINDICO MUNICIPAL</t>
  </si>
  <si>
    <t>CHOFER DE AUTOBUS</t>
  </si>
  <si>
    <t>291</t>
  </si>
  <si>
    <t>SUPERVISOR DE TURNO</t>
  </si>
  <si>
    <t>296</t>
  </si>
  <si>
    <t>RAMIRO CASTRO HORTA</t>
  </si>
  <si>
    <t>JOSE BLANCO FRIAS</t>
  </si>
  <si>
    <t>MECANICO MUNICIPAL</t>
  </si>
  <si>
    <t>032</t>
  </si>
  <si>
    <t>298</t>
  </si>
  <si>
    <t>SECRETARIA DE PROYECTOS PRODUCTIVOS</t>
  </si>
  <si>
    <t>AUXILIAR DEL REGISTRO CIVIL</t>
  </si>
  <si>
    <t>ANGELBERTO CASILLAS SOLIS</t>
  </si>
  <si>
    <t>CULTURA</t>
  </si>
  <si>
    <t>ISR Salarios</t>
  </si>
  <si>
    <t>ALICIA CASTRO CASTRO</t>
  </si>
  <si>
    <t>307</t>
  </si>
  <si>
    <t>309</t>
  </si>
  <si>
    <t>TANIA LIZBETH ALVAREZ HERNANDEZ</t>
  </si>
  <si>
    <t>FEHA DE INGRESO</t>
  </si>
  <si>
    <t>FECHA DE INGRESO</t>
  </si>
  <si>
    <t>113</t>
  </si>
  <si>
    <t>MA. GUADALUPE CASTRO RAMIREZ</t>
  </si>
  <si>
    <t>CESAR ALBERTO GUZMAN LOPEZ</t>
  </si>
  <si>
    <t>315</t>
  </si>
  <si>
    <t>316</t>
  </si>
  <si>
    <t>JAIME BALTIERRA SILVA</t>
  </si>
  <si>
    <t>AGUSTIN ROBLES LUNA</t>
  </si>
  <si>
    <t>318</t>
  </si>
  <si>
    <t>PEDRO RAMIREZ CONTRERAS</t>
  </si>
  <si>
    <t>323</t>
  </si>
  <si>
    <t>326</t>
  </si>
  <si>
    <t>TURISMO</t>
  </si>
  <si>
    <t>LUZ MARIA GARCIA LOPEZ</t>
  </si>
  <si>
    <t>DIRECTORA MEDIOS AUDIOVISUALES</t>
  </si>
  <si>
    <t>AFANADOR UNIDAD DEPORTIVA</t>
  </si>
  <si>
    <t>J JESUS PEREZ RODRIGUEZ</t>
  </si>
  <si>
    <t>027</t>
  </si>
  <si>
    <t>HORTENCIA SANDOVAL GONZALEZ</t>
  </si>
  <si>
    <t>SECRETARIA DE OBRAS PÚBLICAS</t>
  </si>
  <si>
    <t>327</t>
  </si>
  <si>
    <t>335</t>
  </si>
  <si>
    <t>LUIS ENRIQUE GARCIA PEREZ</t>
  </si>
  <si>
    <t>336</t>
  </si>
  <si>
    <t>LAURA AZUCENA AVILA ORTEGA</t>
  </si>
  <si>
    <t>AFANADORA CASA CULTURA</t>
  </si>
  <si>
    <t>337</t>
  </si>
  <si>
    <t>NEREYDA GUADALUPE MARROQUIN JURADO</t>
  </si>
  <si>
    <t>DIRECTORA DE TURISMO</t>
  </si>
  <si>
    <t>341</t>
  </si>
  <si>
    <t>342</t>
  </si>
  <si>
    <t>GUSTAVO GUTIERREZ LANDEROS</t>
  </si>
  <si>
    <t>AUXILIAR MEDIOS AUDIOVISUALES</t>
  </si>
  <si>
    <t>DIRECTORA DE PROYECTOS PRODUCTIVOS</t>
  </si>
  <si>
    <t>SUELDO  DEL 01 AL 15 DE OCTUBRE DE 2023</t>
  </si>
  <si>
    <t>245</t>
  </si>
  <si>
    <t>DAVID CASTRO AVILA</t>
  </si>
  <si>
    <t>344</t>
  </si>
  <si>
    <t xml:space="preserve"> </t>
  </si>
  <si>
    <t>346</t>
  </si>
  <si>
    <t>347</t>
  </si>
  <si>
    <t>348</t>
  </si>
  <si>
    <t>349</t>
  </si>
  <si>
    <t>350</t>
  </si>
  <si>
    <t>351</t>
  </si>
  <si>
    <t>MARIA VIRGINIA ESPARZA REYNOSO</t>
  </si>
  <si>
    <t>355</t>
  </si>
  <si>
    <t>SE APLICARON CAMBIOS EN SUBSIDIO AL EMPLEO POR DECRETO PRESIDENCIAL DEL 01 MAY 2024</t>
  </si>
  <si>
    <t>356</t>
  </si>
  <si>
    <t>MUNICIPIO DE: SAN CRISTÓBAL DE LA BARRANCA, JALISCO</t>
  </si>
  <si>
    <t>RFC MSC850101FR1</t>
  </si>
  <si>
    <t>357</t>
  </si>
  <si>
    <t>359</t>
  </si>
  <si>
    <t>COMPUTO E INFÓRMATICA</t>
  </si>
  <si>
    <t>AUXILIAR DE COMPUTACION</t>
  </si>
  <si>
    <t>360</t>
  </si>
  <si>
    <t>ENRIQUE CASTRO CASTRO</t>
  </si>
  <si>
    <t>361</t>
  </si>
  <si>
    <t>ISAIAS AGUILAR CASTRO</t>
  </si>
  <si>
    <t>AUXILIAR</t>
  </si>
  <si>
    <t>362</t>
  </si>
  <si>
    <t>363</t>
  </si>
  <si>
    <t>366</t>
  </si>
  <si>
    <t>06</t>
  </si>
  <si>
    <t>HECTOR ALEJANDRO VILLALOBOS GARCIA</t>
  </si>
  <si>
    <t>ALONSO CASILLAS GARCIA</t>
  </si>
  <si>
    <t>367</t>
  </si>
  <si>
    <t>KARINA GUZMAN CARDONA</t>
  </si>
  <si>
    <t>378</t>
  </si>
  <si>
    <t>013</t>
  </si>
  <si>
    <t>YADIRA SARAY OROZCO VILLALOBOS</t>
  </si>
  <si>
    <t>IORI MANUEL CASTILLO ALVAREZ</t>
  </si>
  <si>
    <t>384</t>
  </si>
  <si>
    <t>AUXILIAR  DE BIBLIOTECA MUNICIPAL</t>
  </si>
  <si>
    <t>YULISSA MAGALLANES CASTRO</t>
  </si>
  <si>
    <t>TATIANA ESTEPHANY GONZALEZ CASTRO</t>
  </si>
  <si>
    <t>379</t>
  </si>
  <si>
    <t>AFANADORA DE LA PLAZA PRINCIPAL</t>
  </si>
  <si>
    <t>J GUADALUPE IBARRA RODRIGUEZ</t>
  </si>
  <si>
    <t>DIRECTOR DEL RASTRO</t>
  </si>
  <si>
    <t>GABRIELA CASTRO RAMIREZ</t>
  </si>
  <si>
    <t>375</t>
  </si>
  <si>
    <t>MAURICIO CASTRO CASTRO</t>
  </si>
  <si>
    <t>370</t>
  </si>
  <si>
    <t>369</t>
  </si>
  <si>
    <t>DEPORTE</t>
  </si>
  <si>
    <t>299</t>
  </si>
  <si>
    <t>JORGE ALBERTO CASTRO RODRIGUEZ</t>
  </si>
  <si>
    <t>DIRECTOR DE DEPORTE</t>
  </si>
  <si>
    <t>PAULO CASTRO SANDOVAL</t>
  </si>
  <si>
    <t>386</t>
  </si>
  <si>
    <t>EFRAIN RAMIREZ CASTRO</t>
  </si>
  <si>
    <t>MARÍA DE LOURDES ALVARADO CONTRERAS</t>
  </si>
  <si>
    <t>JUAN JOSÉ MARIZCAL FLORES</t>
  </si>
  <si>
    <t xml:space="preserve">FIDEL FLORES RODRÍGUEZ </t>
  </si>
  <si>
    <t>LOIDA MARÍA OROZCO VILLALOBOS</t>
  </si>
  <si>
    <t>MARIA DE JESUS FLORES CASTRO</t>
  </si>
  <si>
    <t>046</t>
  </si>
  <si>
    <t>147</t>
  </si>
  <si>
    <t>JOSÉ DE JESÚS VALENCIA CERROS</t>
  </si>
  <si>
    <t>374</t>
  </si>
  <si>
    <t>ALDO JOSUE RUIZ GONZALEZ</t>
  </si>
  <si>
    <t>MARIA ABRIL SANCHEZ CHAVEZ</t>
  </si>
  <si>
    <t>JOSÉ LÓPEZ CASTRO</t>
  </si>
  <si>
    <t>MARÍA GUADALUPE RODRÍGUEZ AVELAR</t>
  </si>
  <si>
    <t>381</t>
  </si>
  <si>
    <t>372</t>
  </si>
  <si>
    <t>380</t>
  </si>
  <si>
    <t>385</t>
  </si>
  <si>
    <t>096</t>
  </si>
  <si>
    <t>387</t>
  </si>
  <si>
    <t>388</t>
  </si>
  <si>
    <t>389</t>
  </si>
  <si>
    <t>02</t>
  </si>
  <si>
    <t>JUZGADO MUNICIPAL</t>
  </si>
  <si>
    <t xml:space="preserve">JUEZ MUNICIPAL </t>
  </si>
  <si>
    <t>VICTOR MANUEL TELLO RAMIREZ</t>
  </si>
  <si>
    <t>MÉDICO MUNICIPAL</t>
  </si>
  <si>
    <t>RODRIGO SALAZAR ALVAREZ DEL CASTILLO</t>
  </si>
  <si>
    <t>190</t>
  </si>
  <si>
    <t>ABRAHAM ANCO GARCIA</t>
  </si>
  <si>
    <t>393</t>
  </si>
  <si>
    <t>261</t>
  </si>
  <si>
    <t>ERIDANI OROZCO VILLALOBOS</t>
  </si>
  <si>
    <t>JOSE RIVERA FLORES</t>
  </si>
  <si>
    <t>395</t>
  </si>
  <si>
    <t>JOSE AVELAR FRIAS</t>
  </si>
  <si>
    <t>396</t>
  </si>
  <si>
    <t>397</t>
  </si>
  <si>
    <t>ARACELI AVELAR VALDEZ</t>
  </si>
  <si>
    <t>EDUCACIÓN</t>
  </si>
  <si>
    <t>HERIBERTO PEREZ CRUZ</t>
  </si>
  <si>
    <t>DIRECTOR GENERAL DE INFRAESTRUCTURA Y DESARROLLO SOCIAL</t>
  </si>
  <si>
    <t>DIRECTOR DE MAQUINARIA Y ALMACENES MUNICIPALES</t>
  </si>
  <si>
    <t>OPERADOR MOTOCONFORMADORA</t>
  </si>
  <si>
    <t>OPERADOR EXCAVADORA</t>
  </si>
  <si>
    <t>SUB-DIRECTOR GENERAL DE INFRAESTRUCTURA Y DESARROLLO SOCIAL</t>
  </si>
  <si>
    <t>AUXILIAR DE OPERADOR</t>
  </si>
  <si>
    <t>AUXILIAR OBRAS PÚBLICAS</t>
  </si>
  <si>
    <t>AUXILIAR DE ASEO PUBLICO</t>
  </si>
  <si>
    <t>AFANADOR PANTEÓN MUNICIPAL</t>
  </si>
  <si>
    <t>BODEGUERO</t>
  </si>
  <si>
    <t xml:space="preserve">ALBAÑIL Y FONTANERO </t>
  </si>
  <si>
    <t>EJERCICIO 2025</t>
  </si>
  <si>
    <t>VIGENTES PARA 2025</t>
  </si>
  <si>
    <t>TABLAS PUBLICADAS En DICIEMBRE DE 2024</t>
  </si>
  <si>
    <t>SANDRA IBAÑEZ BENITES</t>
  </si>
  <si>
    <t>191</t>
  </si>
  <si>
    <t>401</t>
  </si>
  <si>
    <t>402</t>
  </si>
  <si>
    <t>403</t>
  </si>
  <si>
    <t>MARIO ERNESTO AVILA HERRERA</t>
  </si>
  <si>
    <t>ALEJANDRO RAMIREZ AVILA</t>
  </si>
  <si>
    <t>IMELDA AVELAR GARCIA</t>
  </si>
  <si>
    <t>AFANADORA</t>
  </si>
  <si>
    <t>TRANSPARENCIA</t>
  </si>
  <si>
    <t>JOSE FRANCISCO CHAVEZ NEVAREZ</t>
  </si>
  <si>
    <t xml:space="preserve">DIRECTOR DE TRANSPARENCIA </t>
  </si>
  <si>
    <t>JUAN JOSE GONZALEZ GONZALEZ</t>
  </si>
  <si>
    <t>404</t>
  </si>
  <si>
    <t>405</t>
  </si>
  <si>
    <t>407</t>
  </si>
  <si>
    <t>408</t>
  </si>
  <si>
    <t>409</t>
  </si>
  <si>
    <t xml:space="preserve">SECRETARIA HACIENDA MUNICIPAL </t>
  </si>
  <si>
    <t>JAIME HERNANDEZ PEREZ</t>
  </si>
  <si>
    <t>OPERADOR MOTOCONFORAMDORA</t>
  </si>
  <si>
    <t>410</t>
  </si>
  <si>
    <t>411</t>
  </si>
  <si>
    <t>412</t>
  </si>
  <si>
    <t>413</t>
  </si>
  <si>
    <t>MARIA LETICIA SANDOVAL SOTO</t>
  </si>
  <si>
    <t>ESTEBAN AGUAYO CASTRO</t>
  </si>
  <si>
    <t>DAVID GALVEZ MORA</t>
  </si>
  <si>
    <t>414</t>
  </si>
  <si>
    <t>CONTRALOR MUNICIPAL</t>
  </si>
  <si>
    <t>MATANCEREOS</t>
  </si>
  <si>
    <t>415</t>
  </si>
  <si>
    <t>PRUDENCIO BALTIERRA ESPINOZA</t>
  </si>
  <si>
    <t>416</t>
  </si>
  <si>
    <t>DAVID GALVEZ ALVARADO</t>
  </si>
  <si>
    <t>417</t>
  </si>
  <si>
    <t>418</t>
  </si>
  <si>
    <t>419</t>
  </si>
  <si>
    <t>ALENJANDRO CASTRO PEREZ</t>
  </si>
  <si>
    <t>LUIS GERARDO GONZALEZ JIMENEZ</t>
  </si>
  <si>
    <t>CARLOS ANTONIO CASTRO PEREZ</t>
  </si>
  <si>
    <t>420</t>
  </si>
  <si>
    <t>FELIPE IBARRA CASTRO</t>
  </si>
  <si>
    <t>SUELDO  DEL 01 AL 15 DE ABRIL DE 2025</t>
  </si>
  <si>
    <t>272</t>
  </si>
  <si>
    <t>EFRAIN ROBLES FLORES</t>
  </si>
  <si>
    <t>SUELDO DEL 01 AL 15 DE ABRIL DE 2025</t>
  </si>
  <si>
    <t>SUELDO DEL 16 AL 30 DE ABRIL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</si>
</sst>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[$€]* #,##0.00_-;\-[$€]* #,##0.00_-;_-[$€]* &quot;-&quot;??_-;_-@_-"/>
    <numFmt numFmtId="165" formatCode="#,##0.00_ ;[Red]\-#,##0.00\ "/>
    <numFmt numFmtId="166" formatCode="#,##0.00_ ;\-#,##0.00\ "/>
  </numFmts>
  <fonts count="46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0"/>
      <color indexed="10"/>
      <name val="Arial"/>
      <family val="2"/>
    </font>
    <font>
      <b/>
      <sz val="14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2"/>
      <color indexed="10"/>
      <name val="Times New Roman"/>
      <family val="1"/>
    </font>
    <font>
      <sz val="8"/>
      <name val="Arial"/>
      <family val="2"/>
    </font>
    <font>
      <b/>
      <sz val="8"/>
      <color indexed="10"/>
      <name val="Arial"/>
      <family val="2"/>
    </font>
    <font>
      <b/>
      <sz val="14"/>
      <color indexed="18"/>
      <name val="Verdana"/>
      <family val="2"/>
    </font>
    <font>
      <b/>
      <sz val="8"/>
      <color indexed="10"/>
      <name val="Times New Roman"/>
      <family val="1"/>
    </font>
    <font>
      <b/>
      <sz val="12"/>
      <color indexed="18"/>
      <name val="Verdana"/>
      <family val="2"/>
    </font>
    <font>
      <sz val="10"/>
      <name val="MS Sans Serif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color indexed="10"/>
      <name val="Arial"/>
      <family val="2"/>
    </font>
    <font>
      <sz val="10"/>
      <color indexed="10"/>
      <name val="Arial"/>
      <family val="2"/>
    </font>
    <font>
      <sz val="10"/>
      <name val="Arial"/>
      <family val="2"/>
    </font>
    <font>
      <b/>
      <sz val="12"/>
      <color indexed="18"/>
      <name val="Verdana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b/>
      <sz val="12"/>
      <color indexed="10"/>
      <name val="Arial"/>
      <family val="2"/>
    </font>
    <font>
      <b/>
      <sz val="16"/>
      <color indexed="18"/>
      <name val="Verdana"/>
      <family val="2"/>
    </font>
    <font>
      <b/>
      <sz val="14"/>
      <name val="Arial"/>
      <family val="2"/>
    </font>
    <font>
      <sz val="16"/>
      <name val="Arial"/>
      <family val="2"/>
    </font>
    <font>
      <sz val="8"/>
      <name val="Arial"/>
      <family val="2"/>
    </font>
    <font>
      <b/>
      <sz val="10"/>
      <color theme="6" tint="-0.499984740745262"/>
      <name val="Arial"/>
      <family val="2"/>
    </font>
    <font>
      <b/>
      <sz val="14"/>
      <color rgb="FF000099"/>
      <name val="Arial"/>
      <family val="2"/>
    </font>
    <font>
      <b/>
      <sz val="16"/>
      <color rgb="FF000099"/>
      <name val="Verdana"/>
      <family val="2"/>
    </font>
    <font>
      <b/>
      <sz val="10"/>
      <color rgb="FF000099"/>
      <name val="Arial"/>
      <family val="2"/>
    </font>
    <font>
      <sz val="14"/>
      <color rgb="FF404041"/>
      <name val="Montserrat"/>
    </font>
    <font>
      <sz val="14"/>
      <color rgb="FF606C76"/>
      <name val="Arial"/>
      <family val="2"/>
    </font>
    <font>
      <sz val="18"/>
      <name val="Arial"/>
      <family val="2"/>
    </font>
    <font>
      <b/>
      <sz val="16"/>
      <name val="Arial"/>
      <family val="2"/>
    </font>
    <font>
      <b/>
      <sz val="16"/>
      <color rgb="FF000099"/>
      <name val="Arial"/>
      <family val="2"/>
    </font>
    <font>
      <sz val="13"/>
      <name val="Arial"/>
      <family val="2"/>
    </font>
    <font>
      <b/>
      <sz val="16"/>
      <color theme="3" tint="-0.249977111117893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0.24997711111789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6" fillId="0" borderId="0"/>
  </cellStyleXfs>
  <cellXfs count="479">
    <xf numFmtId="0" fontId="0" fillId="0" borderId="0" xfId="0"/>
    <xf numFmtId="39" fontId="0" fillId="0" borderId="0" xfId="0" applyNumberFormat="1"/>
    <xf numFmtId="0" fontId="0" fillId="0" borderId="0" xfId="0" applyAlignment="1">
      <alignment horizontal="left"/>
    </xf>
    <xf numFmtId="0" fontId="0" fillId="0" borderId="0" xfId="0" applyAlignment="1">
      <alignment horizontal="fill"/>
    </xf>
    <xf numFmtId="0" fontId="1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fill"/>
    </xf>
    <xf numFmtId="0" fontId="8" fillId="0" borderId="0" xfId="0" applyFont="1" applyAlignment="1">
      <alignment horizontal="fill"/>
    </xf>
    <xf numFmtId="39" fontId="8" fillId="0" borderId="1" xfId="0" applyNumberFormat="1" applyFont="1" applyBorder="1"/>
    <xf numFmtId="10" fontId="8" fillId="0" borderId="1" xfId="0" applyNumberFormat="1" applyFont="1" applyBorder="1"/>
    <xf numFmtId="39" fontId="8" fillId="0" borderId="0" xfId="0" applyNumberFormat="1" applyFont="1"/>
    <xf numFmtId="39" fontId="8" fillId="0" borderId="2" xfId="0" applyNumberFormat="1" applyFont="1" applyBorder="1"/>
    <xf numFmtId="10" fontId="8" fillId="0" borderId="2" xfId="0" applyNumberFormat="1" applyFont="1" applyBorder="1"/>
    <xf numFmtId="0" fontId="8" fillId="0" borderId="2" xfId="0" applyFont="1" applyBorder="1"/>
    <xf numFmtId="0" fontId="10" fillId="0" borderId="0" xfId="0" applyFont="1"/>
    <xf numFmtId="0" fontId="9" fillId="0" borderId="0" xfId="0" applyFont="1" applyProtection="1">
      <protection locked="0"/>
    </xf>
    <xf numFmtId="39" fontId="8" fillId="0" borderId="1" xfId="0" applyNumberFormat="1" applyFont="1" applyBorder="1" applyProtection="1">
      <protection locked="0"/>
    </xf>
    <xf numFmtId="10" fontId="8" fillId="0" borderId="1" xfId="0" applyNumberFormat="1" applyFont="1" applyBorder="1" applyProtection="1">
      <protection locked="0"/>
    </xf>
    <xf numFmtId="0" fontId="11" fillId="0" borderId="3" xfId="0" applyFont="1" applyBorder="1"/>
    <xf numFmtId="0" fontId="3" fillId="0" borderId="3" xfId="0" applyFont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43" fontId="3" fillId="0" borderId="1" xfId="2" applyFont="1" applyBorder="1" applyAlignment="1" applyProtection="1">
      <alignment horizontal="center"/>
    </xf>
    <xf numFmtId="0" fontId="3" fillId="2" borderId="1" xfId="0" applyFont="1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14" fillId="0" borderId="0" xfId="0" applyFont="1"/>
    <xf numFmtId="0" fontId="0" fillId="0" borderId="3" xfId="0" applyBorder="1"/>
    <xf numFmtId="0" fontId="0" fillId="0" borderId="2" xfId="0" applyBorder="1"/>
    <xf numFmtId="0" fontId="2" fillId="0" borderId="1" xfId="0" applyFont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0" xfId="0" applyFont="1" applyFill="1" applyAlignment="1">
      <alignment horizontal="center"/>
    </xf>
    <xf numFmtId="0" fontId="0" fillId="4" borderId="2" xfId="0" applyFill="1" applyBorder="1"/>
    <xf numFmtId="0" fontId="15" fillId="0" borderId="0" xfId="0" applyFont="1" applyAlignment="1" applyProtection="1">
      <alignment horizontal="center"/>
      <protection locked="0"/>
    </xf>
    <xf numFmtId="165" fontId="0" fillId="0" borderId="0" xfId="0" applyNumberFormat="1"/>
    <xf numFmtId="49" fontId="1" fillId="0" borderId="7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49" fontId="4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 wrapText="1"/>
    </xf>
    <xf numFmtId="0" fontId="18" fillId="0" borderId="3" xfId="0" applyFont="1" applyBorder="1"/>
    <xf numFmtId="0" fontId="17" fillId="0" borderId="3" xfId="0" applyFont="1" applyBorder="1" applyAlignment="1">
      <alignment horizontal="center"/>
    </xf>
    <xf numFmtId="0" fontId="17" fillId="2" borderId="3" xfId="0" applyFont="1" applyFill="1" applyBorder="1" applyAlignment="1">
      <alignment horizontal="center"/>
    </xf>
    <xf numFmtId="0" fontId="17" fillId="2" borderId="4" xfId="0" applyFont="1" applyFill="1" applyBorder="1" applyAlignment="1">
      <alignment horizontal="center"/>
    </xf>
    <xf numFmtId="0" fontId="18" fillId="0" borderId="0" xfId="0" applyFont="1"/>
    <xf numFmtId="0" fontId="17" fillId="0" borderId="1" xfId="0" applyFont="1" applyBorder="1" applyAlignment="1">
      <alignment horizontal="center"/>
    </xf>
    <xf numFmtId="43" fontId="17" fillId="0" borderId="1" xfId="2" applyFont="1" applyBorder="1" applyAlignment="1" applyProtection="1">
      <alignment horizontal="center"/>
    </xf>
    <xf numFmtId="0" fontId="17" fillId="2" borderId="1" xfId="0" applyFont="1" applyFill="1" applyBorder="1" applyAlignment="1">
      <alignment horizontal="center"/>
    </xf>
    <xf numFmtId="0" fontId="17" fillId="2" borderId="5" xfId="0" applyFont="1" applyFill="1" applyBorder="1" applyAlignment="1">
      <alignment horizontal="center"/>
    </xf>
    <xf numFmtId="0" fontId="18" fillId="0" borderId="1" xfId="0" applyFont="1" applyBorder="1"/>
    <xf numFmtId="0" fontId="18" fillId="0" borderId="2" xfId="0" applyFont="1" applyBorder="1"/>
    <xf numFmtId="0" fontId="18" fillId="0" borderId="4" xfId="0" applyFont="1" applyBorder="1"/>
    <xf numFmtId="43" fontId="18" fillId="0" borderId="0" xfId="2" applyFont="1" applyProtection="1"/>
    <xf numFmtId="0" fontId="17" fillId="0" borderId="2" xfId="0" applyFont="1" applyBorder="1" applyAlignment="1">
      <alignment horizontal="center"/>
    </xf>
    <xf numFmtId="0" fontId="17" fillId="2" borderId="2" xfId="0" applyFont="1" applyFill="1" applyBorder="1" applyAlignment="1">
      <alignment horizontal="center"/>
    </xf>
    <xf numFmtId="0" fontId="17" fillId="4" borderId="1" xfId="0" applyFont="1" applyFill="1" applyBorder="1" applyAlignment="1">
      <alignment horizontal="center"/>
    </xf>
    <xf numFmtId="0" fontId="18" fillId="4" borderId="1" xfId="0" applyFont="1" applyFill="1" applyBorder="1"/>
    <xf numFmtId="9" fontId="18" fillId="0" borderId="0" xfId="0" applyNumberFormat="1" applyFont="1"/>
    <xf numFmtId="0" fontId="21" fillId="0" borderId="0" xfId="0" applyFont="1"/>
    <xf numFmtId="0" fontId="23" fillId="0" borderId="3" xfId="0" applyFont="1" applyBorder="1"/>
    <xf numFmtId="0" fontId="24" fillId="0" borderId="3" xfId="0" applyFont="1" applyBorder="1" applyAlignment="1">
      <alignment horizontal="center"/>
    </xf>
    <xf numFmtId="0" fontId="24" fillId="2" borderId="3" xfId="0" applyFont="1" applyFill="1" applyBorder="1" applyAlignment="1">
      <alignment horizontal="center"/>
    </xf>
    <xf numFmtId="0" fontId="24" fillId="2" borderId="4" xfId="0" applyFont="1" applyFill="1" applyBorder="1" applyAlignment="1">
      <alignment horizontal="center"/>
    </xf>
    <xf numFmtId="0" fontId="21" fillId="0" borderId="3" xfId="0" applyFont="1" applyBorder="1"/>
    <xf numFmtId="0" fontId="24" fillId="0" borderId="1" xfId="0" applyFont="1" applyBorder="1" applyAlignment="1">
      <alignment horizontal="center"/>
    </xf>
    <xf numFmtId="0" fontId="24" fillId="0" borderId="1" xfId="0" applyFont="1" applyBorder="1" applyAlignment="1">
      <alignment horizontal="center" wrapText="1"/>
    </xf>
    <xf numFmtId="43" fontId="24" fillId="0" borderId="1" xfId="2" applyFont="1" applyBorder="1" applyAlignment="1" applyProtection="1">
      <alignment horizontal="center"/>
    </xf>
    <xf numFmtId="0" fontId="24" fillId="2" borderId="1" xfId="0" applyFont="1" applyFill="1" applyBorder="1" applyAlignment="1">
      <alignment horizontal="center"/>
    </xf>
    <xf numFmtId="0" fontId="25" fillId="0" borderId="1" xfId="0" applyFont="1" applyBorder="1" applyAlignment="1">
      <alignment horizontal="center"/>
    </xf>
    <xf numFmtId="0" fontId="24" fillId="0" borderId="2" xfId="0" applyFont="1" applyBorder="1" applyAlignment="1">
      <alignment horizontal="center"/>
    </xf>
    <xf numFmtId="0" fontId="24" fillId="2" borderId="5" xfId="0" applyFont="1" applyFill="1" applyBorder="1" applyAlignment="1">
      <alignment horizontal="center"/>
    </xf>
    <xf numFmtId="0" fontId="21" fillId="0" borderId="1" xfId="0" applyFont="1" applyBorder="1"/>
    <xf numFmtId="0" fontId="24" fillId="4" borderId="1" xfId="0" applyFont="1" applyFill="1" applyBorder="1" applyAlignment="1">
      <alignment horizontal="center"/>
    </xf>
    <xf numFmtId="0" fontId="24" fillId="4" borderId="4" xfId="0" applyFont="1" applyFill="1" applyBorder="1" applyAlignment="1">
      <alignment horizontal="center"/>
    </xf>
    <xf numFmtId="0" fontId="26" fillId="4" borderId="4" xfId="0" applyFont="1" applyFill="1" applyBorder="1" applyAlignment="1">
      <alignment horizontal="center"/>
    </xf>
    <xf numFmtId="0" fontId="21" fillId="4" borderId="4" xfId="0" applyFont="1" applyFill="1" applyBorder="1"/>
    <xf numFmtId="0" fontId="25" fillId="0" borderId="0" xfId="0" applyFont="1"/>
    <xf numFmtId="0" fontId="17" fillId="7" borderId="4" xfId="0" applyFont="1" applyFill="1" applyBorder="1" applyAlignment="1">
      <alignment horizontal="center"/>
    </xf>
    <xf numFmtId="0" fontId="17" fillId="7" borderId="3" xfId="0" applyFont="1" applyFill="1" applyBorder="1" applyAlignment="1">
      <alignment horizontal="center"/>
    </xf>
    <xf numFmtId="0" fontId="22" fillId="0" borderId="0" xfId="0" applyFont="1" applyAlignment="1" applyProtection="1">
      <alignment horizontal="center"/>
      <protection locked="0"/>
    </xf>
    <xf numFmtId="0" fontId="5" fillId="4" borderId="3" xfId="0" applyFont="1" applyFill="1" applyBorder="1" applyAlignment="1">
      <alignment horizontal="center"/>
    </xf>
    <xf numFmtId="0" fontId="0" fillId="4" borderId="1" xfId="0" applyFill="1" applyBorder="1"/>
    <xf numFmtId="0" fontId="4" fillId="0" borderId="0" xfId="0" applyFont="1"/>
    <xf numFmtId="165" fontId="4" fillId="0" borderId="0" xfId="0" applyNumberFormat="1" applyFont="1"/>
    <xf numFmtId="43" fontId="4" fillId="0" borderId="0" xfId="2" applyFont="1" applyProtection="1"/>
    <xf numFmtId="0" fontId="2" fillId="4" borderId="4" xfId="0" applyFont="1" applyFill="1" applyBorder="1" applyAlignment="1">
      <alignment horizontal="center"/>
    </xf>
    <xf numFmtId="0" fontId="1" fillId="4" borderId="4" xfId="0" applyFont="1" applyFill="1" applyBorder="1"/>
    <xf numFmtId="0" fontId="4" fillId="4" borderId="4" xfId="0" applyFont="1" applyFill="1" applyBorder="1"/>
    <xf numFmtId="0" fontId="5" fillId="4" borderId="4" xfId="0" applyFont="1" applyFill="1" applyBorder="1" applyAlignment="1">
      <alignment horizontal="center" wrapText="1"/>
    </xf>
    <xf numFmtId="0" fontId="1" fillId="4" borderId="1" xfId="0" applyFont="1" applyFill="1" applyBorder="1"/>
    <xf numFmtId="0" fontId="3" fillId="4" borderId="4" xfId="0" applyFont="1" applyFill="1" applyBorder="1" applyAlignment="1">
      <alignment horizontal="center"/>
    </xf>
    <xf numFmtId="0" fontId="1" fillId="0" borderId="3" xfId="0" applyFont="1" applyBorder="1"/>
    <xf numFmtId="0" fontId="1" fillId="0" borderId="1" xfId="0" applyFont="1" applyBorder="1"/>
    <xf numFmtId="0" fontId="5" fillId="0" borderId="0" xfId="0" applyFont="1" applyAlignment="1">
      <alignment horizontal="center"/>
    </xf>
    <xf numFmtId="165" fontId="5" fillId="0" borderId="0" xfId="2" applyNumberFormat="1" applyFont="1" applyBorder="1" applyAlignment="1" applyProtection="1">
      <alignment horizontal="right"/>
    </xf>
    <xf numFmtId="165" fontId="5" fillId="2" borderId="0" xfId="2" applyNumberFormat="1" applyFont="1" applyFill="1" applyBorder="1" applyAlignment="1" applyProtection="1">
      <alignment horizontal="right"/>
    </xf>
    <xf numFmtId="49" fontId="27" fillId="0" borderId="7" xfId="0" applyNumberFormat="1" applyFont="1" applyBorder="1" applyAlignment="1">
      <alignment horizontal="center"/>
    </xf>
    <xf numFmtId="0" fontId="29" fillId="0" borderId="4" xfId="0" applyFont="1" applyBorder="1"/>
    <xf numFmtId="0" fontId="29" fillId="0" borderId="0" xfId="0" applyFont="1"/>
    <xf numFmtId="43" fontId="2" fillId="3" borderId="0" xfId="2" applyFont="1" applyFill="1" applyProtection="1"/>
    <xf numFmtId="0" fontId="3" fillId="8" borderId="0" xfId="0" applyFont="1" applyFill="1" applyAlignment="1">
      <alignment horizontal="center" wrapText="1"/>
    </xf>
    <xf numFmtId="0" fontId="28" fillId="6" borderId="4" xfId="0" applyFont="1" applyFill="1" applyBorder="1" applyAlignment="1">
      <alignment horizontal="center" wrapText="1"/>
    </xf>
    <xf numFmtId="0" fontId="28" fillId="4" borderId="4" xfId="0" applyFont="1" applyFill="1" applyBorder="1" applyAlignment="1">
      <alignment horizontal="center"/>
    </xf>
    <xf numFmtId="0" fontId="28" fillId="7" borderId="4" xfId="0" applyFont="1" applyFill="1" applyBorder="1" applyAlignment="1">
      <alignment horizontal="center"/>
    </xf>
    <xf numFmtId="0" fontId="27" fillId="0" borderId="3" xfId="0" applyFont="1" applyBorder="1"/>
    <xf numFmtId="0" fontId="28" fillId="0" borderId="3" xfId="0" applyFont="1" applyBorder="1" applyAlignment="1">
      <alignment horizontal="center"/>
    </xf>
    <xf numFmtId="0" fontId="28" fillId="2" borderId="3" xfId="0" applyFont="1" applyFill="1" applyBorder="1" applyAlignment="1">
      <alignment horizontal="center"/>
    </xf>
    <xf numFmtId="0" fontId="28" fillId="2" borderId="4" xfId="0" applyFont="1" applyFill="1" applyBorder="1" applyAlignment="1">
      <alignment horizontal="center"/>
    </xf>
    <xf numFmtId="0" fontId="28" fillId="0" borderId="1" xfId="0" applyFont="1" applyBorder="1" applyAlignment="1">
      <alignment horizontal="center" wrapText="1"/>
    </xf>
    <xf numFmtId="0" fontId="28" fillId="0" borderId="1" xfId="0" applyFont="1" applyBorder="1" applyAlignment="1">
      <alignment horizontal="center"/>
    </xf>
    <xf numFmtId="0" fontId="28" fillId="2" borderId="1" xfId="0" applyFont="1" applyFill="1" applyBorder="1" applyAlignment="1">
      <alignment horizontal="center"/>
    </xf>
    <xf numFmtId="0" fontId="28" fillId="0" borderId="2" xfId="0" applyFont="1" applyBorder="1" applyAlignment="1">
      <alignment horizontal="center" wrapText="1"/>
    </xf>
    <xf numFmtId="0" fontId="28" fillId="0" borderId="2" xfId="0" applyFont="1" applyBorder="1" applyAlignment="1">
      <alignment horizontal="center"/>
    </xf>
    <xf numFmtId="0" fontId="28" fillId="2" borderId="2" xfId="0" applyFont="1" applyFill="1" applyBorder="1" applyAlignment="1">
      <alignment horizontal="center"/>
    </xf>
    <xf numFmtId="0" fontId="28" fillId="2" borderId="5" xfId="0" applyFont="1" applyFill="1" applyBorder="1" applyAlignment="1">
      <alignment horizontal="center"/>
    </xf>
    <xf numFmtId="0" fontId="28" fillId="4" borderId="1" xfId="0" applyFont="1" applyFill="1" applyBorder="1" applyAlignment="1">
      <alignment horizontal="center" wrapText="1"/>
    </xf>
    <xf numFmtId="0" fontId="28" fillId="4" borderId="3" xfId="0" applyFont="1" applyFill="1" applyBorder="1" applyAlignment="1">
      <alignment horizontal="center"/>
    </xf>
    <xf numFmtId="0" fontId="28" fillId="4" borderId="1" xfId="0" applyFont="1" applyFill="1" applyBorder="1" applyAlignment="1">
      <alignment horizontal="center"/>
    </xf>
    <xf numFmtId="0" fontId="28" fillId="4" borderId="0" xfId="0" applyFont="1" applyFill="1" applyAlignment="1">
      <alignment horizontal="center"/>
    </xf>
    <xf numFmtId="0" fontId="28" fillId="4" borderId="4" xfId="0" applyFont="1" applyFill="1" applyBorder="1" applyAlignment="1">
      <alignment horizontal="center" wrapText="1"/>
    </xf>
    <xf numFmtId="0" fontId="28" fillId="0" borderId="0" xfId="0" applyFont="1" applyAlignment="1">
      <alignment horizontal="center"/>
    </xf>
    <xf numFmtId="165" fontId="28" fillId="0" borderId="0" xfId="2" applyNumberFormat="1" applyFont="1" applyBorder="1" applyAlignment="1" applyProtection="1">
      <alignment horizontal="right"/>
    </xf>
    <xf numFmtId="165" fontId="28" fillId="2" borderId="0" xfId="2" applyNumberFormat="1" applyFont="1" applyFill="1" applyBorder="1" applyAlignment="1" applyProtection="1">
      <alignment horizontal="right"/>
    </xf>
    <xf numFmtId="49" fontId="29" fillId="0" borderId="4" xfId="0" applyNumberFormat="1" applyFont="1" applyBorder="1" applyAlignment="1">
      <alignment horizontal="center"/>
    </xf>
    <xf numFmtId="165" fontId="32" fillId="0" borderId="8" xfId="2" applyNumberFormat="1" applyFont="1" applyBorder="1" applyAlignment="1" applyProtection="1">
      <alignment horizontal="right"/>
    </xf>
    <xf numFmtId="165" fontId="32" fillId="2" borderId="8" xfId="2" applyNumberFormat="1" applyFont="1" applyFill="1" applyBorder="1" applyAlignment="1" applyProtection="1">
      <alignment horizontal="right"/>
    </xf>
    <xf numFmtId="0" fontId="29" fillId="0" borderId="0" xfId="0" applyFont="1" applyAlignment="1">
      <alignment horizontal="center"/>
    </xf>
    <xf numFmtId="0" fontId="29" fillId="0" borderId="6" xfId="0" applyFont="1" applyBorder="1" applyAlignment="1">
      <alignment horizontal="center"/>
    </xf>
    <xf numFmtId="1" fontId="32" fillId="0" borderId="6" xfId="2" applyNumberFormat="1" applyFont="1" applyBorder="1" applyAlignment="1" applyProtection="1">
      <alignment horizontal="right"/>
    </xf>
    <xf numFmtId="1" fontId="32" fillId="0" borderId="6" xfId="2" applyNumberFormat="1" applyFont="1" applyFill="1" applyBorder="1" applyAlignment="1" applyProtection="1">
      <alignment horizontal="right"/>
    </xf>
    <xf numFmtId="1" fontId="32" fillId="0" borderId="0" xfId="2" applyNumberFormat="1" applyFont="1" applyFill="1" applyBorder="1" applyAlignment="1" applyProtection="1">
      <alignment horizontal="right"/>
    </xf>
    <xf numFmtId="49" fontId="29" fillId="0" borderId="18" xfId="0" applyNumberFormat="1" applyFont="1" applyBorder="1" applyAlignment="1">
      <alignment horizontal="center"/>
    </xf>
    <xf numFmtId="1" fontId="32" fillId="0" borderId="0" xfId="2" applyNumberFormat="1" applyFont="1" applyBorder="1" applyAlignment="1" applyProtection="1">
      <alignment horizontal="right"/>
    </xf>
    <xf numFmtId="49" fontId="29" fillId="0" borderId="0" xfId="0" applyNumberFormat="1" applyFont="1" applyAlignment="1">
      <alignment horizontal="center"/>
    </xf>
    <xf numFmtId="0" fontId="29" fillId="0" borderId="16" xfId="0" applyFont="1" applyBorder="1" applyAlignment="1" applyProtection="1">
      <alignment horizontal="center"/>
      <protection locked="0"/>
    </xf>
    <xf numFmtId="0" fontId="32" fillId="4" borderId="4" xfId="0" applyFont="1" applyFill="1" applyBorder="1" applyAlignment="1">
      <alignment horizontal="center" wrapText="1"/>
    </xf>
    <xf numFmtId="0" fontId="31" fillId="0" borderId="0" xfId="0" applyFont="1" applyAlignment="1" applyProtection="1">
      <alignment horizontal="center"/>
      <protection locked="0"/>
    </xf>
    <xf numFmtId="0" fontId="29" fillId="0" borderId="0" xfId="0" applyFont="1" applyAlignment="1" applyProtection="1">
      <alignment horizontal="left" wrapText="1"/>
      <protection locked="0"/>
    </xf>
    <xf numFmtId="0" fontId="29" fillId="0" borderId="0" xfId="0" applyFont="1" applyAlignment="1" applyProtection="1">
      <alignment horizontal="center"/>
      <protection locked="0"/>
    </xf>
    <xf numFmtId="2" fontId="29" fillId="0" borderId="0" xfId="0" applyNumberFormat="1" applyFont="1" applyAlignment="1" applyProtection="1">
      <alignment horizontal="right"/>
      <protection locked="0"/>
    </xf>
    <xf numFmtId="165" fontId="29" fillId="0" borderId="0" xfId="2" applyNumberFormat="1" applyFont="1" applyFill="1" applyBorder="1" applyAlignment="1" applyProtection="1">
      <alignment horizontal="right"/>
    </xf>
    <xf numFmtId="165" fontId="29" fillId="0" borderId="0" xfId="2" applyNumberFormat="1" applyFont="1" applyBorder="1" applyAlignment="1" applyProtection="1">
      <alignment horizontal="right"/>
      <protection locked="0"/>
    </xf>
    <xf numFmtId="165" fontId="29" fillId="0" borderId="0" xfId="2" applyNumberFormat="1" applyFont="1" applyBorder="1" applyAlignment="1" applyProtection="1">
      <alignment horizontal="right"/>
    </xf>
    <xf numFmtId="49" fontId="4" fillId="0" borderId="15" xfId="0" applyNumberFormat="1" applyFont="1" applyBorder="1" applyAlignment="1">
      <alignment horizontal="center"/>
    </xf>
    <xf numFmtId="165" fontId="32" fillId="0" borderId="4" xfId="2" applyNumberFormat="1" applyFont="1" applyFill="1" applyBorder="1" applyAlignment="1" applyProtection="1">
      <alignment horizontal="right"/>
    </xf>
    <xf numFmtId="0" fontId="2" fillId="0" borderId="3" xfId="0" applyFont="1" applyBorder="1" applyAlignment="1">
      <alignment horizontal="center"/>
    </xf>
    <xf numFmtId="0" fontId="32" fillId="4" borderId="1" xfId="0" applyFont="1" applyFill="1" applyBorder="1" applyAlignment="1">
      <alignment horizontal="center"/>
    </xf>
    <xf numFmtId="14" fontId="29" fillId="5" borderId="4" xfId="5" applyNumberFormat="1" applyFont="1" applyFill="1" applyBorder="1" applyAlignment="1" applyProtection="1">
      <alignment horizontal="center" vertical="center" wrapText="1"/>
      <protection locked="0"/>
    </xf>
    <xf numFmtId="0" fontId="29" fillId="0" borderId="4" xfId="0" applyFont="1" applyBorder="1" applyAlignment="1">
      <alignment horizontal="center"/>
    </xf>
    <xf numFmtId="14" fontId="29" fillId="0" borderId="0" xfId="0" applyNumberFormat="1" applyFont="1" applyAlignment="1">
      <alignment horizontal="center"/>
    </xf>
    <xf numFmtId="0" fontId="32" fillId="4" borderId="3" xfId="0" applyFont="1" applyFill="1" applyBorder="1" applyAlignment="1">
      <alignment horizontal="center"/>
    </xf>
    <xf numFmtId="165" fontId="32" fillId="4" borderId="1" xfId="0" applyNumberFormat="1" applyFont="1" applyFill="1" applyBorder="1" applyAlignment="1">
      <alignment horizontal="center"/>
    </xf>
    <xf numFmtId="0" fontId="32" fillId="4" borderId="0" xfId="0" applyFont="1" applyFill="1" applyAlignment="1">
      <alignment horizontal="center"/>
    </xf>
    <xf numFmtId="0" fontId="32" fillId="7" borderId="1" xfId="0" applyFont="1" applyFill="1" applyBorder="1" applyAlignment="1">
      <alignment horizontal="center"/>
    </xf>
    <xf numFmtId="14" fontId="32" fillId="4" borderId="1" xfId="0" applyNumberFormat="1" applyFont="1" applyFill="1" applyBorder="1" applyAlignment="1">
      <alignment horizontal="center"/>
    </xf>
    <xf numFmtId="49" fontId="29" fillId="0" borderId="15" xfId="0" applyNumberFormat="1" applyFont="1" applyBorder="1" applyAlignment="1">
      <alignment horizontal="center"/>
    </xf>
    <xf numFmtId="49" fontId="29" fillId="0" borderId="16" xfId="0" applyNumberFormat="1" applyFont="1" applyBorder="1" applyAlignment="1">
      <alignment horizontal="center"/>
    </xf>
    <xf numFmtId="0" fontId="29" fillId="0" borderId="16" xfId="0" applyFont="1" applyBorder="1" applyAlignment="1" applyProtection="1">
      <alignment horizontal="left"/>
      <protection locked="0"/>
    </xf>
    <xf numFmtId="2" fontId="29" fillId="0" borderId="17" xfId="0" applyNumberFormat="1" applyFont="1" applyBorder="1" applyAlignment="1" applyProtection="1">
      <alignment horizontal="right"/>
      <protection locked="0"/>
    </xf>
    <xf numFmtId="165" fontId="29" fillId="0" borderId="3" xfId="2" applyNumberFormat="1" applyFont="1" applyFill="1" applyBorder="1" applyAlignment="1" applyProtection="1">
      <alignment horizontal="right"/>
    </xf>
    <xf numFmtId="165" fontId="29" fillId="0" borderId="3" xfId="2" applyNumberFormat="1" applyFont="1" applyBorder="1" applyAlignment="1" applyProtection="1">
      <alignment horizontal="right"/>
      <protection locked="0"/>
    </xf>
    <xf numFmtId="165" fontId="29" fillId="0" borderId="3" xfId="2" applyNumberFormat="1" applyFont="1" applyBorder="1" applyAlignment="1" applyProtection="1">
      <alignment horizontal="right"/>
    </xf>
    <xf numFmtId="165" fontId="29" fillId="2" borderId="3" xfId="2" applyNumberFormat="1" applyFont="1" applyFill="1" applyBorder="1" applyAlignment="1" applyProtection="1">
      <alignment horizontal="right"/>
    </xf>
    <xf numFmtId="10" fontId="29" fillId="2" borderId="3" xfId="3" applyNumberFormat="1" applyFont="1" applyFill="1" applyBorder="1" applyAlignment="1" applyProtection="1">
      <alignment horizontal="right"/>
    </xf>
    <xf numFmtId="0" fontId="32" fillId="4" borderId="3" xfId="0" applyFont="1" applyFill="1" applyBorder="1" applyAlignment="1">
      <alignment horizontal="center" wrapText="1"/>
    </xf>
    <xf numFmtId="0" fontId="32" fillId="4" borderId="4" xfId="0" applyFont="1" applyFill="1" applyBorder="1" applyAlignment="1">
      <alignment horizontal="center"/>
    </xf>
    <xf numFmtId="165" fontId="32" fillId="4" borderId="4" xfId="0" applyNumberFormat="1" applyFont="1" applyFill="1" applyBorder="1" applyAlignment="1">
      <alignment horizontal="center"/>
    </xf>
    <xf numFmtId="0" fontId="29" fillId="4" borderId="2" xfId="0" applyFont="1" applyFill="1" applyBorder="1"/>
    <xf numFmtId="0" fontId="32" fillId="7" borderId="4" xfId="0" applyFont="1" applyFill="1" applyBorder="1" applyAlignment="1">
      <alignment horizontal="center"/>
    </xf>
    <xf numFmtId="0" fontId="29" fillId="4" borderId="4" xfId="0" applyFont="1" applyFill="1" applyBorder="1"/>
    <xf numFmtId="9" fontId="29" fillId="0" borderId="0" xfId="0" applyNumberFormat="1" applyFont="1"/>
    <xf numFmtId="1" fontId="32" fillId="0" borderId="4" xfId="2" applyNumberFormat="1" applyFont="1" applyBorder="1" applyAlignment="1" applyProtection="1">
      <alignment horizontal="right"/>
    </xf>
    <xf numFmtId="1" fontId="32" fillId="0" borderId="4" xfId="2" applyNumberFormat="1" applyFont="1" applyFill="1" applyBorder="1" applyAlignment="1" applyProtection="1">
      <alignment horizontal="right"/>
    </xf>
    <xf numFmtId="0" fontId="28" fillId="7" borderId="3" xfId="0" applyFont="1" applyFill="1" applyBorder="1" applyAlignment="1">
      <alignment horizontal="center"/>
    </xf>
    <xf numFmtId="49" fontId="29" fillId="0" borderId="9" xfId="0" applyNumberFormat="1" applyFont="1" applyBorder="1" applyAlignment="1">
      <alignment horizontal="center"/>
    </xf>
    <xf numFmtId="0" fontId="27" fillId="0" borderId="9" xfId="0" applyFont="1" applyBorder="1"/>
    <xf numFmtId="0" fontId="28" fillId="0" borderId="11" xfId="0" applyFont="1" applyBorder="1" applyAlignment="1">
      <alignment horizontal="center"/>
    </xf>
    <xf numFmtId="0" fontId="28" fillId="0" borderId="13" xfId="0" applyFont="1" applyBorder="1" applyAlignment="1">
      <alignment horizontal="center"/>
    </xf>
    <xf numFmtId="0" fontId="28" fillId="0" borderId="10" xfId="0" applyFont="1" applyBorder="1" applyAlignment="1">
      <alignment horizontal="center"/>
    </xf>
    <xf numFmtId="0" fontId="28" fillId="0" borderId="12" xfId="0" applyFont="1" applyBorder="1" applyAlignment="1">
      <alignment horizontal="center"/>
    </xf>
    <xf numFmtId="0" fontId="28" fillId="0" borderId="14" xfId="0" applyFont="1" applyBorder="1" applyAlignment="1">
      <alignment horizontal="center"/>
    </xf>
    <xf numFmtId="43" fontId="28" fillId="0" borderId="1" xfId="2" applyFont="1" applyBorder="1" applyAlignment="1" applyProtection="1">
      <alignment horizontal="center"/>
    </xf>
    <xf numFmtId="0" fontId="5" fillId="4" borderId="1" xfId="0" applyFont="1" applyFill="1" applyBorder="1" applyAlignment="1">
      <alignment horizontal="center" wrapText="1"/>
    </xf>
    <xf numFmtId="0" fontId="0" fillId="3" borderId="0" xfId="0" applyFill="1"/>
    <xf numFmtId="0" fontId="35" fillId="3" borderId="0" xfId="0" applyFont="1" applyFill="1"/>
    <xf numFmtId="165" fontId="29" fillId="2" borderId="0" xfId="2" applyNumberFormat="1" applyFont="1" applyFill="1" applyBorder="1" applyAlignment="1" applyProtection="1">
      <alignment horizontal="right"/>
    </xf>
    <xf numFmtId="10" fontId="29" fillId="2" borderId="0" xfId="3" applyNumberFormat="1" applyFont="1" applyFill="1" applyBorder="1" applyAlignment="1" applyProtection="1">
      <alignment horizontal="right"/>
    </xf>
    <xf numFmtId="165" fontId="29" fillId="7" borderId="0" xfId="2" applyNumberFormat="1" applyFont="1" applyFill="1" applyBorder="1" applyAlignment="1" applyProtection="1">
      <alignment horizontal="right"/>
    </xf>
    <xf numFmtId="0" fontId="37" fillId="0" borderId="0" xfId="0" applyFont="1" applyAlignment="1" applyProtection="1">
      <alignment horizontal="center"/>
      <protection locked="0"/>
    </xf>
    <xf numFmtId="49" fontId="1" fillId="0" borderId="0" xfId="0" applyNumberFormat="1" applyFont="1" applyAlignment="1">
      <alignment horizontal="center"/>
    </xf>
    <xf numFmtId="0" fontId="32" fillId="4" borderId="2" xfId="0" applyFont="1" applyFill="1" applyBorder="1" applyAlignment="1">
      <alignment horizontal="center" wrapText="1"/>
    </xf>
    <xf numFmtId="0" fontId="33" fillId="0" borderId="0" xfId="0" applyFont="1" applyAlignment="1" applyProtection="1">
      <alignment horizontal="left" wrapText="1"/>
      <protection locked="0"/>
    </xf>
    <xf numFmtId="165" fontId="42" fillId="0" borderId="8" xfId="2" applyNumberFormat="1" applyFont="1" applyBorder="1" applyAlignment="1" applyProtection="1">
      <alignment horizontal="right"/>
    </xf>
    <xf numFmtId="165" fontId="42" fillId="2" borderId="8" xfId="2" applyNumberFormat="1" applyFont="1" applyFill="1" applyBorder="1" applyAlignment="1" applyProtection="1">
      <alignment horizontal="right"/>
    </xf>
    <xf numFmtId="14" fontId="33" fillId="0" borderId="4" xfId="5" applyNumberFormat="1" applyFont="1" applyBorder="1" applyAlignment="1" applyProtection="1">
      <alignment horizontal="center" vertical="center" wrapText="1"/>
      <protection locked="0"/>
    </xf>
    <xf numFmtId="14" fontId="33" fillId="0" borderId="0" xfId="0" applyNumberFormat="1" applyFont="1" applyAlignment="1">
      <alignment horizontal="center"/>
    </xf>
    <xf numFmtId="0" fontId="32" fillId="0" borderId="0" xfId="0" applyFont="1"/>
    <xf numFmtId="49" fontId="33" fillId="0" borderId="0" xfId="0" applyNumberFormat="1" applyFont="1" applyAlignment="1">
      <alignment horizontal="center"/>
    </xf>
    <xf numFmtId="0" fontId="33" fillId="5" borderId="0" xfId="0" applyFont="1" applyFill="1" applyAlignment="1" applyProtection="1">
      <alignment horizontal="left" wrapText="1"/>
      <protection locked="0"/>
    </xf>
    <xf numFmtId="0" fontId="29" fillId="5" borderId="0" xfId="0" applyFont="1" applyFill="1" applyAlignment="1" applyProtection="1">
      <alignment horizontal="left"/>
      <protection locked="0"/>
    </xf>
    <xf numFmtId="14" fontId="33" fillId="5" borderId="0" xfId="0" applyNumberFormat="1" applyFont="1" applyFill="1" applyAlignment="1" applyProtection="1">
      <alignment horizontal="center"/>
      <protection locked="0"/>
    </xf>
    <xf numFmtId="0" fontId="33" fillId="0" borderId="0" xfId="0" applyFont="1" applyAlignment="1" applyProtection="1">
      <alignment horizontal="center"/>
      <protection locked="0"/>
    </xf>
    <xf numFmtId="2" fontId="33" fillId="0" borderId="0" xfId="0" applyNumberFormat="1" applyFont="1" applyAlignment="1" applyProtection="1">
      <alignment horizontal="right"/>
      <protection locked="0"/>
    </xf>
    <xf numFmtId="165" fontId="33" fillId="0" borderId="0" xfId="2" applyNumberFormat="1" applyFont="1" applyFill="1" applyBorder="1" applyAlignment="1" applyProtection="1">
      <alignment horizontal="right"/>
    </xf>
    <xf numFmtId="165" fontId="33" fillId="0" borderId="0" xfId="2" applyNumberFormat="1" applyFont="1" applyBorder="1" applyAlignment="1" applyProtection="1">
      <alignment horizontal="right"/>
      <protection locked="0"/>
    </xf>
    <xf numFmtId="165" fontId="33" fillId="0" borderId="0" xfId="2" applyNumberFormat="1" applyFont="1" applyBorder="1" applyAlignment="1" applyProtection="1">
      <alignment horizontal="right"/>
    </xf>
    <xf numFmtId="165" fontId="33" fillId="2" borderId="0" xfId="2" applyNumberFormat="1" applyFont="1" applyFill="1" applyBorder="1" applyAlignment="1" applyProtection="1">
      <alignment horizontal="right"/>
    </xf>
    <xf numFmtId="10" fontId="33" fillId="2" borderId="0" xfId="3" applyNumberFormat="1" applyFont="1" applyFill="1" applyBorder="1" applyAlignment="1" applyProtection="1">
      <alignment horizontal="right"/>
    </xf>
    <xf numFmtId="165" fontId="33" fillId="7" borderId="0" xfId="2" applyNumberFormat="1" applyFont="1" applyFill="1" applyBorder="1" applyAlignment="1" applyProtection="1">
      <alignment horizontal="right"/>
    </xf>
    <xf numFmtId="0" fontId="42" fillId="4" borderId="4" xfId="0" applyFont="1" applyFill="1" applyBorder="1" applyAlignment="1">
      <alignment horizontal="center" wrapText="1"/>
    </xf>
    <xf numFmtId="0" fontId="42" fillId="4" borderId="4" xfId="0" applyFont="1" applyFill="1" applyBorder="1" applyAlignment="1">
      <alignment horizontal="center"/>
    </xf>
    <xf numFmtId="165" fontId="42" fillId="4" borderId="4" xfId="0" applyNumberFormat="1" applyFont="1" applyFill="1" applyBorder="1" applyAlignment="1">
      <alignment horizontal="center"/>
    </xf>
    <xf numFmtId="0" fontId="42" fillId="7" borderId="4" xfId="0" applyFont="1" applyFill="1" applyBorder="1" applyAlignment="1">
      <alignment horizontal="center"/>
    </xf>
    <xf numFmtId="0" fontId="42" fillId="4" borderId="2" xfId="0" applyFont="1" applyFill="1" applyBorder="1" applyAlignment="1">
      <alignment horizontal="center" wrapText="1"/>
    </xf>
    <xf numFmtId="0" fontId="42" fillId="4" borderId="2" xfId="0" applyFont="1" applyFill="1" applyBorder="1" applyAlignment="1">
      <alignment horizontal="center"/>
    </xf>
    <xf numFmtId="165" fontId="42" fillId="4" borderId="2" xfId="0" applyNumberFormat="1" applyFont="1" applyFill="1" applyBorder="1" applyAlignment="1">
      <alignment horizontal="center"/>
    </xf>
    <xf numFmtId="0" fontId="42" fillId="7" borderId="2" xfId="0" applyFont="1" applyFill="1" applyBorder="1" applyAlignment="1">
      <alignment horizontal="center"/>
    </xf>
    <xf numFmtId="165" fontId="42" fillId="0" borderId="4" xfId="2" applyNumberFormat="1" applyFont="1" applyBorder="1" applyAlignment="1" applyProtection="1">
      <alignment horizontal="right"/>
    </xf>
    <xf numFmtId="0" fontId="17" fillId="4" borderId="0" xfId="0" applyFont="1" applyFill="1" applyAlignment="1">
      <alignment horizontal="center"/>
    </xf>
    <xf numFmtId="0" fontId="42" fillId="4" borderId="3" xfId="0" applyFont="1" applyFill="1" applyBorder="1" applyAlignment="1">
      <alignment horizontal="center"/>
    </xf>
    <xf numFmtId="0" fontId="42" fillId="4" borderId="1" xfId="0" applyFont="1" applyFill="1" applyBorder="1" applyAlignment="1">
      <alignment horizontal="center"/>
    </xf>
    <xf numFmtId="0" fontId="42" fillId="4" borderId="1" xfId="0" applyFont="1" applyFill="1" applyBorder="1" applyAlignment="1">
      <alignment horizontal="center" wrapText="1"/>
    </xf>
    <xf numFmtId="0" fontId="42" fillId="4" borderId="9" xfId="0" applyFont="1" applyFill="1" applyBorder="1" applyAlignment="1">
      <alignment horizontal="center"/>
    </xf>
    <xf numFmtId="14" fontId="33" fillId="5" borderId="2" xfId="5" applyNumberFormat="1" applyFont="1" applyFill="1" applyBorder="1" applyAlignment="1" applyProtection="1">
      <alignment horizontal="center" vertical="center" wrapText="1"/>
      <protection locked="0"/>
    </xf>
    <xf numFmtId="14" fontId="29" fillId="5" borderId="0" xfId="0" applyNumberFormat="1" applyFont="1" applyFill="1" applyAlignment="1" applyProtection="1">
      <alignment horizontal="center"/>
      <protection locked="0"/>
    </xf>
    <xf numFmtId="49" fontId="33" fillId="5" borderId="0" xfId="0" applyNumberFormat="1" applyFont="1" applyFill="1" applyAlignment="1">
      <alignment horizontal="center"/>
    </xf>
    <xf numFmtId="0" fontId="29" fillId="5" borderId="0" xfId="0" applyFont="1" applyFill="1" applyAlignment="1" applyProtection="1">
      <alignment horizontal="center"/>
      <protection locked="0"/>
    </xf>
    <xf numFmtId="49" fontId="41" fillId="0" borderId="0" xfId="5" applyNumberFormat="1" applyFont="1" applyAlignment="1" applyProtection="1">
      <alignment wrapText="1"/>
      <protection locked="0"/>
    </xf>
    <xf numFmtId="14" fontId="33" fillId="0" borderId="0" xfId="5" applyNumberFormat="1" applyFont="1" applyAlignment="1" applyProtection="1">
      <alignment horizontal="center" vertical="center" wrapText="1"/>
      <protection locked="0"/>
    </xf>
    <xf numFmtId="49" fontId="1" fillId="0" borderId="18" xfId="0" applyNumberFormat="1" applyFont="1" applyBorder="1" applyAlignment="1">
      <alignment horizontal="center"/>
    </xf>
    <xf numFmtId="0" fontId="32" fillId="4" borderId="2" xfId="0" applyFont="1" applyFill="1" applyBorder="1" applyAlignment="1">
      <alignment horizontal="center"/>
    </xf>
    <xf numFmtId="165" fontId="32" fillId="4" borderId="2" xfId="0" applyNumberFormat="1" applyFont="1" applyFill="1" applyBorder="1" applyAlignment="1">
      <alignment horizontal="center"/>
    </xf>
    <xf numFmtId="0" fontId="32" fillId="7" borderId="2" xfId="0" applyFont="1" applyFill="1" applyBorder="1" applyAlignment="1">
      <alignment horizontal="center"/>
    </xf>
    <xf numFmtId="14" fontId="33" fillId="0" borderId="0" xfId="0" applyNumberFormat="1" applyFont="1" applyAlignment="1" applyProtection="1">
      <alignment horizontal="center"/>
      <protection locked="0"/>
    </xf>
    <xf numFmtId="14" fontId="29" fillId="0" borderId="0" xfId="0" applyNumberFormat="1" applyFont="1" applyAlignment="1" applyProtection="1">
      <alignment horizontal="left"/>
      <protection locked="0"/>
    </xf>
    <xf numFmtId="4" fontId="29" fillId="5" borderId="0" xfId="0" applyNumberFormat="1" applyFont="1" applyFill="1" applyAlignment="1" applyProtection="1">
      <alignment horizontal="right"/>
      <protection locked="0"/>
    </xf>
    <xf numFmtId="0" fontId="33" fillId="5" borderId="0" xfId="0" applyFont="1" applyFill="1" applyAlignment="1">
      <alignment horizontal="center"/>
    </xf>
    <xf numFmtId="49" fontId="33" fillId="5" borderId="0" xfId="5" applyNumberFormat="1" applyFont="1" applyFill="1" applyAlignment="1" applyProtection="1">
      <alignment vertical="center" wrapText="1"/>
      <protection locked="0"/>
    </xf>
    <xf numFmtId="14" fontId="33" fillId="5" borderId="0" xfId="5" applyNumberFormat="1" applyFont="1" applyFill="1" applyAlignment="1" applyProtection="1">
      <alignment horizontal="center" vertical="center" wrapText="1"/>
      <protection locked="0"/>
    </xf>
    <xf numFmtId="0" fontId="33" fillId="0" borderId="0" xfId="0" applyFont="1" applyAlignment="1" applyProtection="1">
      <alignment horizontal="left"/>
      <protection locked="0"/>
    </xf>
    <xf numFmtId="14" fontId="33" fillId="5" borderId="4" xfId="5" applyNumberFormat="1" applyFont="1" applyFill="1" applyBorder="1" applyAlignment="1" applyProtection="1">
      <alignment horizontal="center" vertical="center" wrapText="1"/>
      <protection locked="0"/>
    </xf>
    <xf numFmtId="49" fontId="41" fillId="5" borderId="2" xfId="5" applyNumberFormat="1" applyFont="1" applyFill="1" applyBorder="1" applyAlignment="1" applyProtection="1">
      <alignment vertical="center" wrapText="1"/>
      <protection locked="0"/>
    </xf>
    <xf numFmtId="49" fontId="41" fillId="5" borderId="14" xfId="5" applyNumberFormat="1" applyFont="1" applyFill="1" applyBorder="1" applyAlignment="1" applyProtection="1">
      <alignment vertical="center" wrapText="1"/>
      <protection locked="0"/>
    </xf>
    <xf numFmtId="49" fontId="41" fillId="5" borderId="4" xfId="5" applyNumberFormat="1" applyFont="1" applyFill="1" applyBorder="1" applyAlignment="1" applyProtection="1">
      <alignment vertical="center" wrapText="1"/>
      <protection locked="0"/>
    </xf>
    <xf numFmtId="49" fontId="29" fillId="0" borderId="7" xfId="0" applyNumberFormat="1" applyFont="1" applyBorder="1" applyAlignment="1">
      <alignment horizontal="center" vertical="center"/>
    </xf>
    <xf numFmtId="49" fontId="29" fillId="5" borderId="4" xfId="0" applyNumberFormat="1" applyFont="1" applyFill="1" applyBorder="1" applyAlignment="1">
      <alignment horizontal="center" vertical="center"/>
    </xf>
    <xf numFmtId="49" fontId="29" fillId="0" borderId="4" xfId="0" applyNumberFormat="1" applyFont="1" applyBorder="1" applyAlignment="1">
      <alignment horizontal="center" vertical="center"/>
    </xf>
    <xf numFmtId="0" fontId="41" fillId="0" borderId="4" xfId="0" applyFont="1" applyBorder="1" applyAlignment="1" applyProtection="1">
      <alignment horizontal="left" vertical="center" wrapText="1"/>
      <protection locked="0"/>
    </xf>
    <xf numFmtId="0" fontId="29" fillId="0" borderId="4" xfId="0" applyFont="1" applyBorder="1" applyAlignment="1" applyProtection="1">
      <alignment horizontal="left" vertical="center"/>
      <protection locked="0"/>
    </xf>
    <xf numFmtId="14" fontId="33" fillId="0" borderId="4" xfId="0" applyNumberFormat="1" applyFont="1" applyBorder="1" applyAlignment="1" applyProtection="1">
      <alignment horizontal="center" vertical="center"/>
      <protection locked="0"/>
    </xf>
    <xf numFmtId="0" fontId="33" fillId="0" borderId="4" xfId="0" applyFont="1" applyBorder="1" applyAlignment="1" applyProtection="1">
      <alignment horizontal="left" vertical="center" wrapText="1"/>
      <protection locked="0"/>
    </xf>
    <xf numFmtId="0" fontId="33" fillId="0" borderId="4" xfId="0" applyFont="1" applyBorder="1" applyAlignment="1" applyProtection="1">
      <alignment horizontal="center" vertical="center"/>
      <protection locked="0"/>
    </xf>
    <xf numFmtId="2" fontId="33" fillId="0" borderId="4" xfId="0" applyNumberFormat="1" applyFont="1" applyBorder="1" applyAlignment="1" applyProtection="1">
      <alignment horizontal="right" vertical="center"/>
      <protection locked="0"/>
    </xf>
    <xf numFmtId="165" fontId="33" fillId="0" borderId="4" xfId="2" applyNumberFormat="1" applyFont="1" applyFill="1" applyBorder="1" applyAlignment="1" applyProtection="1">
      <alignment horizontal="right" vertical="center"/>
    </xf>
    <xf numFmtId="165" fontId="33" fillId="0" borderId="4" xfId="2" applyNumberFormat="1" applyFont="1" applyBorder="1" applyAlignment="1" applyProtection="1">
      <alignment horizontal="right" vertical="center"/>
      <protection locked="0"/>
    </xf>
    <xf numFmtId="165" fontId="33" fillId="0" borderId="4" xfId="2" applyNumberFormat="1" applyFont="1" applyBorder="1" applyAlignment="1" applyProtection="1">
      <alignment horizontal="right" vertical="center"/>
    </xf>
    <xf numFmtId="0" fontId="29" fillId="0" borderId="4" xfId="0" applyFont="1" applyBorder="1" applyAlignment="1">
      <alignment vertical="center"/>
    </xf>
    <xf numFmtId="165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43" fontId="4" fillId="0" borderId="0" xfId="2" applyFont="1" applyAlignment="1" applyProtection="1">
      <alignment vertical="center"/>
    </xf>
    <xf numFmtId="0" fontId="33" fillId="5" borderId="2" xfId="0" applyFont="1" applyFill="1" applyBorder="1" applyAlignment="1">
      <alignment horizontal="center" vertical="center"/>
    </xf>
    <xf numFmtId="49" fontId="33" fillId="0" borderId="4" xfId="0" applyNumberFormat="1" applyFont="1" applyBorder="1" applyAlignment="1">
      <alignment horizontal="center" vertical="center"/>
    </xf>
    <xf numFmtId="0" fontId="41" fillId="0" borderId="2" xfId="0" applyFont="1" applyBorder="1" applyAlignment="1">
      <alignment vertical="center" wrapText="1"/>
    </xf>
    <xf numFmtId="0" fontId="29" fillId="0" borderId="2" xfId="0" applyFont="1" applyBorder="1" applyAlignment="1">
      <alignment vertical="center"/>
    </xf>
    <xf numFmtId="0" fontId="29" fillId="0" borderId="4" xfId="0" applyFont="1" applyBorder="1" applyAlignment="1" applyProtection="1">
      <alignment horizontal="left" vertical="center" wrapText="1"/>
      <protection locked="0"/>
    </xf>
    <xf numFmtId="0" fontId="29" fillId="0" borderId="4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>
      <alignment vertical="center"/>
    </xf>
    <xf numFmtId="49" fontId="33" fillId="5" borderId="4" xfId="0" applyNumberFormat="1" applyFont="1" applyFill="1" applyBorder="1" applyAlignment="1">
      <alignment horizontal="center" vertical="center"/>
    </xf>
    <xf numFmtId="0" fontId="41" fillId="5" borderId="4" xfId="0" applyFont="1" applyFill="1" applyBorder="1" applyAlignment="1" applyProtection="1">
      <alignment horizontal="left" vertical="center" wrapText="1"/>
      <protection locked="0"/>
    </xf>
    <xf numFmtId="0" fontId="29" fillId="5" borderId="4" xfId="0" applyFont="1" applyFill="1" applyBorder="1" applyAlignment="1" applyProtection="1">
      <alignment horizontal="left" vertical="center"/>
      <protection locked="0"/>
    </xf>
    <xf numFmtId="14" fontId="29" fillId="5" borderId="4" xfId="0" applyNumberFormat="1" applyFont="1" applyFill="1" applyBorder="1" applyAlignment="1" applyProtection="1">
      <alignment horizontal="center" vertical="center"/>
      <protection locked="0"/>
    </xf>
    <xf numFmtId="14" fontId="29" fillId="0" borderId="4" xfId="0" applyNumberFormat="1" applyFont="1" applyBorder="1" applyAlignment="1" applyProtection="1">
      <alignment horizontal="center" vertical="center"/>
      <protection locked="0"/>
    </xf>
    <xf numFmtId="165" fontId="29" fillId="0" borderId="4" xfId="2" applyNumberFormat="1" applyFont="1" applyFill="1" applyBorder="1" applyAlignment="1" applyProtection="1">
      <alignment horizontal="right" vertical="center"/>
    </xf>
    <xf numFmtId="165" fontId="29" fillId="0" borderId="4" xfId="2" applyNumberFormat="1" applyFont="1" applyBorder="1" applyAlignment="1" applyProtection="1">
      <alignment horizontal="right" vertical="center"/>
      <protection locked="0"/>
    </xf>
    <xf numFmtId="165" fontId="29" fillId="0" borderId="4" xfId="2" applyNumberFormat="1" applyFont="1" applyBorder="1" applyAlignment="1" applyProtection="1">
      <alignment horizontal="right" vertical="center"/>
    </xf>
    <xf numFmtId="165" fontId="29" fillId="2" borderId="4" xfId="2" applyNumberFormat="1" applyFont="1" applyFill="1" applyBorder="1" applyAlignment="1" applyProtection="1">
      <alignment horizontal="right" vertical="center"/>
    </xf>
    <xf numFmtId="10" fontId="29" fillId="2" borderId="4" xfId="3" applyNumberFormat="1" applyFont="1" applyFill="1" applyBorder="1" applyAlignment="1" applyProtection="1">
      <alignment horizontal="right" vertical="center"/>
    </xf>
    <xf numFmtId="165" fontId="29" fillId="7" borderId="4" xfId="2" applyNumberFormat="1" applyFont="1" applyFill="1" applyBorder="1" applyAlignment="1" applyProtection="1">
      <alignment horizontal="right" vertical="center"/>
    </xf>
    <xf numFmtId="166" fontId="29" fillId="0" borderId="4" xfId="2" applyNumberFormat="1" applyFont="1" applyBorder="1" applyAlignment="1" applyProtection="1">
      <alignment horizontal="right" vertical="center"/>
      <protection locked="0"/>
    </xf>
    <xf numFmtId="0" fontId="18" fillId="0" borderId="4" xfId="0" applyFont="1" applyBorder="1" applyAlignment="1">
      <alignment vertical="center"/>
    </xf>
    <xf numFmtId="0" fontId="18" fillId="0" borderId="0" xfId="0" applyFont="1" applyAlignment="1">
      <alignment vertical="center"/>
    </xf>
    <xf numFmtId="2" fontId="27" fillId="0" borderId="4" xfId="0" applyNumberFormat="1" applyFont="1" applyBorder="1" applyAlignment="1" applyProtection="1">
      <alignment horizontal="right" vertical="center"/>
      <protection locked="0"/>
    </xf>
    <xf numFmtId="49" fontId="29" fillId="0" borderId="9" xfId="0" applyNumberFormat="1" applyFont="1" applyBorder="1" applyAlignment="1">
      <alignment horizontal="center" vertical="center"/>
    </xf>
    <xf numFmtId="49" fontId="29" fillId="5" borderId="1" xfId="0" applyNumberFormat="1" applyFont="1" applyFill="1" applyBorder="1" applyAlignment="1">
      <alignment horizontal="center" vertical="center"/>
    </xf>
    <xf numFmtId="49" fontId="29" fillId="0" borderId="1" xfId="0" applyNumberFormat="1" applyFont="1" applyBorder="1" applyAlignment="1">
      <alignment horizontal="center" vertical="center"/>
    </xf>
    <xf numFmtId="0" fontId="41" fillId="0" borderId="3" xfId="0" applyFont="1" applyBorder="1" applyAlignment="1" applyProtection="1">
      <alignment horizontal="left" vertical="center" wrapText="1"/>
      <protection locked="0"/>
    </xf>
    <xf numFmtId="14" fontId="29" fillId="0" borderId="1" xfId="0" applyNumberFormat="1" applyFont="1" applyBorder="1" applyAlignment="1" applyProtection="1">
      <alignment horizontal="center" vertical="center"/>
      <protection locked="0"/>
    </xf>
    <xf numFmtId="0" fontId="29" fillId="0" borderId="1" xfId="0" applyFont="1" applyBorder="1" applyAlignment="1" applyProtection="1">
      <alignment horizontal="left" vertical="center" wrapText="1"/>
      <protection locked="0"/>
    </xf>
    <xf numFmtId="0" fontId="29" fillId="0" borderId="1" xfId="0" applyFont="1" applyBorder="1" applyAlignment="1" applyProtection="1">
      <alignment horizontal="center" vertical="center"/>
      <protection locked="0"/>
    </xf>
    <xf numFmtId="0" fontId="18" fillId="0" borderId="1" xfId="0" applyFont="1" applyBorder="1" applyAlignment="1">
      <alignment vertical="center"/>
    </xf>
    <xf numFmtId="0" fontId="29" fillId="5" borderId="4" xfId="0" applyFont="1" applyFill="1" applyBorder="1" applyAlignment="1" applyProtection="1">
      <alignment horizontal="left" vertical="center" wrapText="1"/>
      <protection locked="0"/>
    </xf>
    <xf numFmtId="0" fontId="29" fillId="5" borderId="4" xfId="0" applyFont="1" applyFill="1" applyBorder="1" applyAlignment="1" applyProtection="1">
      <alignment horizontal="center" vertical="center"/>
      <protection locked="0"/>
    </xf>
    <xf numFmtId="165" fontId="29" fillId="5" borderId="4" xfId="2" applyNumberFormat="1" applyFont="1" applyFill="1" applyBorder="1" applyAlignment="1" applyProtection="1">
      <alignment horizontal="right" vertical="center"/>
    </xf>
    <xf numFmtId="0" fontId="18" fillId="5" borderId="4" xfId="0" applyFont="1" applyFill="1" applyBorder="1" applyAlignment="1">
      <alignment vertical="center"/>
    </xf>
    <xf numFmtId="165" fontId="27" fillId="2" borderId="4" xfId="2" applyNumberFormat="1" applyFont="1" applyFill="1" applyBorder="1" applyAlignment="1" applyProtection="1">
      <alignment horizontal="right" vertical="center"/>
    </xf>
    <xf numFmtId="0" fontId="29" fillId="0" borderId="0" xfId="0" applyFont="1" applyAlignment="1">
      <alignment horizontal="center" vertical="center"/>
    </xf>
    <xf numFmtId="0" fontId="29" fillId="0" borderId="7" xfId="0" applyFont="1" applyBorder="1" applyAlignment="1" applyProtection="1">
      <alignment horizontal="center" vertical="center"/>
      <protection locked="0"/>
    </xf>
    <xf numFmtId="2" fontId="4" fillId="0" borderId="7" xfId="0" applyNumberFormat="1" applyFont="1" applyBorder="1" applyAlignment="1" applyProtection="1">
      <alignment horizontal="right" vertical="center"/>
      <protection locked="0"/>
    </xf>
    <xf numFmtId="0" fontId="0" fillId="0" borderId="0" xfId="0" applyAlignment="1">
      <alignment vertical="center"/>
    </xf>
    <xf numFmtId="0" fontId="33" fillId="5" borderId="4" xfId="0" applyFont="1" applyFill="1" applyBorder="1" applyAlignment="1">
      <alignment horizontal="center" vertical="center"/>
    </xf>
    <xf numFmtId="0" fontId="33" fillId="0" borderId="4" xfId="0" applyFont="1" applyBorder="1" applyAlignment="1" applyProtection="1">
      <alignment horizontal="left" vertical="center"/>
      <protection locked="0"/>
    </xf>
    <xf numFmtId="165" fontId="29" fillId="0" borderId="7" xfId="2" applyNumberFormat="1" applyFont="1" applyFill="1" applyBorder="1" applyAlignment="1" applyProtection="1">
      <alignment horizontal="right" vertical="center"/>
    </xf>
    <xf numFmtId="165" fontId="29" fillId="0" borderId="7" xfId="2" applyNumberFormat="1" applyFont="1" applyBorder="1" applyAlignment="1" applyProtection="1">
      <alignment horizontal="right" vertical="center"/>
      <protection locked="0"/>
    </xf>
    <xf numFmtId="165" fontId="29" fillId="0" borderId="7" xfId="2" applyNumberFormat="1" applyFont="1" applyBorder="1" applyAlignment="1" applyProtection="1">
      <alignment horizontal="right" vertical="center"/>
    </xf>
    <xf numFmtId="14" fontId="33" fillId="0" borderId="4" xfId="0" applyNumberFormat="1" applyFont="1" applyBorder="1" applyAlignment="1">
      <alignment horizontal="center" vertical="center"/>
    </xf>
    <xf numFmtId="49" fontId="29" fillId="0" borderId="18" xfId="0" applyNumberFormat="1" applyFont="1" applyBorder="1" applyAlignment="1">
      <alignment horizontal="center" vertical="center"/>
    </xf>
    <xf numFmtId="49" fontId="41" fillId="0" borderId="4" xfId="5" applyNumberFormat="1" applyFont="1" applyBorder="1" applyAlignment="1" applyProtection="1">
      <alignment vertical="center" wrapText="1"/>
      <protection locked="0"/>
    </xf>
    <xf numFmtId="0" fontId="31" fillId="0" borderId="0" xfId="0" applyFont="1" applyAlignment="1" applyProtection="1">
      <alignment horizontal="center" vertical="center"/>
      <protection locked="0"/>
    </xf>
    <xf numFmtId="14" fontId="33" fillId="0" borderId="4" xfId="0" applyNumberFormat="1" applyFont="1" applyBorder="1" applyAlignment="1" applyProtection="1">
      <alignment horizontal="left" vertical="center" wrapText="1"/>
      <protection locked="0"/>
    </xf>
    <xf numFmtId="14" fontId="33" fillId="5" borderId="4" xfId="0" applyNumberFormat="1" applyFont="1" applyFill="1" applyBorder="1" applyAlignment="1" applyProtection="1">
      <alignment horizontal="center" vertical="center"/>
      <protection locked="0"/>
    </xf>
    <xf numFmtId="49" fontId="1" fillId="0" borderId="7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vertical="center"/>
    </xf>
    <xf numFmtId="0" fontId="1" fillId="0" borderId="0" xfId="0" applyFont="1" applyAlignment="1">
      <alignment vertical="center"/>
    </xf>
    <xf numFmtId="49" fontId="1" fillId="0" borderId="0" xfId="0" applyNumberFormat="1" applyFont="1" applyAlignment="1">
      <alignment horizontal="center" vertical="center"/>
    </xf>
    <xf numFmtId="49" fontId="33" fillId="0" borderId="3" xfId="0" applyNumberFormat="1" applyFont="1" applyBorder="1" applyAlignment="1">
      <alignment horizontal="center" vertical="center"/>
    </xf>
    <xf numFmtId="0" fontId="41" fillId="5" borderId="3" xfId="0" applyFont="1" applyFill="1" applyBorder="1" applyAlignment="1" applyProtection="1">
      <alignment horizontal="left" vertical="center" wrapText="1"/>
      <protection locked="0"/>
    </xf>
    <xf numFmtId="14" fontId="33" fillId="5" borderId="3" xfId="0" applyNumberFormat="1" applyFont="1" applyFill="1" applyBorder="1" applyAlignment="1" applyProtection="1">
      <alignment horizontal="center" vertical="center"/>
      <protection locked="0"/>
    </xf>
    <xf numFmtId="0" fontId="33" fillId="0" borderId="3" xfId="0" applyFont="1" applyBorder="1" applyAlignment="1" applyProtection="1">
      <alignment horizontal="left" vertical="center" wrapText="1"/>
      <protection locked="0"/>
    </xf>
    <xf numFmtId="165" fontId="33" fillId="0" borderId="3" xfId="2" applyNumberFormat="1" applyFont="1" applyFill="1" applyBorder="1" applyAlignment="1" applyProtection="1">
      <alignment horizontal="right" vertical="center"/>
    </xf>
    <xf numFmtId="165" fontId="33" fillId="0" borderId="3" xfId="2" applyNumberFormat="1" applyFont="1" applyBorder="1" applyAlignment="1" applyProtection="1">
      <alignment horizontal="right" vertical="center"/>
      <protection locked="0"/>
    </xf>
    <xf numFmtId="165" fontId="33" fillId="0" borderId="3" xfId="2" applyNumberFormat="1" applyFont="1" applyBorder="1" applyAlignment="1" applyProtection="1">
      <alignment horizontal="right" vertical="center"/>
    </xf>
    <xf numFmtId="0" fontId="1" fillId="0" borderId="3" xfId="0" applyFont="1" applyBorder="1" applyAlignment="1">
      <alignment vertical="center"/>
    </xf>
    <xf numFmtId="43" fontId="1" fillId="0" borderId="0" xfId="2" applyFont="1" applyAlignment="1" applyProtection="1">
      <alignment vertical="center"/>
    </xf>
    <xf numFmtId="0" fontId="5" fillId="4" borderId="4" xfId="0" applyFont="1" applyFill="1" applyBorder="1" applyAlignment="1">
      <alignment horizontal="center" vertical="center"/>
    </xf>
    <xf numFmtId="0" fontId="33" fillId="5" borderId="4" xfId="0" applyFont="1" applyFill="1" applyBorder="1" applyAlignment="1">
      <alignment horizontal="center" vertical="center" wrapText="1"/>
    </xf>
    <xf numFmtId="49" fontId="33" fillId="5" borderId="4" xfId="0" applyNumberFormat="1" applyFont="1" applyFill="1" applyBorder="1" applyAlignment="1">
      <alignment horizontal="center" vertical="center" wrapText="1"/>
    </xf>
    <xf numFmtId="0" fontId="41" fillId="5" borderId="4" xfId="0" applyFont="1" applyFill="1" applyBorder="1" applyAlignment="1">
      <alignment horizontal="left" vertical="center" wrapText="1"/>
    </xf>
    <xf numFmtId="0" fontId="29" fillId="5" borderId="4" xfId="0" applyFont="1" applyFill="1" applyBorder="1" applyAlignment="1">
      <alignment horizontal="left" vertical="center"/>
    </xf>
    <xf numFmtId="14" fontId="33" fillId="5" borderId="4" xfId="0" applyNumberFormat="1" applyFont="1" applyFill="1" applyBorder="1" applyAlignment="1">
      <alignment horizontal="center" vertical="center"/>
    </xf>
    <xf numFmtId="0" fontId="33" fillId="5" borderId="4" xfId="0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vertical="center"/>
    </xf>
    <xf numFmtId="49" fontId="4" fillId="0" borderId="4" xfId="0" applyNumberFormat="1" applyFont="1" applyBorder="1" applyAlignment="1">
      <alignment horizontal="center" vertical="center"/>
    </xf>
    <xf numFmtId="9" fontId="18" fillId="0" borderId="0" xfId="0" applyNumberFormat="1" applyFont="1" applyAlignment="1">
      <alignment vertical="center"/>
    </xf>
    <xf numFmtId="0" fontId="39" fillId="0" borderId="0" xfId="0" applyFont="1" applyAlignment="1">
      <alignment vertical="center"/>
    </xf>
    <xf numFmtId="49" fontId="4" fillId="0" borderId="15" xfId="0" applyNumberFormat="1" applyFont="1" applyBorder="1" applyAlignment="1">
      <alignment horizontal="center" vertical="center"/>
    </xf>
    <xf numFmtId="0" fontId="29" fillId="0" borderId="0" xfId="0" applyFont="1" applyAlignment="1">
      <alignment vertical="center"/>
    </xf>
    <xf numFmtId="9" fontId="29" fillId="0" borderId="0" xfId="0" applyNumberFormat="1" applyFont="1" applyAlignment="1">
      <alignment vertical="center"/>
    </xf>
    <xf numFmtId="0" fontId="29" fillId="0" borderId="4" xfId="0" applyFont="1" applyBorder="1" applyAlignment="1">
      <alignment horizontal="center" vertical="center"/>
    </xf>
    <xf numFmtId="0" fontId="29" fillId="5" borderId="4" xfId="0" applyFont="1" applyFill="1" applyBorder="1" applyAlignment="1">
      <alignment vertical="center"/>
    </xf>
    <xf numFmtId="14" fontId="33" fillId="0" borderId="4" xfId="0" applyNumberFormat="1" applyFont="1" applyBorder="1" applyAlignment="1" applyProtection="1">
      <alignment horizontal="left" vertical="center"/>
      <protection locked="0"/>
    </xf>
    <xf numFmtId="14" fontId="29" fillId="0" borderId="4" xfId="0" applyNumberFormat="1" applyFont="1" applyBorder="1" applyAlignment="1" applyProtection="1">
      <alignment horizontal="left" vertical="center"/>
      <protection locked="0"/>
    </xf>
    <xf numFmtId="4" fontId="29" fillId="0" borderId="4" xfId="0" applyNumberFormat="1" applyFont="1" applyBorder="1" applyAlignment="1" applyProtection="1">
      <alignment horizontal="right" vertical="center"/>
      <protection locked="0"/>
    </xf>
    <xf numFmtId="0" fontId="0" fillId="0" borderId="4" xfId="0" applyBorder="1" applyAlignment="1">
      <alignment vertical="center"/>
    </xf>
    <xf numFmtId="0" fontId="40" fillId="0" borderId="4" xfId="0" applyFont="1" applyBorder="1" applyAlignment="1">
      <alignment vertical="center"/>
    </xf>
    <xf numFmtId="165" fontId="18" fillId="2" borderId="4" xfId="2" applyNumberFormat="1" applyFont="1" applyFill="1" applyBorder="1" applyAlignment="1" applyProtection="1">
      <alignment horizontal="right" vertical="center"/>
    </xf>
    <xf numFmtId="0" fontId="33" fillId="0" borderId="4" xfId="0" applyFont="1" applyBorder="1" applyAlignment="1">
      <alignment vertical="center"/>
    </xf>
    <xf numFmtId="49" fontId="33" fillId="0" borderId="2" xfId="0" applyNumberFormat="1" applyFont="1" applyBorder="1" applyAlignment="1">
      <alignment horizontal="center" vertical="center"/>
    </xf>
    <xf numFmtId="14" fontId="33" fillId="0" borderId="2" xfId="0" applyNumberFormat="1" applyFont="1" applyBorder="1" applyAlignment="1">
      <alignment horizontal="center" vertical="center"/>
    </xf>
    <xf numFmtId="49" fontId="29" fillId="0" borderId="0" xfId="0" applyNumberFormat="1" applyFont="1" applyAlignment="1">
      <alignment horizontal="center" vertical="center"/>
    </xf>
    <xf numFmtId="0" fontId="3" fillId="0" borderId="9" xfId="0" applyFont="1" applyBorder="1" applyAlignment="1">
      <alignment horizontal="center"/>
    </xf>
    <xf numFmtId="0" fontId="32" fillId="0" borderId="6" xfId="0" applyFont="1" applyBorder="1" applyAlignment="1">
      <alignment horizontal="center"/>
    </xf>
    <xf numFmtId="0" fontId="41" fillId="0" borderId="4" xfId="0" applyFont="1" applyBorder="1" applyAlignment="1">
      <alignment vertical="center" wrapText="1"/>
    </xf>
    <xf numFmtId="0" fontId="1" fillId="0" borderId="4" xfId="0" applyFont="1" applyBorder="1" applyAlignment="1" applyProtection="1">
      <alignment horizontal="left" vertical="center"/>
      <protection locked="0"/>
    </xf>
    <xf numFmtId="0" fontId="21" fillId="0" borderId="0" xfId="0" applyFont="1" applyAlignment="1">
      <alignment vertical="center"/>
    </xf>
    <xf numFmtId="14" fontId="33" fillId="0" borderId="3" xfId="0" applyNumberFormat="1" applyFont="1" applyBorder="1" applyAlignment="1">
      <alignment horizontal="center" vertical="center"/>
    </xf>
    <xf numFmtId="0" fontId="24" fillId="4" borderId="1" xfId="0" applyFont="1" applyFill="1" applyBorder="1" applyAlignment="1">
      <alignment horizontal="center" vertical="center"/>
    </xf>
    <xf numFmtId="0" fontId="29" fillId="5" borderId="4" xfId="0" applyFont="1" applyFill="1" applyBorder="1" applyAlignment="1">
      <alignment horizontal="center" vertical="center"/>
    </xf>
    <xf numFmtId="14" fontId="29" fillId="5" borderId="4" xfId="0" applyNumberFormat="1" applyFont="1" applyFill="1" applyBorder="1" applyAlignment="1">
      <alignment horizontal="left" vertical="center" wrapText="1"/>
    </xf>
    <xf numFmtId="0" fontId="29" fillId="5" borderId="4" xfId="0" applyFont="1" applyFill="1" applyBorder="1" applyAlignment="1">
      <alignment horizontal="left" vertical="center" wrapText="1"/>
    </xf>
    <xf numFmtId="14" fontId="29" fillId="5" borderId="4" xfId="0" applyNumberFormat="1" applyFont="1" applyFill="1" applyBorder="1" applyAlignment="1">
      <alignment horizontal="center" vertical="center"/>
    </xf>
    <xf numFmtId="0" fontId="29" fillId="5" borderId="2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wrapText="1"/>
    </xf>
    <xf numFmtId="0" fontId="2" fillId="4" borderId="4" xfId="0" applyFont="1" applyFill="1" applyBorder="1" applyAlignment="1">
      <alignment horizontal="center" wrapText="1"/>
    </xf>
    <xf numFmtId="0" fontId="41" fillId="0" borderId="0" xfId="0" applyFont="1" applyAlignment="1" applyProtection="1">
      <alignment horizontal="left" vertical="center" wrapText="1"/>
      <protection locked="0"/>
    </xf>
    <xf numFmtId="165" fontId="29" fillId="2" borderId="0" xfId="2" applyNumberFormat="1" applyFont="1" applyFill="1" applyBorder="1" applyAlignment="1" applyProtection="1">
      <alignment horizontal="right" vertical="center"/>
    </xf>
    <xf numFmtId="165" fontId="27" fillId="2" borderId="0" xfId="2" applyNumberFormat="1" applyFont="1" applyFill="1" applyBorder="1" applyAlignment="1" applyProtection="1">
      <alignment horizontal="right" vertical="center"/>
    </xf>
    <xf numFmtId="10" fontId="29" fillId="2" borderId="0" xfId="3" applyNumberFormat="1" applyFont="1" applyFill="1" applyBorder="1" applyAlignment="1" applyProtection="1">
      <alignment horizontal="right" vertical="center"/>
    </xf>
    <xf numFmtId="165" fontId="29" fillId="7" borderId="0" xfId="2" applyNumberFormat="1" applyFont="1" applyFill="1" applyBorder="1" applyAlignment="1" applyProtection="1">
      <alignment horizontal="right" vertical="center"/>
    </xf>
    <xf numFmtId="49" fontId="29" fillId="0" borderId="15" xfId="0" applyNumberFormat="1" applyFont="1" applyBorder="1" applyAlignment="1">
      <alignment horizontal="center" vertical="center"/>
    </xf>
    <xf numFmtId="14" fontId="29" fillId="0" borderId="0" xfId="0" applyNumberFormat="1" applyFont="1" applyAlignment="1" applyProtection="1">
      <alignment horizontal="center" vertical="center"/>
      <protection locked="0"/>
    </xf>
    <xf numFmtId="0" fontId="29" fillId="0" borderId="0" xfId="0" applyFont="1" applyAlignment="1" applyProtection="1">
      <alignment horizontal="left" vertical="center" wrapText="1"/>
      <protection locked="0"/>
    </xf>
    <xf numFmtId="0" fontId="29" fillId="0" borderId="0" xfId="0" applyFont="1" applyAlignment="1" applyProtection="1">
      <alignment horizontal="center" vertical="center"/>
      <protection locked="0"/>
    </xf>
    <xf numFmtId="2" fontId="27" fillId="0" borderId="0" xfId="0" applyNumberFormat="1" applyFont="1" applyAlignment="1" applyProtection="1">
      <alignment horizontal="right" vertical="center"/>
      <protection locked="0"/>
    </xf>
    <xf numFmtId="165" fontId="29" fillId="0" borderId="0" xfId="2" applyNumberFormat="1" applyFont="1" applyFill="1" applyBorder="1" applyAlignment="1" applyProtection="1">
      <alignment horizontal="right" vertical="center"/>
    </xf>
    <xf numFmtId="165" fontId="29" fillId="0" borderId="0" xfId="2" applyNumberFormat="1" applyFont="1" applyBorder="1" applyAlignment="1" applyProtection="1">
      <alignment horizontal="right" vertical="center"/>
      <protection locked="0"/>
    </xf>
    <xf numFmtId="165" fontId="29" fillId="0" borderId="0" xfId="2" applyNumberFormat="1" applyFont="1" applyBorder="1" applyAlignment="1" applyProtection="1">
      <alignment horizontal="right" vertical="center"/>
    </xf>
    <xf numFmtId="0" fontId="18" fillId="4" borderId="4" xfId="0" applyFont="1" applyFill="1" applyBorder="1"/>
    <xf numFmtId="165" fontId="33" fillId="2" borderId="4" xfId="2" applyNumberFormat="1" applyFont="1" applyFill="1" applyBorder="1" applyAlignment="1" applyProtection="1">
      <alignment horizontal="right" vertical="center"/>
    </xf>
    <xf numFmtId="10" fontId="33" fillId="2" borderId="4" xfId="3" applyNumberFormat="1" applyFont="1" applyFill="1" applyBorder="1" applyAlignment="1" applyProtection="1">
      <alignment horizontal="right" vertical="center"/>
    </xf>
    <xf numFmtId="165" fontId="33" fillId="7" borderId="4" xfId="2" applyNumberFormat="1" applyFont="1" applyFill="1" applyBorder="1" applyAlignment="1" applyProtection="1">
      <alignment horizontal="right" vertical="center"/>
    </xf>
    <xf numFmtId="0" fontId="4" fillId="0" borderId="4" xfId="0" applyFont="1" applyBorder="1"/>
    <xf numFmtId="49" fontId="33" fillId="5" borderId="0" xfId="0" applyNumberFormat="1" applyFont="1" applyFill="1" applyBorder="1" applyAlignment="1">
      <alignment horizontal="center" vertical="center"/>
    </xf>
    <xf numFmtId="49" fontId="33" fillId="0" borderId="0" xfId="0" applyNumberFormat="1" applyFont="1" applyBorder="1" applyAlignment="1">
      <alignment horizontal="center" vertical="center"/>
    </xf>
    <xf numFmtId="0" fontId="41" fillId="0" borderId="0" xfId="0" applyFont="1" applyBorder="1" applyAlignment="1" applyProtection="1">
      <alignment horizontal="left" vertical="center" wrapText="1"/>
      <protection locked="0"/>
    </xf>
    <xf numFmtId="14" fontId="33" fillId="0" borderId="0" xfId="0" applyNumberFormat="1" applyFont="1" applyBorder="1" applyAlignment="1" applyProtection="1">
      <alignment horizontal="center" vertical="center"/>
      <protection locked="0"/>
    </xf>
    <xf numFmtId="0" fontId="33" fillId="0" borderId="0" xfId="0" applyFont="1" applyBorder="1" applyAlignment="1" applyProtection="1">
      <alignment horizontal="left" vertical="center" wrapText="1"/>
      <protection locked="0"/>
    </xf>
    <xf numFmtId="0" fontId="33" fillId="0" borderId="0" xfId="0" applyFont="1" applyBorder="1" applyAlignment="1" applyProtection="1">
      <alignment horizontal="center" vertical="center"/>
      <protection locked="0"/>
    </xf>
    <xf numFmtId="2" fontId="33" fillId="0" borderId="0" xfId="0" applyNumberFormat="1" applyFont="1" applyBorder="1" applyAlignment="1" applyProtection="1">
      <alignment horizontal="right" vertical="center"/>
      <protection locked="0"/>
    </xf>
    <xf numFmtId="165" fontId="33" fillId="0" borderId="0" xfId="2" applyNumberFormat="1" applyFont="1" applyFill="1" applyBorder="1" applyAlignment="1" applyProtection="1">
      <alignment horizontal="right" vertical="center"/>
    </xf>
    <xf numFmtId="165" fontId="33" fillId="0" borderId="0" xfId="2" applyNumberFormat="1" applyFont="1" applyBorder="1" applyAlignment="1" applyProtection="1">
      <alignment horizontal="right" vertical="center"/>
      <protection locked="0"/>
    </xf>
    <xf numFmtId="165" fontId="33" fillId="0" borderId="0" xfId="2" applyNumberFormat="1" applyFont="1" applyBorder="1" applyAlignment="1" applyProtection="1">
      <alignment horizontal="right" vertical="center"/>
    </xf>
    <xf numFmtId="0" fontId="29" fillId="0" borderId="0" xfId="0" applyFont="1" applyBorder="1" applyAlignment="1">
      <alignment vertical="center"/>
    </xf>
    <xf numFmtId="49" fontId="1" fillId="0" borderId="18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44" fillId="0" borderId="0" xfId="0" applyFont="1"/>
    <xf numFmtId="0" fontId="3" fillId="0" borderId="0" xfId="0" applyFont="1" applyBorder="1" applyAlignment="1">
      <alignment horizontal="center"/>
    </xf>
    <xf numFmtId="0" fontId="29" fillId="0" borderId="15" xfId="0" applyFont="1" applyBorder="1" applyAlignment="1">
      <alignment horizontal="center" vertical="center"/>
    </xf>
    <xf numFmtId="14" fontId="33" fillId="5" borderId="0" xfId="0" applyNumberFormat="1" applyFont="1" applyFill="1" applyBorder="1" applyAlignment="1" applyProtection="1">
      <alignment horizontal="center" vertical="center"/>
      <protection locked="0"/>
    </xf>
    <xf numFmtId="0" fontId="29" fillId="0" borderId="0" xfId="0" applyFont="1" applyBorder="1" applyAlignment="1" applyProtection="1">
      <alignment horizontal="left" vertical="center" wrapText="1"/>
      <protection locked="0"/>
    </xf>
    <xf numFmtId="0" fontId="29" fillId="5" borderId="0" xfId="0" applyFont="1" applyFill="1" applyBorder="1" applyAlignment="1">
      <alignment vertical="center"/>
    </xf>
    <xf numFmtId="0" fontId="9" fillId="0" borderId="9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32" fillId="0" borderId="15" xfId="0" applyFont="1" applyBorder="1" applyAlignment="1">
      <alignment horizontal="center"/>
    </xf>
    <xf numFmtId="0" fontId="32" fillId="0" borderId="16" xfId="0" applyFont="1" applyBorder="1" applyAlignment="1">
      <alignment horizontal="center"/>
    </xf>
    <xf numFmtId="0" fontId="32" fillId="0" borderId="17" xfId="0" applyFont="1" applyBorder="1" applyAlignment="1">
      <alignment horizontal="center"/>
    </xf>
    <xf numFmtId="0" fontId="31" fillId="0" borderId="0" xfId="0" applyFont="1" applyAlignment="1">
      <alignment horizontal="center"/>
    </xf>
    <xf numFmtId="0" fontId="31" fillId="0" borderId="0" xfId="0" applyFont="1" applyAlignment="1" applyProtection="1">
      <alignment horizontal="center"/>
      <protection locked="0"/>
    </xf>
    <xf numFmtId="0" fontId="28" fillId="3" borderId="15" xfId="0" applyFont="1" applyFill="1" applyBorder="1" applyAlignment="1">
      <alignment horizontal="center"/>
    </xf>
    <xf numFmtId="0" fontId="28" fillId="3" borderId="16" xfId="0" applyFont="1" applyFill="1" applyBorder="1" applyAlignment="1">
      <alignment horizontal="center"/>
    </xf>
    <xf numFmtId="0" fontId="28" fillId="3" borderId="17" xfId="0" applyFont="1" applyFill="1" applyBorder="1" applyAlignment="1">
      <alignment horizontal="center"/>
    </xf>
    <xf numFmtId="0" fontId="28" fillId="2" borderId="15" xfId="0" applyFont="1" applyFill="1" applyBorder="1" applyAlignment="1">
      <alignment horizontal="center"/>
    </xf>
    <xf numFmtId="0" fontId="28" fillId="2" borderId="16" xfId="0" applyFont="1" applyFill="1" applyBorder="1" applyAlignment="1">
      <alignment horizontal="center"/>
    </xf>
    <xf numFmtId="0" fontId="28" fillId="2" borderId="17" xfId="0" applyFont="1" applyFill="1" applyBorder="1" applyAlignment="1">
      <alignment horizontal="center"/>
    </xf>
    <xf numFmtId="0" fontId="28" fillId="0" borderId="15" xfId="0" applyFont="1" applyBorder="1" applyAlignment="1">
      <alignment horizontal="center"/>
    </xf>
    <xf numFmtId="0" fontId="28" fillId="0" borderId="17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3" fillId="3" borderId="15" xfId="0" applyFont="1" applyFill="1" applyBorder="1" applyAlignment="1">
      <alignment horizontal="center"/>
    </xf>
    <xf numFmtId="0" fontId="3" fillId="3" borderId="16" xfId="0" applyFont="1" applyFill="1" applyBorder="1" applyAlignment="1">
      <alignment horizontal="center"/>
    </xf>
    <xf numFmtId="0" fontId="3" fillId="3" borderId="17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3" fillId="2" borderId="17" xfId="0" applyFont="1" applyFill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165" fontId="43" fillId="0" borderId="0" xfId="2" applyNumberFormat="1" applyFont="1" applyFill="1" applyBorder="1" applyAlignment="1" applyProtection="1">
      <alignment horizontal="center"/>
    </xf>
    <xf numFmtId="165" fontId="43" fillId="0" borderId="0" xfId="2" applyNumberFormat="1" applyFont="1" applyBorder="1" applyAlignment="1" applyProtection="1">
      <alignment horizontal="center"/>
      <protection locked="0"/>
    </xf>
    <xf numFmtId="0" fontId="17" fillId="0" borderId="3" xfId="0" applyFont="1" applyBorder="1" applyAlignment="1">
      <alignment horizontal="center" wrapText="1"/>
    </xf>
    <xf numFmtId="0" fontId="17" fillId="0" borderId="1" xfId="0" applyFont="1" applyBorder="1" applyAlignment="1">
      <alignment horizontal="center" wrapText="1"/>
    </xf>
    <xf numFmtId="0" fontId="17" fillId="0" borderId="2" xfId="0" applyFont="1" applyBorder="1" applyAlignment="1">
      <alignment horizontal="center" wrapText="1"/>
    </xf>
    <xf numFmtId="0" fontId="17" fillId="3" borderId="15" xfId="0" applyFont="1" applyFill="1" applyBorder="1" applyAlignment="1">
      <alignment horizontal="center"/>
    </xf>
    <xf numFmtId="0" fontId="17" fillId="3" borderId="16" xfId="0" applyFont="1" applyFill="1" applyBorder="1" applyAlignment="1">
      <alignment horizontal="center"/>
    </xf>
    <xf numFmtId="0" fontId="17" fillId="3" borderId="17" xfId="0" applyFont="1" applyFill="1" applyBorder="1" applyAlignment="1">
      <alignment horizontal="center"/>
    </xf>
    <xf numFmtId="0" fontId="17" fillId="2" borderId="15" xfId="0" applyFont="1" applyFill="1" applyBorder="1" applyAlignment="1">
      <alignment horizontal="center"/>
    </xf>
    <xf numFmtId="0" fontId="17" fillId="2" borderId="16" xfId="0" applyFont="1" applyFill="1" applyBorder="1" applyAlignment="1">
      <alignment horizontal="center"/>
    </xf>
    <xf numFmtId="0" fontId="17" fillId="2" borderId="17" xfId="0" applyFont="1" applyFill="1" applyBorder="1" applyAlignment="1">
      <alignment horizontal="center"/>
    </xf>
    <xf numFmtId="0" fontId="17" fillId="0" borderId="15" xfId="0" applyFont="1" applyBorder="1" applyAlignment="1">
      <alignment horizontal="center"/>
    </xf>
    <xf numFmtId="0" fontId="17" fillId="0" borderId="17" xfId="0" applyFont="1" applyBorder="1" applyAlignment="1">
      <alignment horizontal="center"/>
    </xf>
    <xf numFmtId="0" fontId="43" fillId="0" borderId="0" xfId="0" applyFont="1" applyAlignment="1" applyProtection="1">
      <alignment horizontal="center" wrapText="1"/>
      <protection locked="0"/>
    </xf>
    <xf numFmtId="0" fontId="28" fillId="0" borderId="3" xfId="0" applyFont="1" applyBorder="1" applyAlignment="1">
      <alignment horizontal="center" wrapText="1"/>
    </xf>
    <xf numFmtId="0" fontId="28" fillId="0" borderId="1" xfId="0" applyFont="1" applyBorder="1" applyAlignment="1">
      <alignment horizontal="center" wrapText="1"/>
    </xf>
    <xf numFmtId="0" fontId="28" fillId="0" borderId="2" xfId="0" applyFont="1" applyBorder="1" applyAlignment="1">
      <alignment horizontal="center" wrapText="1"/>
    </xf>
    <xf numFmtId="0" fontId="31" fillId="0" borderId="11" xfId="0" applyFont="1" applyBorder="1" applyAlignment="1" applyProtection="1">
      <alignment horizontal="center"/>
      <protection locked="0"/>
    </xf>
    <xf numFmtId="0" fontId="32" fillId="0" borderId="4" xfId="0" applyFont="1" applyBorder="1" applyAlignment="1">
      <alignment horizontal="center"/>
    </xf>
    <xf numFmtId="165" fontId="45" fillId="0" borderId="0" xfId="2" applyNumberFormat="1" applyFont="1" applyFill="1" applyBorder="1" applyAlignment="1" applyProtection="1">
      <alignment horizontal="center" vertical="center"/>
    </xf>
    <xf numFmtId="0" fontId="28" fillId="4" borderId="15" xfId="0" applyFont="1" applyFill="1" applyBorder="1" applyAlignment="1">
      <alignment horizontal="center"/>
    </xf>
    <xf numFmtId="0" fontId="28" fillId="4" borderId="16" xfId="0" applyFont="1" applyFill="1" applyBorder="1" applyAlignment="1">
      <alignment horizontal="center"/>
    </xf>
    <xf numFmtId="0" fontId="28" fillId="4" borderId="17" xfId="0" applyFont="1" applyFill="1" applyBorder="1" applyAlignment="1">
      <alignment horizontal="center"/>
    </xf>
    <xf numFmtId="0" fontId="13" fillId="0" borderId="0" xfId="0" applyFont="1" applyAlignment="1" applyProtection="1">
      <alignment horizontal="center"/>
      <protection locked="0"/>
    </xf>
    <xf numFmtId="0" fontId="3" fillId="0" borderId="3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49" fontId="36" fillId="0" borderId="0" xfId="0" applyNumberFormat="1" applyFont="1" applyAlignment="1">
      <alignment horizontal="center" wrapText="1"/>
    </xf>
    <xf numFmtId="0" fontId="38" fillId="0" borderId="0" xfId="0" applyFont="1" applyAlignment="1">
      <alignment wrapText="1"/>
    </xf>
    <xf numFmtId="49" fontId="29" fillId="0" borderId="0" xfId="0" applyNumberFormat="1" applyFont="1" applyAlignment="1">
      <alignment horizontal="center" wrapText="1"/>
    </xf>
    <xf numFmtId="0" fontId="0" fillId="0" borderId="0" xfId="0" applyAlignment="1">
      <alignment wrapText="1"/>
    </xf>
    <xf numFmtId="0" fontId="42" fillId="4" borderId="15" xfId="0" applyFont="1" applyFill="1" applyBorder="1" applyAlignment="1">
      <alignment horizontal="center"/>
    </xf>
    <xf numFmtId="0" fontId="42" fillId="4" borderId="16" xfId="0" applyFont="1" applyFill="1" applyBorder="1" applyAlignment="1">
      <alignment horizontal="center"/>
    </xf>
    <xf numFmtId="0" fontId="24" fillId="3" borderId="15" xfId="0" applyFont="1" applyFill="1" applyBorder="1" applyAlignment="1">
      <alignment horizontal="center"/>
    </xf>
    <xf numFmtId="0" fontId="24" fillId="3" borderId="16" xfId="0" applyFont="1" applyFill="1" applyBorder="1" applyAlignment="1">
      <alignment horizontal="center"/>
    </xf>
    <xf numFmtId="0" fontId="24" fillId="3" borderId="17" xfId="0" applyFont="1" applyFill="1" applyBorder="1" applyAlignment="1">
      <alignment horizontal="center"/>
    </xf>
    <xf numFmtId="0" fontId="24" fillId="2" borderId="15" xfId="0" applyFont="1" applyFill="1" applyBorder="1" applyAlignment="1">
      <alignment horizontal="center"/>
    </xf>
    <xf numFmtId="0" fontId="24" fillId="2" borderId="16" xfId="0" applyFont="1" applyFill="1" applyBorder="1" applyAlignment="1">
      <alignment horizontal="center"/>
    </xf>
    <xf numFmtId="0" fontId="24" fillId="2" borderId="17" xfId="0" applyFont="1" applyFill="1" applyBorder="1" applyAlignment="1">
      <alignment horizontal="center"/>
    </xf>
    <xf numFmtId="0" fontId="24" fillId="0" borderId="15" xfId="0" applyFont="1" applyBorder="1" applyAlignment="1">
      <alignment horizontal="center"/>
    </xf>
    <xf numFmtId="0" fontId="24" fillId="0" borderId="17" xfId="0" applyFont="1" applyBorder="1" applyAlignment="1">
      <alignment horizontal="center"/>
    </xf>
  </cellXfs>
  <cellStyles count="6">
    <cellStyle name="Euro" xfId="1" xr:uid="{00000000-0005-0000-0000-000000000000}"/>
    <cellStyle name="Millares" xfId="2" builtinId="3"/>
    <cellStyle name="Normal" xfId="0" builtinId="0"/>
    <cellStyle name="Normal 2" xfId="4" xr:uid="{00000000-0005-0000-0000-000003000000}"/>
    <cellStyle name="Normal_~9885111" xfId="5" xr:uid="{00000000-0005-0000-0000-000004000000}"/>
    <cellStyle name="Porcentaje" xfId="3" builtinId="5"/>
  </cellStyles>
  <dxfs count="0"/>
  <tableStyles count="0" defaultTableStyle="TableStyleMedium9" defaultPivotStyle="PivotStyleLight16"/>
  <colors>
    <mruColors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664029</xdr:colOff>
      <xdr:row>0</xdr:row>
      <xdr:rowOff>0</xdr:rowOff>
    </xdr:from>
    <xdr:to>
      <xdr:col>3</xdr:col>
      <xdr:colOff>1143000</xdr:colOff>
      <xdr:row>3</xdr:row>
      <xdr:rowOff>81643</xdr:rowOff>
    </xdr:to>
    <xdr:pic>
      <xdr:nvPicPr>
        <xdr:cNvPr id="4" name="2 Imagen" descr="14071">
          <a:extLst>
            <a:ext uri="{FF2B5EF4-FFF2-40B4-BE49-F238E27FC236}">
              <a16:creationId xmlns:a16="http://schemas.microsoft.com/office/drawing/2014/main" id="{0D23DF88-52B2-4855-9535-482329DD8544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0458" y="0"/>
          <a:ext cx="1145721" cy="8164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20</xdr:row>
      <xdr:rowOff>70039</xdr:rowOff>
    </xdr:from>
    <xdr:to>
      <xdr:col>4</xdr:col>
      <xdr:colOff>53148</xdr:colOff>
      <xdr:row>23</xdr:row>
      <xdr:rowOff>64268</xdr:rowOff>
    </xdr:to>
    <xdr:pic>
      <xdr:nvPicPr>
        <xdr:cNvPr id="2" name="2 Imagen" descr="14071">
          <a:extLst>
            <a:ext uri="{FF2B5EF4-FFF2-40B4-BE49-F238E27FC236}">
              <a16:creationId xmlns:a16="http://schemas.microsoft.com/office/drawing/2014/main" id="{942159E2-9274-4B3B-8716-120FA1EE8689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61029" y="21319193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4</xdr:col>
      <xdr:colOff>53148</xdr:colOff>
      <xdr:row>4</xdr:row>
      <xdr:rowOff>64266</xdr:rowOff>
    </xdr:to>
    <xdr:pic>
      <xdr:nvPicPr>
        <xdr:cNvPr id="5" name="2 Imagen" descr="14071">
          <a:extLst>
            <a:ext uri="{FF2B5EF4-FFF2-40B4-BE49-F238E27FC236}">
              <a16:creationId xmlns:a16="http://schemas.microsoft.com/office/drawing/2014/main" id="{71BA8397-073E-449D-BEDF-6741F3F5034A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54816" y="0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37</xdr:row>
      <xdr:rowOff>70036</xdr:rowOff>
    </xdr:from>
    <xdr:to>
      <xdr:col>4</xdr:col>
      <xdr:colOff>53148</xdr:colOff>
      <xdr:row>39</xdr:row>
      <xdr:rowOff>330405</xdr:rowOff>
    </xdr:to>
    <xdr:pic>
      <xdr:nvPicPr>
        <xdr:cNvPr id="3" name="2 Imagen" descr="14071">
          <a:extLst>
            <a:ext uri="{FF2B5EF4-FFF2-40B4-BE49-F238E27FC236}">
              <a16:creationId xmlns:a16="http://schemas.microsoft.com/office/drawing/2014/main" id="{2242ECC0-A1C2-4D4A-BC57-EB26CD523CAD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06948" y="42862499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391439</xdr:colOff>
      <xdr:row>0</xdr:row>
      <xdr:rowOff>13048</xdr:rowOff>
    </xdr:from>
    <xdr:to>
      <xdr:col>3</xdr:col>
      <xdr:colOff>1537160</xdr:colOff>
      <xdr:row>4</xdr:row>
      <xdr:rowOff>4399</xdr:rowOff>
    </xdr:to>
    <xdr:pic>
      <xdr:nvPicPr>
        <xdr:cNvPr id="4" name="2 Imagen" descr="14071">
          <a:extLst>
            <a:ext uri="{FF2B5EF4-FFF2-40B4-BE49-F238E27FC236}">
              <a16:creationId xmlns:a16="http://schemas.microsoft.com/office/drawing/2014/main" id="{476DE00F-5B70-4E31-B490-75D6EC2956E9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26610" y="13048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358775</xdr:colOff>
      <xdr:row>0</xdr:row>
      <xdr:rowOff>28575</xdr:rowOff>
    </xdr:from>
    <xdr:to>
      <xdr:col>3</xdr:col>
      <xdr:colOff>1504496</xdr:colOff>
      <xdr:row>4</xdr:row>
      <xdr:rowOff>31582</xdr:rowOff>
    </xdr:to>
    <xdr:pic>
      <xdr:nvPicPr>
        <xdr:cNvPr id="3" name="2 Imagen" descr="14071">
          <a:extLst>
            <a:ext uri="{FF2B5EF4-FFF2-40B4-BE49-F238E27FC236}">
              <a16:creationId xmlns:a16="http://schemas.microsoft.com/office/drawing/2014/main" id="{DB33F908-AB02-4EB3-8FB8-C7893CB33979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7875" y="28575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360795</xdr:colOff>
      <xdr:row>0</xdr:row>
      <xdr:rowOff>0</xdr:rowOff>
    </xdr:from>
    <xdr:to>
      <xdr:col>3</xdr:col>
      <xdr:colOff>1506516</xdr:colOff>
      <xdr:row>3</xdr:row>
      <xdr:rowOff>168684</xdr:rowOff>
    </xdr:to>
    <xdr:pic>
      <xdr:nvPicPr>
        <xdr:cNvPr id="4" name="2 Imagen" descr="14071">
          <a:extLst>
            <a:ext uri="{FF2B5EF4-FFF2-40B4-BE49-F238E27FC236}">
              <a16:creationId xmlns:a16="http://schemas.microsoft.com/office/drawing/2014/main" id="{B47055A7-9597-4BCD-8EA9-E2DA08BF4F64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746250" y="0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3</xdr:col>
      <xdr:colOff>721590</xdr:colOff>
      <xdr:row>16</xdr:row>
      <xdr:rowOff>28863</xdr:rowOff>
    </xdr:from>
    <xdr:ext cx="1145721" cy="904707"/>
    <xdr:pic>
      <xdr:nvPicPr>
        <xdr:cNvPr id="2" name="2 Imagen" descr="14071">
          <a:extLst>
            <a:ext uri="{FF2B5EF4-FFF2-40B4-BE49-F238E27FC236}">
              <a16:creationId xmlns:a16="http://schemas.microsoft.com/office/drawing/2014/main" id="{4F471F24-8008-4F5B-B79E-DC97D522610A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7045" y="30494431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173182</xdr:colOff>
      <xdr:row>28</xdr:row>
      <xdr:rowOff>72159</xdr:rowOff>
    </xdr:from>
    <xdr:ext cx="1601931" cy="1284432"/>
    <xdr:pic>
      <xdr:nvPicPr>
        <xdr:cNvPr id="6" name="2 Imagen" descr="14071">
          <a:extLst>
            <a:ext uri="{FF2B5EF4-FFF2-40B4-BE49-F238E27FC236}">
              <a16:creationId xmlns:a16="http://schemas.microsoft.com/office/drawing/2014/main" id="{2BB8AEC6-0F0F-41EB-9D76-F58AA3349D24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58637" y="58217954"/>
          <a:ext cx="1601931" cy="12844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538370</xdr:colOff>
      <xdr:row>0</xdr:row>
      <xdr:rowOff>0</xdr:rowOff>
    </xdr:from>
    <xdr:to>
      <xdr:col>3</xdr:col>
      <xdr:colOff>1684091</xdr:colOff>
      <xdr:row>3</xdr:row>
      <xdr:rowOff>186881</xdr:rowOff>
    </xdr:to>
    <xdr:pic>
      <xdr:nvPicPr>
        <xdr:cNvPr id="5" name="2 Imagen" descr="14071">
          <a:extLst>
            <a:ext uri="{FF2B5EF4-FFF2-40B4-BE49-F238E27FC236}">
              <a16:creationId xmlns:a16="http://schemas.microsoft.com/office/drawing/2014/main" id="{2DD8ABD7-99D1-4F8F-A5EE-D86925D22A12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15435" y="0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289891</xdr:colOff>
      <xdr:row>15</xdr:row>
      <xdr:rowOff>317501</xdr:rowOff>
    </xdr:from>
    <xdr:to>
      <xdr:col>3</xdr:col>
      <xdr:colOff>1435612</xdr:colOff>
      <xdr:row>18</xdr:row>
      <xdr:rowOff>186882</xdr:rowOff>
    </xdr:to>
    <xdr:pic>
      <xdr:nvPicPr>
        <xdr:cNvPr id="2" name="2 Imagen" descr="14071">
          <a:extLst>
            <a:ext uri="{FF2B5EF4-FFF2-40B4-BE49-F238E27FC236}">
              <a16:creationId xmlns:a16="http://schemas.microsoft.com/office/drawing/2014/main" id="{DA6A873F-2BE8-4FDA-9840-0C3A42B9B2BE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22174" y="15888805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3</xdr:col>
      <xdr:colOff>262283</xdr:colOff>
      <xdr:row>27</xdr:row>
      <xdr:rowOff>124241</xdr:rowOff>
    </xdr:from>
    <xdr:ext cx="1145721" cy="959924"/>
    <xdr:pic>
      <xdr:nvPicPr>
        <xdr:cNvPr id="4" name="2 Imagen" descr="14071">
          <a:extLst>
            <a:ext uri="{FF2B5EF4-FFF2-40B4-BE49-F238E27FC236}">
              <a16:creationId xmlns:a16="http://schemas.microsoft.com/office/drawing/2014/main" id="{4F78BE8B-C1F3-40D8-B43A-B5B83F247E8C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794566" y="40653806"/>
          <a:ext cx="1145721" cy="9599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311727</xdr:colOff>
      <xdr:row>0</xdr:row>
      <xdr:rowOff>1</xdr:rowOff>
    </xdr:from>
    <xdr:to>
      <xdr:col>3</xdr:col>
      <xdr:colOff>1457448</xdr:colOff>
      <xdr:row>4</xdr:row>
      <xdr:rowOff>21481</xdr:rowOff>
    </xdr:to>
    <xdr:pic>
      <xdr:nvPicPr>
        <xdr:cNvPr id="5" name="2 Imagen" descr="14071">
          <a:extLst>
            <a:ext uri="{FF2B5EF4-FFF2-40B4-BE49-F238E27FC236}">
              <a16:creationId xmlns:a16="http://schemas.microsoft.com/office/drawing/2014/main" id="{2CDC97BE-DEAF-4C42-A420-CB8A8E9523FA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82091" y="1"/>
          <a:ext cx="1145721" cy="9393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502228</xdr:colOff>
      <xdr:row>18</xdr:row>
      <xdr:rowOff>242454</xdr:rowOff>
    </xdr:from>
    <xdr:to>
      <xdr:col>3</xdr:col>
      <xdr:colOff>851312</xdr:colOff>
      <xdr:row>20</xdr:row>
      <xdr:rowOff>281253</xdr:rowOff>
    </xdr:to>
    <xdr:pic>
      <xdr:nvPicPr>
        <xdr:cNvPr id="2" name="2 Imagen" descr="14071">
          <a:extLst>
            <a:ext uri="{FF2B5EF4-FFF2-40B4-BE49-F238E27FC236}">
              <a16:creationId xmlns:a16="http://schemas.microsoft.com/office/drawing/2014/main" id="{B48F73C0-C0A6-498C-924B-E85738A6A7EC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75955" y="19742727"/>
          <a:ext cx="1145721" cy="9393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3</xdr:col>
      <xdr:colOff>346363</xdr:colOff>
      <xdr:row>32</xdr:row>
      <xdr:rowOff>190500</xdr:rowOff>
    </xdr:from>
    <xdr:ext cx="1541318" cy="1489364"/>
    <xdr:pic>
      <xdr:nvPicPr>
        <xdr:cNvPr id="8" name="2 Imagen" descr="14071">
          <a:extLst>
            <a:ext uri="{FF2B5EF4-FFF2-40B4-BE49-F238E27FC236}">
              <a16:creationId xmlns:a16="http://schemas.microsoft.com/office/drawing/2014/main" id="{339CBAE4-9C52-4CCE-9DE0-EE76C849C30A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16727" y="39191045"/>
          <a:ext cx="1541318" cy="14893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623455</xdr:colOff>
      <xdr:row>47</xdr:row>
      <xdr:rowOff>121227</xdr:rowOff>
    </xdr:from>
    <xdr:ext cx="1541318" cy="1489364"/>
    <xdr:pic>
      <xdr:nvPicPr>
        <xdr:cNvPr id="7" name="2 Imagen" descr="14071">
          <a:extLst>
            <a:ext uri="{FF2B5EF4-FFF2-40B4-BE49-F238E27FC236}">
              <a16:creationId xmlns:a16="http://schemas.microsoft.com/office/drawing/2014/main" id="{3E13C997-5623-43AD-A157-A77D5A19E37B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7182" y="61011954"/>
          <a:ext cx="1541318" cy="14893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434474</xdr:colOff>
      <xdr:row>0</xdr:row>
      <xdr:rowOff>100264</xdr:rowOff>
    </xdr:from>
    <xdr:to>
      <xdr:col>3</xdr:col>
      <xdr:colOff>1580195</xdr:colOff>
      <xdr:row>4</xdr:row>
      <xdr:rowOff>102603</xdr:rowOff>
    </xdr:to>
    <xdr:pic>
      <xdr:nvPicPr>
        <xdr:cNvPr id="3" name="2 Imagen" descr="14071">
          <a:extLst>
            <a:ext uri="{FF2B5EF4-FFF2-40B4-BE49-F238E27FC236}">
              <a16:creationId xmlns:a16="http://schemas.microsoft.com/office/drawing/2014/main" id="{C198BC4F-77D6-4531-815C-B4074261EE55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87500" y="100264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416035</xdr:colOff>
      <xdr:row>0</xdr:row>
      <xdr:rowOff>76639</xdr:rowOff>
    </xdr:from>
    <xdr:to>
      <xdr:col>3</xdr:col>
      <xdr:colOff>1561756</xdr:colOff>
      <xdr:row>4</xdr:row>
      <xdr:rowOff>105484</xdr:rowOff>
    </xdr:to>
    <xdr:pic>
      <xdr:nvPicPr>
        <xdr:cNvPr id="3" name="2 Imagen" descr="14071">
          <a:extLst>
            <a:ext uri="{FF2B5EF4-FFF2-40B4-BE49-F238E27FC236}">
              <a16:creationId xmlns:a16="http://schemas.microsoft.com/office/drawing/2014/main" id="{19A53EC1-A4F3-4570-8B57-4CB9F8EDA4AA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8966" y="76639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21897</xdr:colOff>
      <xdr:row>15</xdr:row>
      <xdr:rowOff>131379</xdr:rowOff>
    </xdr:from>
    <xdr:to>
      <xdr:col>3</xdr:col>
      <xdr:colOff>1226207</xdr:colOff>
      <xdr:row>18</xdr:row>
      <xdr:rowOff>284655</xdr:rowOff>
    </xdr:to>
    <xdr:pic>
      <xdr:nvPicPr>
        <xdr:cNvPr id="2" name="2 Imagen" descr="14071">
          <a:extLst>
            <a:ext uri="{FF2B5EF4-FFF2-40B4-BE49-F238E27FC236}">
              <a16:creationId xmlns:a16="http://schemas.microsoft.com/office/drawing/2014/main" id="{FDFD991E-5A76-4A10-A907-347AD923915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94828" y="16718017"/>
          <a:ext cx="1204310" cy="10400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285750</xdr:colOff>
      <xdr:row>0</xdr:row>
      <xdr:rowOff>104775</xdr:rowOff>
    </xdr:from>
    <xdr:to>
      <xdr:col>2</xdr:col>
      <xdr:colOff>1431471</xdr:colOff>
      <xdr:row>4</xdr:row>
      <xdr:rowOff>114132</xdr:rowOff>
    </xdr:to>
    <xdr:pic>
      <xdr:nvPicPr>
        <xdr:cNvPr id="3" name="2 Imagen" descr="14071">
          <a:extLst>
            <a:ext uri="{FF2B5EF4-FFF2-40B4-BE49-F238E27FC236}">
              <a16:creationId xmlns:a16="http://schemas.microsoft.com/office/drawing/2014/main" id="{A8081897-A522-4E72-A4FB-1B2B199FF56B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14475" y="104775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508870</xdr:colOff>
      <xdr:row>0</xdr:row>
      <xdr:rowOff>39144</xdr:rowOff>
    </xdr:from>
    <xdr:to>
      <xdr:col>3</xdr:col>
      <xdr:colOff>1654591</xdr:colOff>
      <xdr:row>4</xdr:row>
      <xdr:rowOff>30495</xdr:rowOff>
    </xdr:to>
    <xdr:pic>
      <xdr:nvPicPr>
        <xdr:cNvPr id="3" name="2 Imagen" descr="14071">
          <a:extLst>
            <a:ext uri="{FF2B5EF4-FFF2-40B4-BE49-F238E27FC236}">
              <a16:creationId xmlns:a16="http://schemas.microsoft.com/office/drawing/2014/main" id="{B453AB8B-A8E0-45AD-B70D-1E54C22057B9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00617" y="39144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534965</xdr:colOff>
      <xdr:row>15</xdr:row>
      <xdr:rowOff>169624</xdr:rowOff>
    </xdr:from>
    <xdr:to>
      <xdr:col>3</xdr:col>
      <xdr:colOff>1774520</xdr:colOff>
      <xdr:row>18</xdr:row>
      <xdr:rowOff>143527</xdr:rowOff>
    </xdr:to>
    <xdr:pic>
      <xdr:nvPicPr>
        <xdr:cNvPr id="2" name="2 Imagen" descr="14071">
          <a:extLst>
            <a:ext uri="{FF2B5EF4-FFF2-40B4-BE49-F238E27FC236}">
              <a16:creationId xmlns:a16="http://schemas.microsoft.com/office/drawing/2014/main" id="{E241E56D-25BD-4B18-98AA-D37D9F8EB4AD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26712" y="16583939"/>
          <a:ext cx="1239555" cy="10699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55"/>
  <sheetViews>
    <sheetView showGridLines="0" workbookViewId="0">
      <selection activeCell="F13" sqref="F13:G23"/>
    </sheetView>
  </sheetViews>
  <sheetFormatPr baseColWidth="10" defaultColWidth="11.42578125" defaultRowHeight="12.75" x14ac:dyDescent="0.2"/>
  <cols>
    <col min="2" max="4" width="13.7109375" customWidth="1"/>
    <col min="6" max="7" width="13.7109375" customWidth="1"/>
    <col min="9" max="9" width="11" customWidth="1"/>
  </cols>
  <sheetData>
    <row r="2" spans="1:9" ht="35.25" x14ac:dyDescent="0.3">
      <c r="B2" s="6" t="s">
        <v>55</v>
      </c>
      <c r="C2" s="7"/>
      <c r="D2" s="7"/>
      <c r="E2" s="7"/>
      <c r="F2" s="7"/>
      <c r="G2" s="7"/>
      <c r="I2" s="107" t="s">
        <v>159</v>
      </c>
    </row>
    <row r="3" spans="1:9" x14ac:dyDescent="0.2">
      <c r="B3" s="8" t="s">
        <v>47</v>
      </c>
      <c r="C3" s="7"/>
      <c r="D3" s="7"/>
      <c r="E3" s="7"/>
      <c r="F3" s="7"/>
      <c r="G3" s="7"/>
      <c r="I3" s="106">
        <v>278.8</v>
      </c>
    </row>
    <row r="4" spans="1:9" x14ac:dyDescent="0.2">
      <c r="B4" s="19" t="s">
        <v>341</v>
      </c>
      <c r="C4" s="7"/>
      <c r="D4" s="7"/>
      <c r="E4" s="7"/>
      <c r="F4" s="7"/>
      <c r="G4" s="7"/>
    </row>
    <row r="5" spans="1:9" x14ac:dyDescent="0.2">
      <c r="B5" s="7"/>
      <c r="C5" s="7"/>
      <c r="D5" s="7"/>
      <c r="E5" s="7"/>
      <c r="F5" s="7"/>
      <c r="G5" s="7"/>
    </row>
    <row r="6" spans="1:9" x14ac:dyDescent="0.2">
      <c r="B6" s="7"/>
      <c r="C6" s="7"/>
      <c r="D6" s="7"/>
      <c r="E6" s="7"/>
      <c r="F6" s="7"/>
      <c r="G6" s="7"/>
    </row>
    <row r="7" spans="1:9" ht="18.75" customHeight="1" x14ac:dyDescent="0.2">
      <c r="B7" s="414" t="s">
        <v>10</v>
      </c>
      <c r="C7" s="414"/>
      <c r="D7" s="414"/>
      <c r="E7" s="7"/>
      <c r="F7" s="407" t="s">
        <v>48</v>
      </c>
      <c r="G7" s="408"/>
      <c r="I7" s="107" t="s">
        <v>160</v>
      </c>
    </row>
    <row r="8" spans="1:9" ht="14.25" customHeight="1" x14ac:dyDescent="0.2">
      <c r="B8" s="411" t="s">
        <v>9</v>
      </c>
      <c r="C8" s="411"/>
      <c r="D8" s="411"/>
      <c r="E8" s="7"/>
      <c r="F8" s="412" t="s">
        <v>49</v>
      </c>
      <c r="G8" s="413"/>
      <c r="I8" s="106">
        <v>113.14</v>
      </c>
    </row>
    <row r="9" spans="1:9" ht="8.25" customHeight="1" x14ac:dyDescent="0.2">
      <c r="B9" s="415"/>
      <c r="C9" s="415"/>
      <c r="D9" s="415"/>
      <c r="E9" s="7"/>
      <c r="F9" s="409"/>
      <c r="G9" s="410"/>
    </row>
    <row r="10" spans="1:9" ht="16.5" customHeight="1" x14ac:dyDescent="0.2">
      <c r="B10" s="9" t="s">
        <v>11</v>
      </c>
      <c r="C10" s="9" t="s">
        <v>13</v>
      </c>
      <c r="D10" s="9" t="s">
        <v>7</v>
      </c>
      <c r="E10" s="7"/>
      <c r="F10" s="9" t="s">
        <v>16</v>
      </c>
      <c r="G10" s="9" t="s">
        <v>50</v>
      </c>
    </row>
    <row r="11" spans="1:9" x14ac:dyDescent="0.2">
      <c r="A11" s="2"/>
      <c r="B11" s="9" t="s">
        <v>12</v>
      </c>
      <c r="C11" s="9" t="s">
        <v>14</v>
      </c>
      <c r="D11" s="9" t="s">
        <v>15</v>
      </c>
      <c r="E11" s="7"/>
      <c r="F11" s="9"/>
      <c r="G11" s="9" t="s">
        <v>51</v>
      </c>
    </row>
    <row r="12" spans="1:9" x14ac:dyDescent="0.2">
      <c r="A12" s="3"/>
      <c r="B12" s="10"/>
      <c r="C12" s="10"/>
      <c r="D12" s="10"/>
      <c r="E12" s="11"/>
      <c r="F12" s="10"/>
      <c r="G12" s="10"/>
    </row>
    <row r="13" spans="1:9" ht="15.95" customHeight="1" x14ac:dyDescent="0.2">
      <c r="A13" s="1"/>
      <c r="B13" s="20">
        <v>0.01</v>
      </c>
      <c r="C13" s="20">
        <v>0</v>
      </c>
      <c r="D13" s="21">
        <v>1.9199999999999998E-2</v>
      </c>
      <c r="E13" s="14"/>
      <c r="F13" s="20">
        <v>0.01</v>
      </c>
      <c r="G13" s="20">
        <v>475</v>
      </c>
    </row>
    <row r="14" spans="1:9" ht="15.95" customHeight="1" x14ac:dyDescent="0.2">
      <c r="A14" s="1"/>
      <c r="B14" s="20">
        <v>746.05</v>
      </c>
      <c r="C14" s="20">
        <v>14.32</v>
      </c>
      <c r="D14" s="21">
        <v>6.4000000000000001E-2</v>
      </c>
      <c r="E14" s="14"/>
      <c r="F14" s="20">
        <v>10171.01</v>
      </c>
      <c r="G14" s="20">
        <v>0</v>
      </c>
    </row>
    <row r="15" spans="1:9" ht="15.95" customHeight="1" x14ac:dyDescent="0.2">
      <c r="A15" s="1"/>
      <c r="B15" s="20">
        <v>6332.06</v>
      </c>
      <c r="C15" s="20">
        <v>371.83</v>
      </c>
      <c r="D15" s="21">
        <v>0.10879999999999999</v>
      </c>
      <c r="E15" s="14"/>
      <c r="F15" s="20">
        <v>10171.01</v>
      </c>
      <c r="G15" s="20">
        <v>0</v>
      </c>
    </row>
    <row r="16" spans="1:9" ht="15.95" customHeight="1" x14ac:dyDescent="0.2">
      <c r="A16" s="1"/>
      <c r="B16" s="20">
        <v>11128.02</v>
      </c>
      <c r="C16" s="20">
        <v>893.63</v>
      </c>
      <c r="D16" s="21">
        <v>0.16</v>
      </c>
      <c r="E16" s="14"/>
      <c r="F16" s="20">
        <v>10171.01</v>
      </c>
      <c r="G16" s="20">
        <v>0</v>
      </c>
    </row>
    <row r="17" spans="1:8" ht="15.95" customHeight="1" x14ac:dyDescent="0.2">
      <c r="A17" s="1"/>
      <c r="B17" s="20">
        <v>12935.83</v>
      </c>
      <c r="C17" s="20">
        <v>1182.8800000000001</v>
      </c>
      <c r="D17" s="21">
        <v>0.1792</v>
      </c>
      <c r="E17" s="14"/>
      <c r="F17" s="20">
        <v>10171.01</v>
      </c>
      <c r="G17" s="20">
        <v>0</v>
      </c>
    </row>
    <row r="18" spans="1:8" ht="15.95" customHeight="1" x14ac:dyDescent="0.2">
      <c r="A18" s="1"/>
      <c r="B18" s="20">
        <v>15487.72</v>
      </c>
      <c r="C18" s="20">
        <v>1640.18</v>
      </c>
      <c r="D18" s="21">
        <v>0.21360000000000001</v>
      </c>
      <c r="E18" s="14"/>
      <c r="F18" s="20">
        <v>10171.01</v>
      </c>
      <c r="G18" s="20">
        <v>0</v>
      </c>
    </row>
    <row r="19" spans="1:8" ht="15.95" customHeight="1" x14ac:dyDescent="0.2">
      <c r="A19" s="1"/>
      <c r="B19" s="20">
        <v>31236.5</v>
      </c>
      <c r="C19" s="20">
        <v>5004.12</v>
      </c>
      <c r="D19" s="21">
        <v>0.23519999999999999</v>
      </c>
      <c r="E19" s="7"/>
      <c r="F19" s="20">
        <v>10171.01</v>
      </c>
      <c r="G19" s="20">
        <v>0</v>
      </c>
    </row>
    <row r="20" spans="1:8" ht="15.95" customHeight="1" x14ac:dyDescent="0.2">
      <c r="A20" s="1"/>
      <c r="B20" s="20">
        <v>49233.01</v>
      </c>
      <c r="C20" s="20">
        <v>9236.89</v>
      </c>
      <c r="D20" s="21">
        <v>0.3</v>
      </c>
      <c r="E20" s="7"/>
      <c r="F20" s="20">
        <v>10171.01</v>
      </c>
      <c r="G20" s="20">
        <v>0</v>
      </c>
    </row>
    <row r="21" spans="1:8" x14ac:dyDescent="0.2">
      <c r="A21" s="1"/>
      <c r="B21" s="20">
        <v>93993.91</v>
      </c>
      <c r="C21" s="20">
        <v>22665.17</v>
      </c>
      <c r="D21" s="21">
        <v>0.32</v>
      </c>
      <c r="E21" s="7"/>
      <c r="F21" s="20">
        <v>10171.01</v>
      </c>
      <c r="G21" s="20">
        <v>0</v>
      </c>
    </row>
    <row r="22" spans="1:8" ht="14.25" customHeight="1" x14ac:dyDescent="0.2">
      <c r="A22" s="1"/>
      <c r="B22" s="20">
        <v>125325.21</v>
      </c>
      <c r="C22" s="20">
        <v>32691.18</v>
      </c>
      <c r="D22" s="21">
        <v>0.34</v>
      </c>
      <c r="E22" s="7"/>
      <c r="F22" s="20">
        <v>10171.01</v>
      </c>
      <c r="G22" s="20">
        <v>0</v>
      </c>
    </row>
    <row r="23" spans="1:8" x14ac:dyDescent="0.2">
      <c r="B23" s="20">
        <v>375975.62</v>
      </c>
      <c r="C23" s="20">
        <v>117912.32000000001</v>
      </c>
      <c r="D23" s="21">
        <v>0.35</v>
      </c>
      <c r="E23" s="7"/>
      <c r="F23" s="20">
        <v>10171.01</v>
      </c>
      <c r="G23" s="20">
        <v>0</v>
      </c>
    </row>
    <row r="24" spans="1:8" x14ac:dyDescent="0.2">
      <c r="B24" s="15"/>
      <c r="C24" s="15"/>
      <c r="D24" s="16"/>
      <c r="E24" s="7"/>
      <c r="F24" s="17"/>
      <c r="G24" s="17"/>
    </row>
    <row r="25" spans="1:8" x14ac:dyDescent="0.2">
      <c r="E25" s="7"/>
      <c r="F25" s="7"/>
      <c r="G25" s="7"/>
    </row>
    <row r="26" spans="1:8" x14ac:dyDescent="0.2">
      <c r="B26" s="7"/>
      <c r="C26" s="7"/>
      <c r="D26" s="7"/>
      <c r="E26" s="7"/>
      <c r="F26" s="7"/>
      <c r="G26" s="7"/>
    </row>
    <row r="27" spans="1:8" x14ac:dyDescent="0.2">
      <c r="B27" s="8" t="s">
        <v>19</v>
      </c>
      <c r="C27" s="7"/>
      <c r="D27" s="7"/>
    </row>
    <row r="28" spans="1:8" ht="15.75" x14ac:dyDescent="0.25">
      <c r="B28" s="18" t="s">
        <v>343</v>
      </c>
      <c r="C28" s="7"/>
      <c r="D28" s="7"/>
    </row>
    <row r="29" spans="1:8" x14ac:dyDescent="0.2">
      <c r="B29" s="32" t="s">
        <v>342</v>
      </c>
      <c r="C29" s="7"/>
      <c r="D29" s="7"/>
    </row>
    <row r="30" spans="1:8" x14ac:dyDescent="0.2">
      <c r="B30" s="191" t="s">
        <v>245</v>
      </c>
      <c r="C30" s="190"/>
      <c r="D30" s="190"/>
      <c r="E30" s="190"/>
      <c r="F30" s="190"/>
      <c r="G30" s="190"/>
      <c r="H30" s="190"/>
    </row>
    <row r="32" spans="1:8" ht="17.25" customHeight="1" x14ac:dyDescent="0.2">
      <c r="B32" s="5" t="s">
        <v>45</v>
      </c>
      <c r="E32" s="7"/>
      <c r="F32" s="407" t="s">
        <v>53</v>
      </c>
      <c r="G32" s="408"/>
    </row>
    <row r="33" spans="2:7" x14ac:dyDescent="0.2">
      <c r="E33" s="7"/>
      <c r="F33" s="412" t="s">
        <v>54</v>
      </c>
      <c r="G33" s="413"/>
    </row>
    <row r="34" spans="2:7" ht="5.25" customHeight="1" x14ac:dyDescent="0.2">
      <c r="E34" s="7"/>
      <c r="F34" s="409"/>
      <c r="G34" s="410"/>
    </row>
    <row r="35" spans="2:7" x14ac:dyDescent="0.2">
      <c r="B35" s="414" t="s">
        <v>10</v>
      </c>
      <c r="C35" s="414"/>
      <c r="D35" s="414"/>
      <c r="E35" s="7"/>
      <c r="F35" s="9" t="s">
        <v>16</v>
      </c>
      <c r="G35" s="9" t="s">
        <v>17</v>
      </c>
    </row>
    <row r="36" spans="2:7" x14ac:dyDescent="0.2">
      <c r="B36" s="411" t="s">
        <v>9</v>
      </c>
      <c r="C36" s="411"/>
      <c r="D36" s="411"/>
      <c r="E36" s="7"/>
      <c r="F36" s="9"/>
      <c r="G36" s="9" t="s">
        <v>18</v>
      </c>
    </row>
    <row r="37" spans="2:7" x14ac:dyDescent="0.2">
      <c r="B37" s="415"/>
      <c r="C37" s="415"/>
      <c r="D37" s="415"/>
      <c r="E37" s="11"/>
      <c r="F37" s="10"/>
      <c r="G37" s="10"/>
    </row>
    <row r="38" spans="2:7" ht="15.95" customHeight="1" x14ac:dyDescent="0.2">
      <c r="B38" s="9" t="s">
        <v>11</v>
      </c>
      <c r="C38" s="9" t="s">
        <v>13</v>
      </c>
      <c r="D38" s="9" t="s">
        <v>7</v>
      </c>
      <c r="E38" s="14"/>
      <c r="F38" s="12">
        <v>0.01</v>
      </c>
      <c r="G38" s="12">
        <v>237.5</v>
      </c>
    </row>
    <row r="39" spans="2:7" ht="15.95" customHeight="1" x14ac:dyDescent="0.2">
      <c r="B39" s="9" t="s">
        <v>12</v>
      </c>
      <c r="C39" s="9" t="s">
        <v>14</v>
      </c>
      <c r="D39" s="9" t="s">
        <v>15</v>
      </c>
      <c r="E39" s="14"/>
      <c r="F39" s="12">
        <v>5085.51</v>
      </c>
      <c r="G39" s="12">
        <v>0</v>
      </c>
    </row>
    <row r="40" spans="2:7" ht="15.95" customHeight="1" x14ac:dyDescent="0.2">
      <c r="B40" s="10"/>
      <c r="C40" s="10"/>
      <c r="D40" s="10"/>
      <c r="E40" s="14"/>
      <c r="F40" s="12">
        <v>5085.51</v>
      </c>
      <c r="G40" s="12">
        <v>0</v>
      </c>
    </row>
    <row r="41" spans="2:7" ht="15.95" customHeight="1" x14ac:dyDescent="0.2">
      <c r="B41" s="12">
        <v>0.01</v>
      </c>
      <c r="C41" s="12">
        <v>0</v>
      </c>
      <c r="D41" s="13">
        <v>1.9199999999999998E-2</v>
      </c>
      <c r="E41" s="14"/>
      <c r="F41" s="12">
        <v>5085.51</v>
      </c>
      <c r="G41" s="12">
        <v>0</v>
      </c>
    </row>
    <row r="42" spans="2:7" ht="15.95" customHeight="1" x14ac:dyDescent="0.2">
      <c r="B42" s="12">
        <v>368.11</v>
      </c>
      <c r="C42" s="12">
        <v>7.05</v>
      </c>
      <c r="D42" s="13">
        <v>6.4000000000000001E-2</v>
      </c>
      <c r="E42" s="14"/>
      <c r="F42" s="12">
        <v>5085.51</v>
      </c>
      <c r="G42" s="12">
        <v>0</v>
      </c>
    </row>
    <row r="43" spans="2:7" ht="15.95" customHeight="1" x14ac:dyDescent="0.2">
      <c r="B43" s="12">
        <v>3124.36</v>
      </c>
      <c r="C43" s="12">
        <v>183.45</v>
      </c>
      <c r="D43" s="13">
        <v>0.10879999999999999</v>
      </c>
      <c r="E43" s="14"/>
      <c r="F43" s="12">
        <v>5085.51</v>
      </c>
      <c r="G43" s="12">
        <v>0</v>
      </c>
    </row>
    <row r="44" spans="2:7" ht="15.95" customHeight="1" x14ac:dyDescent="0.2">
      <c r="B44" s="12">
        <v>5490.76</v>
      </c>
      <c r="C44" s="12">
        <v>441</v>
      </c>
      <c r="D44" s="13">
        <v>0.16</v>
      </c>
      <c r="E44" s="7"/>
      <c r="F44" s="12">
        <v>5085.51</v>
      </c>
      <c r="G44" s="12">
        <v>0</v>
      </c>
    </row>
    <row r="45" spans="2:7" ht="15.95" customHeight="1" x14ac:dyDescent="0.2">
      <c r="B45" s="12">
        <v>6382.81</v>
      </c>
      <c r="C45" s="12">
        <v>583.65</v>
      </c>
      <c r="D45" s="13">
        <v>0.1792</v>
      </c>
      <c r="E45" s="7"/>
      <c r="F45" s="12">
        <v>5085.51</v>
      </c>
      <c r="G45" s="12">
        <v>0</v>
      </c>
    </row>
    <row r="46" spans="2:7" ht="15.95" customHeight="1" x14ac:dyDescent="0.2">
      <c r="B46" s="12">
        <v>7641.91</v>
      </c>
      <c r="C46" s="12">
        <v>809.25</v>
      </c>
      <c r="D46" s="13">
        <v>0.21360000000000001</v>
      </c>
      <c r="E46" s="7"/>
      <c r="F46" s="12">
        <v>5085.51</v>
      </c>
      <c r="G46" s="12">
        <v>0</v>
      </c>
    </row>
    <row r="47" spans="2:7" ht="15.95" customHeight="1" x14ac:dyDescent="0.2">
      <c r="B47" s="12">
        <v>15412.81</v>
      </c>
      <c r="C47" s="12">
        <v>2469.15</v>
      </c>
      <c r="D47" s="13">
        <v>0.23519999999999999</v>
      </c>
      <c r="E47" s="7"/>
      <c r="F47" s="12">
        <v>5085.51</v>
      </c>
      <c r="G47" s="12">
        <v>0</v>
      </c>
    </row>
    <row r="48" spans="2:7" ht="15.95" customHeight="1" x14ac:dyDescent="0.2">
      <c r="B48" s="12">
        <v>24292.66</v>
      </c>
      <c r="C48" s="12">
        <v>4557.75</v>
      </c>
      <c r="D48" s="13">
        <v>0.3</v>
      </c>
      <c r="E48" s="7"/>
      <c r="F48" s="12">
        <v>5085.51</v>
      </c>
      <c r="G48" s="12">
        <v>0</v>
      </c>
    </row>
    <row r="49" spans="2:7" x14ac:dyDescent="0.2">
      <c r="B49" s="12">
        <v>46378.51</v>
      </c>
      <c r="C49" s="12">
        <v>11183.4</v>
      </c>
      <c r="D49" s="13">
        <v>0.32</v>
      </c>
      <c r="E49" s="7"/>
      <c r="F49" s="17"/>
      <c r="G49" s="17"/>
    </row>
    <row r="50" spans="2:7" x14ac:dyDescent="0.2">
      <c r="B50" s="12">
        <v>61838.11</v>
      </c>
      <c r="C50" s="12">
        <v>16130.55</v>
      </c>
      <c r="D50" s="13">
        <v>0.34</v>
      </c>
    </row>
    <row r="51" spans="2:7" x14ac:dyDescent="0.2">
      <c r="B51" s="12">
        <v>185514.31</v>
      </c>
      <c r="C51" s="12">
        <v>58180.35</v>
      </c>
      <c r="D51" s="13">
        <v>0.35</v>
      </c>
    </row>
    <row r="52" spans="2:7" x14ac:dyDescent="0.2">
      <c r="B52" s="15"/>
      <c r="C52" s="15"/>
      <c r="D52" s="16"/>
    </row>
    <row r="54" spans="2:7" x14ac:dyDescent="0.2">
      <c r="B54" s="7"/>
      <c r="C54" s="7"/>
      <c r="D54" s="7"/>
    </row>
    <row r="55" spans="2:7" x14ac:dyDescent="0.2">
      <c r="B55" s="7"/>
      <c r="C55" s="7"/>
      <c r="D55" s="7"/>
    </row>
  </sheetData>
  <sheetProtection formatCells="0" formatColumns="0" formatRows="0" insertColumns="0" insertRows="0" insertHyperlinks="0" deleteColumns="0" deleteRows="0" sort="0" autoFilter="0" pivotTables="0"/>
  <mergeCells count="12">
    <mergeCell ref="B37:D37"/>
    <mergeCell ref="F34:G34"/>
    <mergeCell ref="B35:D35"/>
    <mergeCell ref="F32:G32"/>
    <mergeCell ref="B36:D36"/>
    <mergeCell ref="F33:G33"/>
    <mergeCell ref="F7:G7"/>
    <mergeCell ref="F9:G9"/>
    <mergeCell ref="B8:D8"/>
    <mergeCell ref="F8:G8"/>
    <mergeCell ref="B7:D7"/>
    <mergeCell ref="B9:D9"/>
  </mergeCells>
  <phoneticPr fontId="0" type="noConversion"/>
  <pageMargins left="0.75" right="0.75" top="1" bottom="1" header="0" footer="0"/>
  <pageSetup orientation="portrait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A24"/>
  <sheetViews>
    <sheetView topLeftCell="B1" zoomScale="73" zoomScaleNormal="73" workbookViewId="0">
      <selection sqref="A1:Z1"/>
    </sheetView>
  </sheetViews>
  <sheetFormatPr baseColWidth="10" defaultRowHeight="12.75" x14ac:dyDescent="0.2"/>
  <cols>
    <col min="1" max="1" width="4.140625" hidden="1" customWidth="1"/>
    <col min="2" max="2" width="10.5703125" customWidth="1"/>
    <col min="3" max="3" width="8.85546875" customWidth="1"/>
    <col min="4" max="4" width="27.5703125" customWidth="1"/>
    <col min="5" max="5" width="17.7109375" customWidth="1"/>
    <col min="6" max="6" width="18.85546875" customWidth="1"/>
    <col min="7" max="7" width="8.28515625" hidden="1" customWidth="1"/>
    <col min="8" max="8" width="11.5703125" hidden="1" customWidth="1"/>
    <col min="9" max="9" width="17.7109375" customWidth="1"/>
    <col min="10" max="10" width="13.5703125" customWidth="1"/>
    <col min="11" max="11" width="16.85546875" customWidth="1"/>
    <col min="12" max="12" width="11.42578125" hidden="1" customWidth="1"/>
    <col min="13" max="15" width="16" hidden="1" customWidth="1"/>
    <col min="16" max="20" width="11.42578125" hidden="1" customWidth="1"/>
    <col min="21" max="21" width="12" hidden="1" customWidth="1"/>
    <col min="22" max="22" width="9" customWidth="1"/>
    <col min="23" max="23" width="14.42578125" customWidth="1"/>
    <col min="24" max="24" width="14.5703125" bestFit="1" customWidth="1"/>
    <col min="25" max="25" width="16.85546875" customWidth="1"/>
    <col min="26" max="26" width="73.140625" customWidth="1"/>
  </cols>
  <sheetData>
    <row r="1" spans="1:27" ht="18" x14ac:dyDescent="0.25">
      <c r="A1" s="429" t="s">
        <v>76</v>
      </c>
      <c r="B1" s="429"/>
      <c r="C1" s="429"/>
      <c r="D1" s="429"/>
      <c r="E1" s="429"/>
      <c r="F1" s="429"/>
      <c r="G1" s="429"/>
      <c r="H1" s="429"/>
      <c r="I1" s="429"/>
      <c r="J1" s="429"/>
      <c r="K1" s="429"/>
      <c r="L1" s="429"/>
      <c r="M1" s="429"/>
      <c r="N1" s="429"/>
      <c r="O1" s="429"/>
      <c r="P1" s="429"/>
      <c r="Q1" s="429"/>
      <c r="R1" s="429"/>
      <c r="S1" s="429"/>
      <c r="T1" s="429"/>
      <c r="U1" s="429"/>
      <c r="V1" s="429"/>
      <c r="W1" s="429"/>
      <c r="X1" s="429"/>
      <c r="Y1" s="429"/>
      <c r="Z1" s="429"/>
    </row>
    <row r="2" spans="1:27" ht="18" x14ac:dyDescent="0.25">
      <c r="A2" s="429" t="s">
        <v>63</v>
      </c>
      <c r="B2" s="429"/>
      <c r="C2" s="429"/>
      <c r="D2" s="429"/>
      <c r="E2" s="429"/>
      <c r="F2" s="429"/>
      <c r="G2" s="429"/>
      <c r="H2" s="429"/>
      <c r="I2" s="429"/>
      <c r="J2" s="429"/>
      <c r="K2" s="429"/>
      <c r="L2" s="429"/>
      <c r="M2" s="429"/>
      <c r="N2" s="429"/>
      <c r="O2" s="429"/>
      <c r="P2" s="429"/>
      <c r="Q2" s="429"/>
      <c r="R2" s="429"/>
      <c r="S2" s="429"/>
      <c r="T2" s="429"/>
      <c r="U2" s="429"/>
      <c r="V2" s="429"/>
      <c r="W2" s="429"/>
      <c r="X2" s="429"/>
      <c r="Y2" s="429"/>
      <c r="Z2" s="429"/>
    </row>
    <row r="3" spans="1:27" ht="19.5" x14ac:dyDescent="0.25">
      <c r="A3" s="420" t="str">
        <f>PRESIDENCIA!A3</f>
        <v>SUELDO  DEL 01 AL 15 DE ABRIL DE 2025</v>
      </c>
      <c r="B3" s="420"/>
      <c r="C3" s="420"/>
      <c r="D3" s="420"/>
      <c r="E3" s="420"/>
      <c r="F3" s="420"/>
      <c r="G3" s="420"/>
      <c r="H3" s="420"/>
      <c r="I3" s="420"/>
      <c r="J3" s="420"/>
      <c r="K3" s="420"/>
      <c r="L3" s="420"/>
      <c r="M3" s="420"/>
      <c r="N3" s="420"/>
      <c r="O3" s="420"/>
      <c r="P3" s="420"/>
      <c r="Q3" s="420"/>
      <c r="R3" s="420"/>
      <c r="S3" s="420"/>
      <c r="T3" s="420"/>
      <c r="U3" s="420"/>
      <c r="V3" s="420"/>
      <c r="W3" s="420"/>
      <c r="X3" s="420"/>
      <c r="Y3" s="420"/>
      <c r="Z3" s="420"/>
    </row>
    <row r="4" spans="1:27" ht="15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</row>
    <row r="5" spans="1:27" x14ac:dyDescent="0.2">
      <c r="A5" s="22"/>
      <c r="B5" s="462" t="s">
        <v>95</v>
      </c>
      <c r="C5" s="462" t="s">
        <v>108</v>
      </c>
      <c r="D5" s="22"/>
      <c r="E5" s="22"/>
      <c r="F5" s="22"/>
      <c r="G5" s="23" t="s">
        <v>22</v>
      </c>
      <c r="H5" s="23" t="s">
        <v>5</v>
      </c>
      <c r="I5" s="430" t="s">
        <v>1</v>
      </c>
      <c r="J5" s="431"/>
      <c r="K5" s="432"/>
      <c r="L5" s="24" t="s">
        <v>25</v>
      </c>
      <c r="M5" s="25"/>
      <c r="N5" s="433" t="s">
        <v>8</v>
      </c>
      <c r="O5" s="434"/>
      <c r="P5" s="434"/>
      <c r="Q5" s="434"/>
      <c r="R5" s="434"/>
      <c r="S5" s="435"/>
      <c r="T5" s="24" t="s">
        <v>29</v>
      </c>
      <c r="U5" s="24" t="s">
        <v>9</v>
      </c>
      <c r="V5" s="23" t="s">
        <v>52</v>
      </c>
      <c r="W5" s="436" t="s">
        <v>2</v>
      </c>
      <c r="X5" s="437"/>
      <c r="Y5" s="23" t="s">
        <v>0</v>
      </c>
      <c r="Z5" s="33"/>
    </row>
    <row r="6" spans="1:27" ht="12.75" customHeight="1" x14ac:dyDescent="0.2">
      <c r="A6" s="26" t="s">
        <v>20</v>
      </c>
      <c r="B6" s="463"/>
      <c r="C6" s="463"/>
      <c r="D6" s="26" t="s">
        <v>21</v>
      </c>
      <c r="E6" s="26"/>
      <c r="F6" s="26"/>
      <c r="G6" s="27" t="s">
        <v>23</v>
      </c>
      <c r="H6" s="26" t="s">
        <v>24</v>
      </c>
      <c r="I6" s="23" t="s">
        <v>5</v>
      </c>
      <c r="J6" s="23" t="s">
        <v>57</v>
      </c>
      <c r="K6" s="23" t="s">
        <v>27</v>
      </c>
      <c r="L6" s="28" t="s">
        <v>26</v>
      </c>
      <c r="M6" s="25" t="s">
        <v>31</v>
      </c>
      <c r="N6" s="25" t="s">
        <v>11</v>
      </c>
      <c r="O6" s="25" t="s">
        <v>33</v>
      </c>
      <c r="P6" s="25" t="s">
        <v>35</v>
      </c>
      <c r="Q6" s="25" t="s">
        <v>36</v>
      </c>
      <c r="R6" s="25" t="s">
        <v>13</v>
      </c>
      <c r="S6" s="25" t="s">
        <v>9</v>
      </c>
      <c r="T6" s="28" t="s">
        <v>39</v>
      </c>
      <c r="U6" s="28" t="s">
        <v>40</v>
      </c>
      <c r="V6" s="26" t="s">
        <v>30</v>
      </c>
      <c r="W6" s="23" t="s">
        <v>192</v>
      </c>
      <c r="X6" s="23" t="s">
        <v>6</v>
      </c>
      <c r="Y6" s="26" t="s">
        <v>3</v>
      </c>
      <c r="Z6" s="35" t="s">
        <v>56</v>
      </c>
    </row>
    <row r="7" spans="1:27" x14ac:dyDescent="0.2">
      <c r="A7" s="29"/>
      <c r="B7" s="464"/>
      <c r="C7" s="464"/>
      <c r="D7" s="29"/>
      <c r="E7" s="29"/>
      <c r="F7" s="29"/>
      <c r="G7" s="29"/>
      <c r="H7" s="29"/>
      <c r="I7" s="29" t="s">
        <v>46</v>
      </c>
      <c r="J7" s="29" t="s">
        <v>58</v>
      </c>
      <c r="K7" s="29" t="s">
        <v>28</v>
      </c>
      <c r="L7" s="30" t="s">
        <v>42</v>
      </c>
      <c r="M7" s="24" t="s">
        <v>32</v>
      </c>
      <c r="N7" s="24" t="s">
        <v>12</v>
      </c>
      <c r="O7" s="24" t="s">
        <v>34</v>
      </c>
      <c r="P7" s="24" t="s">
        <v>34</v>
      </c>
      <c r="Q7" s="24" t="s">
        <v>37</v>
      </c>
      <c r="R7" s="24" t="s">
        <v>14</v>
      </c>
      <c r="S7" s="24" t="s">
        <v>38</v>
      </c>
      <c r="T7" s="28" t="s">
        <v>18</v>
      </c>
      <c r="U7" s="31" t="s">
        <v>41</v>
      </c>
      <c r="V7" s="29" t="s">
        <v>51</v>
      </c>
      <c r="W7" s="29"/>
      <c r="X7" s="29" t="s">
        <v>43</v>
      </c>
      <c r="Y7" s="29" t="s">
        <v>4</v>
      </c>
      <c r="Z7" s="34"/>
    </row>
    <row r="8" spans="1:27" ht="42" customHeight="1" x14ac:dyDescent="0.3">
      <c r="A8" s="124"/>
      <c r="B8" s="229"/>
      <c r="C8" s="217"/>
      <c r="D8" s="216" t="s">
        <v>328</v>
      </c>
      <c r="E8" s="216" t="s">
        <v>198</v>
      </c>
      <c r="F8" s="227" t="s">
        <v>60</v>
      </c>
      <c r="G8" s="227"/>
      <c r="H8" s="227"/>
      <c r="I8" s="227"/>
      <c r="J8" s="227"/>
      <c r="K8" s="124"/>
      <c r="L8" s="124"/>
      <c r="M8" s="124"/>
      <c r="N8" s="124"/>
      <c r="O8" s="124"/>
      <c r="P8" s="124"/>
      <c r="Q8" s="124"/>
      <c r="R8" s="124"/>
      <c r="S8" s="124"/>
      <c r="T8" s="124"/>
      <c r="U8" s="125"/>
      <c r="V8" s="124"/>
      <c r="W8" s="124"/>
      <c r="X8" s="124"/>
      <c r="Y8" s="124"/>
      <c r="Z8" s="40"/>
    </row>
    <row r="9" spans="1:27" s="265" customFormat="1" ht="230.25" customHeight="1" x14ac:dyDescent="0.2">
      <c r="A9" s="251" t="s">
        <v>83</v>
      </c>
      <c r="B9" s="274" t="s">
        <v>137</v>
      </c>
      <c r="C9" s="353" t="s">
        <v>107</v>
      </c>
      <c r="D9" s="249" t="s">
        <v>133</v>
      </c>
      <c r="E9" s="230">
        <v>43374</v>
      </c>
      <c r="F9" s="307" t="s">
        <v>109</v>
      </c>
      <c r="G9" s="258">
        <v>15</v>
      </c>
      <c r="H9" s="259">
        <f>I9/G9</f>
        <v>309.60000000000002</v>
      </c>
      <c r="I9" s="260">
        <v>4644</v>
      </c>
      <c r="J9" s="261">
        <v>0</v>
      </c>
      <c r="K9" s="262">
        <f>SUM(I9:J9)</f>
        <v>4644</v>
      </c>
      <c r="L9" s="282">
        <f>IF(I9/15&lt;=SMG,0,J9/2)</f>
        <v>0</v>
      </c>
      <c r="M9" s="301">
        <f>(I9+L9)/G9*30.4</f>
        <v>9411.84</v>
      </c>
      <c r="N9" s="301">
        <f>VLOOKUP(M9,Tarifa,1)</f>
        <v>6332.06</v>
      </c>
      <c r="O9" s="282">
        <f>M9-N9</f>
        <v>3079.7799999999997</v>
      </c>
      <c r="P9" s="283">
        <f>VLOOKUP(M9,Tarifa,3)</f>
        <v>0.10879999999999999</v>
      </c>
      <c r="Q9" s="282">
        <f>O9*P9</f>
        <v>335.08006399999994</v>
      </c>
      <c r="R9" s="284">
        <f>VLOOKUP(M9,Tarifa,2)</f>
        <v>371.83</v>
      </c>
      <c r="S9" s="282">
        <f>Q9+R9</f>
        <v>706.91006399999992</v>
      </c>
      <c r="T9" s="282">
        <f>VLOOKUP(M9,Credito,2)</f>
        <v>475</v>
      </c>
      <c r="U9" s="282">
        <f>ROUND((S9-T9)/30.4*G9,2)</f>
        <v>114.43</v>
      </c>
      <c r="V9" s="262">
        <f>-IF(U9&gt;0,0,0)</f>
        <v>0</v>
      </c>
      <c r="W9" s="262">
        <f t="shared" ref="W9:W11" si="0">IF(I9/15&lt;=SMG,0,IF(U9&lt;0,0,U9))</f>
        <v>114.43</v>
      </c>
      <c r="X9" s="262">
        <f>SUM(W9:W9)</f>
        <v>114.43</v>
      </c>
      <c r="Y9" s="262">
        <f>K9+V9-X9</f>
        <v>4529.57</v>
      </c>
      <c r="Z9" s="273"/>
    </row>
    <row r="10" spans="1:27" s="265" customFormat="1" ht="230.25" customHeight="1" x14ac:dyDescent="0.2">
      <c r="A10" s="291"/>
      <c r="B10" s="267">
        <v>188</v>
      </c>
      <c r="C10" s="353" t="s">
        <v>107</v>
      </c>
      <c r="D10" s="269" t="s">
        <v>138</v>
      </c>
      <c r="E10" s="354">
        <v>43389</v>
      </c>
      <c r="F10" s="257" t="s">
        <v>179</v>
      </c>
      <c r="G10" s="258">
        <v>15</v>
      </c>
      <c r="H10" s="259">
        <f>I10/G10</f>
        <v>442.26666666666665</v>
      </c>
      <c r="I10" s="260">
        <v>6634</v>
      </c>
      <c r="J10" s="261">
        <v>0</v>
      </c>
      <c r="K10" s="260">
        <f>I10</f>
        <v>6634</v>
      </c>
      <c r="L10" s="282">
        <f>IF(I10/15&lt;=SMG,0,J10/2)</f>
        <v>0</v>
      </c>
      <c r="M10" s="301">
        <f>(I10+L10)/G10*30.4</f>
        <v>13444.906666666666</v>
      </c>
      <c r="N10" s="301">
        <f>VLOOKUP(M10,Tarifa,1)</f>
        <v>12935.83</v>
      </c>
      <c r="O10" s="282">
        <f>M10-N10</f>
        <v>509.07666666666591</v>
      </c>
      <c r="P10" s="283">
        <f>VLOOKUP(M10,Tarifa,3)</f>
        <v>0.1792</v>
      </c>
      <c r="Q10" s="282">
        <f>O10*P10</f>
        <v>91.226538666666528</v>
      </c>
      <c r="R10" s="284">
        <f>VLOOKUP(M10,Tarifa,2)</f>
        <v>1182.8800000000001</v>
      </c>
      <c r="S10" s="282">
        <f>Q10+R10</f>
        <v>1274.1065386666667</v>
      </c>
      <c r="T10" s="282">
        <f>VLOOKUP(M10,Credito,2)</f>
        <v>0</v>
      </c>
      <c r="U10" s="282">
        <f>ROUND((S10-T10)/30.4*G10,2)</f>
        <v>628.66999999999996</v>
      </c>
      <c r="V10" s="262">
        <f>-IF(U10&gt;0,0,0)</f>
        <v>0</v>
      </c>
      <c r="W10" s="262">
        <f t="shared" si="0"/>
        <v>628.66999999999996</v>
      </c>
      <c r="X10" s="262">
        <f>SUM(W10:W10)</f>
        <v>628.66999999999996</v>
      </c>
      <c r="Y10" s="262">
        <f>K10+V10-X10+J10</f>
        <v>6005.33</v>
      </c>
      <c r="Z10" s="273"/>
    </row>
    <row r="11" spans="1:27" s="265" customFormat="1" ht="230.25" customHeight="1" x14ac:dyDescent="0.2">
      <c r="A11" s="355"/>
      <c r="B11" s="268" t="s">
        <v>174</v>
      </c>
      <c r="C11" s="268" t="s">
        <v>107</v>
      </c>
      <c r="D11" s="313" t="s">
        <v>175</v>
      </c>
      <c r="E11" s="201">
        <v>43512</v>
      </c>
      <c r="F11" s="307" t="s">
        <v>109</v>
      </c>
      <c r="G11" s="258">
        <v>15</v>
      </c>
      <c r="H11" s="259">
        <f>I11/G11</f>
        <v>309.60000000000002</v>
      </c>
      <c r="I11" s="260">
        <v>4644</v>
      </c>
      <c r="J11" s="261">
        <v>0</v>
      </c>
      <c r="K11" s="262">
        <f>SUM(I11:J11)</f>
        <v>4644</v>
      </c>
      <c r="L11" s="282">
        <f>IF(I11/15&lt;=SMG,0,J11/2)</f>
        <v>0</v>
      </c>
      <c r="M11" s="301">
        <f>(I11+L11)/G11*30.4</f>
        <v>9411.84</v>
      </c>
      <c r="N11" s="301">
        <f>VLOOKUP(M11,Tarifa,1)</f>
        <v>6332.06</v>
      </c>
      <c r="O11" s="282">
        <f>M11-N11</f>
        <v>3079.7799999999997</v>
      </c>
      <c r="P11" s="283">
        <f>VLOOKUP(M11,Tarifa,3)</f>
        <v>0.10879999999999999</v>
      </c>
      <c r="Q11" s="282">
        <f>O11*P11</f>
        <v>335.08006399999994</v>
      </c>
      <c r="R11" s="284">
        <f>VLOOKUP(M11,Tarifa,2)</f>
        <v>371.83</v>
      </c>
      <c r="S11" s="282">
        <f>Q11+R11</f>
        <v>706.91006399999992</v>
      </c>
      <c r="T11" s="282">
        <f>VLOOKUP(M11,Credito,2)</f>
        <v>475</v>
      </c>
      <c r="U11" s="282">
        <f>ROUND((S11-T11)/30.4*G11,2)</f>
        <v>114.43</v>
      </c>
      <c r="V11" s="262">
        <f>-IF(U11&gt;0,0,0)</f>
        <v>0</v>
      </c>
      <c r="W11" s="262">
        <f t="shared" si="0"/>
        <v>114.43</v>
      </c>
      <c r="X11" s="262">
        <f>SUM(W11:W11)</f>
        <v>114.43</v>
      </c>
      <c r="Y11" s="262">
        <f>K11+V11-X11</f>
        <v>4529.57</v>
      </c>
      <c r="Z11" s="273"/>
    </row>
    <row r="12" spans="1:27" s="265" customFormat="1" ht="230.25" customHeight="1" x14ac:dyDescent="0.2">
      <c r="A12" s="355"/>
      <c r="B12" s="267">
        <v>317</v>
      </c>
      <c r="C12" s="268" t="s">
        <v>107</v>
      </c>
      <c r="D12" s="248" t="s">
        <v>205</v>
      </c>
      <c r="E12" s="230">
        <v>45078</v>
      </c>
      <c r="F12" s="307" t="s">
        <v>109</v>
      </c>
      <c r="G12" s="258">
        <v>15</v>
      </c>
      <c r="H12" s="259">
        <f>I12/G12</f>
        <v>309.60000000000002</v>
      </c>
      <c r="I12" s="260">
        <v>4644</v>
      </c>
      <c r="J12" s="261">
        <v>0</v>
      </c>
      <c r="K12" s="262">
        <f>SUM(I12:J12)</f>
        <v>4644</v>
      </c>
      <c r="L12" s="282">
        <f>IF(I12/15&lt;=SMG,0,J12/2)</f>
        <v>0</v>
      </c>
      <c r="M12" s="301">
        <f>(I12+L12)/G12*30.4</f>
        <v>9411.84</v>
      </c>
      <c r="N12" s="301">
        <f>VLOOKUP(M12,Tarifa,1)</f>
        <v>6332.06</v>
      </c>
      <c r="O12" s="282">
        <f>M12-N12</f>
        <v>3079.7799999999997</v>
      </c>
      <c r="P12" s="283">
        <f>VLOOKUP(M12,Tarifa,3)</f>
        <v>0.10879999999999999</v>
      </c>
      <c r="Q12" s="282">
        <f>O12*P12</f>
        <v>335.08006399999994</v>
      </c>
      <c r="R12" s="284">
        <f>VLOOKUP(M12,Tarifa,2)</f>
        <v>371.83</v>
      </c>
      <c r="S12" s="282">
        <f>Q12+R12</f>
        <v>706.91006399999992</v>
      </c>
      <c r="T12" s="282">
        <f>VLOOKUP(M12,Credito,2)</f>
        <v>475</v>
      </c>
      <c r="U12" s="282">
        <f>ROUND((S12-T12)/30.4*G12,2)</f>
        <v>114.43</v>
      </c>
      <c r="V12" s="262">
        <f t="shared" ref="V12" si="1">-IF(U12&gt;0,0,0)</f>
        <v>0</v>
      </c>
      <c r="W12" s="262">
        <f t="shared" ref="W12:W21" si="2">IF(I12/15&lt;=SMG,0,IF(U12&lt;0,0,U12))</f>
        <v>114.43</v>
      </c>
      <c r="X12" s="262">
        <f>SUM(W12:W12)</f>
        <v>114.43</v>
      </c>
      <c r="Y12" s="262">
        <f>K12+V12-X12</f>
        <v>4529.57</v>
      </c>
      <c r="Z12" s="273"/>
    </row>
    <row r="13" spans="1:27" s="265" customFormat="1" ht="230.25" customHeight="1" x14ac:dyDescent="0.2">
      <c r="A13" s="355"/>
      <c r="B13" s="306">
        <v>353</v>
      </c>
      <c r="C13" s="268" t="s">
        <v>107</v>
      </c>
      <c r="D13" s="250" t="s">
        <v>243</v>
      </c>
      <c r="E13" s="247">
        <v>45391</v>
      </c>
      <c r="F13" s="307" t="s">
        <v>109</v>
      </c>
      <c r="G13" s="258">
        <v>15</v>
      </c>
      <c r="H13" s="259">
        <f>I13/G13</f>
        <v>309.60000000000002</v>
      </c>
      <c r="I13" s="260">
        <v>4644</v>
      </c>
      <c r="J13" s="261">
        <v>0</v>
      </c>
      <c r="K13" s="262">
        <f>SUM(I13:J13)</f>
        <v>4644</v>
      </c>
      <c r="L13" s="282">
        <f>IF(I13/15&lt;=SMG,0,J13/2)</f>
        <v>0</v>
      </c>
      <c r="M13" s="301">
        <f>(I13+L13)/G13*30.4</f>
        <v>9411.84</v>
      </c>
      <c r="N13" s="301">
        <f>VLOOKUP(M13,Tarifa,1)</f>
        <v>6332.06</v>
      </c>
      <c r="O13" s="282">
        <f>M13-N13</f>
        <v>3079.7799999999997</v>
      </c>
      <c r="P13" s="283">
        <f>VLOOKUP(M13,Tarifa,3)</f>
        <v>0.10879999999999999</v>
      </c>
      <c r="Q13" s="282">
        <f>O13*P13</f>
        <v>335.08006399999994</v>
      </c>
      <c r="R13" s="284">
        <f>VLOOKUP(M13,Tarifa,2)</f>
        <v>371.83</v>
      </c>
      <c r="S13" s="282">
        <f>Q13+R13</f>
        <v>706.91006399999992</v>
      </c>
      <c r="T13" s="282">
        <f>VLOOKUP(M13,Credito,2)</f>
        <v>475</v>
      </c>
      <c r="U13" s="282">
        <f>ROUND((S13-T13)/30.4*G13,2)</f>
        <v>114.43</v>
      </c>
      <c r="V13" s="262">
        <f t="shared" ref="V13:V21" si="3">-IF(U13&gt;0,0,0)</f>
        <v>0</v>
      </c>
      <c r="W13" s="262">
        <f t="shared" si="2"/>
        <v>114.43</v>
      </c>
      <c r="X13" s="262">
        <f>SUM(W13:W13)</f>
        <v>114.43</v>
      </c>
      <c r="Y13" s="262">
        <f>K13+V13-X13</f>
        <v>4529.57</v>
      </c>
      <c r="Z13" s="273"/>
    </row>
    <row r="14" spans="1:27" s="89" customFormat="1" ht="36.75" customHeight="1" x14ac:dyDescent="0.3">
      <c r="A14" s="140"/>
      <c r="B14" s="243"/>
      <c r="C14" s="204"/>
      <c r="D14" s="244"/>
      <c r="E14" s="245"/>
      <c r="F14" s="246"/>
      <c r="G14" s="208"/>
      <c r="H14" s="209"/>
      <c r="I14" s="210"/>
      <c r="J14" s="211"/>
      <c r="K14" s="212"/>
      <c r="L14" s="213"/>
      <c r="M14" s="213"/>
      <c r="N14" s="213"/>
      <c r="O14" s="213"/>
      <c r="P14" s="214"/>
      <c r="Q14" s="213"/>
      <c r="R14" s="215"/>
      <c r="S14" s="213"/>
      <c r="T14" s="213"/>
      <c r="U14" s="213"/>
      <c r="V14" s="212"/>
      <c r="W14" s="212"/>
      <c r="X14" s="212"/>
      <c r="Y14" s="212"/>
    </row>
    <row r="15" spans="1:27" s="89" customFormat="1" ht="23.25" customHeight="1" x14ac:dyDescent="0.3">
      <c r="A15" s="140"/>
      <c r="B15" s="243"/>
      <c r="C15" s="204"/>
      <c r="D15" s="244"/>
      <c r="E15" s="245"/>
      <c r="F15" s="246"/>
      <c r="G15" s="208"/>
      <c r="H15" s="209"/>
      <c r="I15" s="210"/>
      <c r="J15" s="211"/>
      <c r="K15" s="212"/>
      <c r="L15" s="213"/>
      <c r="M15" s="213"/>
      <c r="N15" s="213"/>
      <c r="O15" s="213"/>
      <c r="P15" s="214"/>
      <c r="Q15" s="213"/>
      <c r="R15" s="215"/>
      <c r="S15" s="213"/>
      <c r="T15" s="213"/>
      <c r="U15" s="213"/>
      <c r="V15" s="212"/>
      <c r="W15" s="212"/>
      <c r="X15" s="212"/>
      <c r="Y15" s="212"/>
    </row>
    <row r="16" spans="1:27" s="89" customFormat="1" ht="31.5" customHeight="1" x14ac:dyDescent="0.25">
      <c r="A16" s="140"/>
      <c r="B16" s="429" t="s">
        <v>76</v>
      </c>
      <c r="C16" s="429"/>
      <c r="D16" s="429"/>
      <c r="E16" s="429"/>
      <c r="F16" s="429"/>
      <c r="G16" s="429"/>
      <c r="H16" s="429"/>
      <c r="I16" s="429"/>
      <c r="J16" s="429"/>
      <c r="K16" s="429"/>
      <c r="L16" s="429"/>
      <c r="M16" s="429"/>
      <c r="N16" s="429"/>
      <c r="O16" s="429"/>
      <c r="P16" s="429"/>
      <c r="Q16" s="429"/>
      <c r="R16" s="429"/>
      <c r="S16" s="429"/>
      <c r="T16" s="429"/>
      <c r="U16" s="429"/>
      <c r="V16" s="429"/>
      <c r="W16" s="429"/>
      <c r="X16" s="429"/>
      <c r="Y16" s="429"/>
      <c r="Z16" s="429"/>
      <c r="AA16" s="429"/>
    </row>
    <row r="17" spans="1:27" s="89" customFormat="1" ht="26.25" customHeight="1" x14ac:dyDescent="0.25">
      <c r="A17" s="140"/>
      <c r="B17" s="429" t="s">
        <v>63</v>
      </c>
      <c r="C17" s="429"/>
      <c r="D17" s="429"/>
      <c r="E17" s="429"/>
      <c r="F17" s="429"/>
      <c r="G17" s="429"/>
      <c r="H17" s="429"/>
      <c r="I17" s="429"/>
      <c r="J17" s="429"/>
      <c r="K17" s="429"/>
      <c r="L17" s="429"/>
      <c r="M17" s="429"/>
      <c r="N17" s="429"/>
      <c r="O17" s="429"/>
      <c r="P17" s="429"/>
      <c r="Q17" s="429"/>
      <c r="R17" s="429"/>
      <c r="S17" s="429"/>
      <c r="T17" s="429"/>
      <c r="U17" s="429"/>
      <c r="V17" s="429"/>
      <c r="W17" s="429"/>
      <c r="X17" s="429"/>
      <c r="Y17" s="429"/>
      <c r="Z17" s="429"/>
      <c r="AA17" s="429"/>
    </row>
    <row r="18" spans="1:27" s="89" customFormat="1" ht="27.75" customHeight="1" x14ac:dyDescent="0.25">
      <c r="A18" s="140"/>
      <c r="B18" s="420" t="str">
        <f>A3</f>
        <v>SUELDO  DEL 01 AL 15 DE ABRIL DE 2025</v>
      </c>
      <c r="C18" s="420"/>
      <c r="D18" s="420"/>
      <c r="E18" s="420"/>
      <c r="F18" s="420"/>
      <c r="G18" s="420"/>
      <c r="H18" s="420"/>
      <c r="I18" s="420"/>
      <c r="J18" s="420"/>
      <c r="K18" s="420"/>
      <c r="L18" s="420"/>
      <c r="M18" s="420"/>
      <c r="N18" s="420"/>
      <c r="O18" s="420"/>
      <c r="P18" s="420"/>
      <c r="Q18" s="420"/>
      <c r="R18" s="420"/>
      <c r="S18" s="420"/>
      <c r="T18" s="420"/>
      <c r="U18" s="420"/>
      <c r="V18" s="420"/>
      <c r="W18" s="420"/>
      <c r="X18" s="420"/>
      <c r="Y18" s="420"/>
      <c r="Z18" s="420"/>
      <c r="AA18" s="420"/>
    </row>
    <row r="19" spans="1:27" s="89" customFormat="1" ht="26.25" customHeight="1" x14ac:dyDescent="0.3">
      <c r="A19" s="140"/>
      <c r="B19" s="243"/>
      <c r="C19" s="204"/>
      <c r="D19" s="244"/>
      <c r="E19" s="245"/>
      <c r="F19" s="246"/>
      <c r="G19" s="208"/>
      <c r="H19" s="209"/>
      <c r="I19" s="210"/>
      <c r="J19" s="211"/>
      <c r="K19" s="212"/>
      <c r="L19" s="213"/>
      <c r="M19" s="213"/>
      <c r="N19" s="213"/>
      <c r="O19" s="213"/>
      <c r="P19" s="214"/>
      <c r="Q19" s="213"/>
      <c r="R19" s="215"/>
      <c r="S19" s="213"/>
      <c r="T19" s="213"/>
      <c r="U19" s="213"/>
      <c r="V19" s="212"/>
      <c r="W19" s="212"/>
      <c r="X19" s="212"/>
      <c r="Y19" s="212"/>
    </row>
    <row r="20" spans="1:27" s="265" customFormat="1" ht="216.75" customHeight="1" x14ac:dyDescent="0.2">
      <c r="A20" s="355"/>
      <c r="B20" s="306">
        <v>398</v>
      </c>
      <c r="C20" s="268" t="s">
        <v>107</v>
      </c>
      <c r="D20" s="250" t="s">
        <v>324</v>
      </c>
      <c r="E20" s="247">
        <v>45597</v>
      </c>
      <c r="F20" s="307" t="s">
        <v>109</v>
      </c>
      <c r="G20" s="258">
        <v>15</v>
      </c>
      <c r="H20" s="259">
        <f>I20/G20</f>
        <v>309.60000000000002</v>
      </c>
      <c r="I20" s="260">
        <v>4644</v>
      </c>
      <c r="J20" s="261">
        <v>0</v>
      </c>
      <c r="K20" s="262">
        <f>SUM(I20:J20)</f>
        <v>4644</v>
      </c>
      <c r="L20" s="282">
        <f>IF(I20/15&lt;=SMG,0,J20/2)</f>
        <v>0</v>
      </c>
      <c r="M20" s="301">
        <f>(I20+L20)/G20*30.4</f>
        <v>9411.84</v>
      </c>
      <c r="N20" s="301">
        <f>VLOOKUP(M20,Tarifa,1)</f>
        <v>6332.06</v>
      </c>
      <c r="O20" s="282">
        <f>M20-N20</f>
        <v>3079.7799999999997</v>
      </c>
      <c r="P20" s="283">
        <f>VLOOKUP(M20,Tarifa,3)</f>
        <v>0.10879999999999999</v>
      </c>
      <c r="Q20" s="282">
        <f>O20*P20</f>
        <v>335.08006399999994</v>
      </c>
      <c r="R20" s="284">
        <f>VLOOKUP(M20,Tarifa,2)</f>
        <v>371.83</v>
      </c>
      <c r="S20" s="282">
        <f>Q20+R20</f>
        <v>706.91006399999992</v>
      </c>
      <c r="T20" s="282">
        <f>VLOOKUP(M20,Credito,2)</f>
        <v>475</v>
      </c>
      <c r="U20" s="282">
        <f>ROUND((S20-T20)/30.4*G20,2)</f>
        <v>114.43</v>
      </c>
      <c r="V20" s="262">
        <f t="shared" si="3"/>
        <v>0</v>
      </c>
      <c r="W20" s="262">
        <f t="shared" si="2"/>
        <v>114.43</v>
      </c>
      <c r="X20" s="262">
        <f>SUM(W20:W20)</f>
        <v>114.43</v>
      </c>
      <c r="Y20" s="262">
        <f>K20+V20-X20</f>
        <v>4529.57</v>
      </c>
      <c r="Z20" s="273"/>
    </row>
    <row r="21" spans="1:27" s="265" customFormat="1" ht="216.75" customHeight="1" x14ac:dyDescent="0.2">
      <c r="A21" s="355"/>
      <c r="B21" s="274" t="s">
        <v>154</v>
      </c>
      <c r="C21" s="268" t="s">
        <v>107</v>
      </c>
      <c r="D21" s="254" t="s">
        <v>79</v>
      </c>
      <c r="E21" s="256">
        <v>41410</v>
      </c>
      <c r="F21" s="257" t="s">
        <v>147</v>
      </c>
      <c r="G21" s="258">
        <v>15</v>
      </c>
      <c r="H21" s="259">
        <f>I21/G21</f>
        <v>253.33333333333334</v>
      </c>
      <c r="I21" s="260">
        <v>3800</v>
      </c>
      <c r="J21" s="261">
        <v>0</v>
      </c>
      <c r="K21" s="262">
        <f>SUM(I21:J21)</f>
        <v>3800</v>
      </c>
      <c r="L21" s="282">
        <f>IF(I21/15&lt;=SMG,0,J21/2)</f>
        <v>0</v>
      </c>
      <c r="M21" s="301">
        <f>(I21+L21)/G21*30.4</f>
        <v>7701.333333333333</v>
      </c>
      <c r="N21" s="301">
        <f>VLOOKUP(M21,Tarifa,1)</f>
        <v>6332.06</v>
      </c>
      <c r="O21" s="282">
        <f>M21-N21</f>
        <v>1369.2733333333326</v>
      </c>
      <c r="P21" s="283">
        <f>VLOOKUP(M21,Tarifa,3)</f>
        <v>0.10879999999999999</v>
      </c>
      <c r="Q21" s="282">
        <f>O21*P21</f>
        <v>148.97693866666657</v>
      </c>
      <c r="R21" s="284">
        <f>VLOOKUP(M21,Tarifa,2)</f>
        <v>371.83</v>
      </c>
      <c r="S21" s="282">
        <f>Q21+R21</f>
        <v>520.80693866666661</v>
      </c>
      <c r="T21" s="282">
        <f>VLOOKUP(M21,Credito,2)</f>
        <v>475</v>
      </c>
      <c r="U21" s="282">
        <f>ROUND((S21-T21)/30.4*G21,2)</f>
        <v>22.6</v>
      </c>
      <c r="V21" s="262">
        <f t="shared" si="3"/>
        <v>0</v>
      </c>
      <c r="W21" s="262">
        <f t="shared" si="2"/>
        <v>0</v>
      </c>
      <c r="X21" s="262">
        <f>SUM(W21:W21)</f>
        <v>0</v>
      </c>
      <c r="Y21" s="262">
        <f>K21+V21-X21</f>
        <v>3800</v>
      </c>
      <c r="Z21" s="273"/>
    </row>
    <row r="22" spans="1:27" ht="18" x14ac:dyDescent="0.25">
      <c r="A22" s="133"/>
      <c r="B22" s="133"/>
      <c r="C22" s="133"/>
      <c r="D22" s="133"/>
      <c r="E22" s="133"/>
      <c r="F22" s="133"/>
      <c r="G22" s="134"/>
      <c r="H22" s="133"/>
      <c r="I22" s="135"/>
      <c r="J22" s="135"/>
      <c r="K22" s="135"/>
      <c r="L22" s="136"/>
      <c r="M22" s="137"/>
      <c r="N22" s="137"/>
      <c r="O22" s="137"/>
      <c r="P22" s="137"/>
      <c r="Q22" s="137"/>
      <c r="R22" s="137"/>
      <c r="S22" s="137"/>
      <c r="T22" s="137"/>
      <c r="U22" s="137"/>
      <c r="V22" s="137"/>
      <c r="W22" s="137"/>
      <c r="X22" s="137"/>
      <c r="Y22" s="137"/>
    </row>
    <row r="23" spans="1:27" ht="45" customHeight="1" thickBot="1" x14ac:dyDescent="0.35">
      <c r="A23" s="416" t="s">
        <v>44</v>
      </c>
      <c r="B23" s="417"/>
      <c r="C23" s="417"/>
      <c r="D23" s="417"/>
      <c r="E23" s="417"/>
      <c r="F23" s="417"/>
      <c r="G23" s="417"/>
      <c r="H23" s="418"/>
      <c r="I23" s="199">
        <f t="shared" ref="I23:Y23" si="4">SUM(I9:I22)</f>
        <v>33654</v>
      </c>
      <c r="J23" s="199">
        <f t="shared" si="4"/>
        <v>0</v>
      </c>
      <c r="K23" s="199">
        <f t="shared" si="4"/>
        <v>33654</v>
      </c>
      <c r="L23" s="200">
        <f t="shared" si="4"/>
        <v>0</v>
      </c>
      <c r="M23" s="200">
        <f t="shared" si="4"/>
        <v>68205.439999999988</v>
      </c>
      <c r="N23" s="200">
        <f t="shared" si="4"/>
        <v>50928.189999999995</v>
      </c>
      <c r="O23" s="200">
        <f t="shared" si="4"/>
        <v>17277.249999999993</v>
      </c>
      <c r="P23" s="200">
        <f t="shared" si="4"/>
        <v>0.83199999999999996</v>
      </c>
      <c r="Q23" s="200">
        <f t="shared" si="4"/>
        <v>1915.6037973333327</v>
      </c>
      <c r="R23" s="200">
        <f t="shared" si="4"/>
        <v>3413.8599999999997</v>
      </c>
      <c r="S23" s="200">
        <f t="shared" si="4"/>
        <v>5329.463797333332</v>
      </c>
      <c r="T23" s="200">
        <f t="shared" si="4"/>
        <v>2850</v>
      </c>
      <c r="U23" s="200">
        <f t="shared" si="4"/>
        <v>1223.42</v>
      </c>
      <c r="V23" s="199">
        <f t="shared" si="4"/>
        <v>0</v>
      </c>
      <c r="W23" s="199">
        <f t="shared" si="4"/>
        <v>1200.8200000000002</v>
      </c>
      <c r="X23" s="199">
        <f t="shared" si="4"/>
        <v>1200.8200000000002</v>
      </c>
      <c r="Y23" s="199">
        <f t="shared" si="4"/>
        <v>32453.18</v>
      </c>
    </row>
    <row r="24" spans="1:27" ht="13.5" thickTop="1" x14ac:dyDescent="0.2"/>
  </sheetData>
  <mergeCells count="12">
    <mergeCell ref="W5:X5"/>
    <mergeCell ref="A23:H23"/>
    <mergeCell ref="A1:Z1"/>
    <mergeCell ref="A2:Z2"/>
    <mergeCell ref="A3:Z3"/>
    <mergeCell ref="I5:K5"/>
    <mergeCell ref="N5:S5"/>
    <mergeCell ref="B5:B7"/>
    <mergeCell ref="C5:C7"/>
    <mergeCell ref="B16:AA16"/>
    <mergeCell ref="B17:AA17"/>
    <mergeCell ref="B18:AA18"/>
  </mergeCells>
  <dataValidations count="1">
    <dataValidation allowBlank="1" showInputMessage="1" showErrorMessage="1" prompt="Captura el nombre asignado o el nombre como se le identifica a la plaza (ejem. Jefe de Ingresos, Secretario Particular, Oficial Mayor, etc.)" sqref="D19:E21 D11:E15 D9:E9" xr:uid="{00000000-0002-0000-0900-000000000000}"/>
  </dataValidations>
  <pageMargins left="0.27559055118110237" right="0.27559055118110237" top="0.74803149606299213" bottom="0.35433070866141736" header="0.31496062992125984" footer="0.31496062992125984"/>
  <pageSetup scale="40" orientation="landscape" horizontalDpi="4294967293" verticalDpi="36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L69"/>
  <sheetViews>
    <sheetView topLeftCell="B1" zoomScale="68" zoomScaleNormal="68" workbookViewId="0">
      <selection activeCell="V10" sqref="V10"/>
    </sheetView>
  </sheetViews>
  <sheetFormatPr baseColWidth="10" defaultColWidth="11.42578125" defaultRowHeight="12.75" x14ac:dyDescent="0.2"/>
  <cols>
    <col min="1" max="1" width="5.5703125" style="65" hidden="1" customWidth="1"/>
    <col min="2" max="2" width="10.5703125" style="65" customWidth="1"/>
    <col min="3" max="3" width="9" style="65" customWidth="1"/>
    <col min="4" max="4" width="16.28515625" style="65" customWidth="1"/>
    <col min="5" max="5" width="22" style="65" customWidth="1"/>
    <col min="6" max="7" width="11.28515625" style="65" hidden="1" customWidth="1"/>
    <col min="8" max="8" width="17.5703125" style="65" customWidth="1"/>
    <col min="9" max="9" width="16.5703125" style="65" customWidth="1"/>
    <col min="10" max="10" width="18" style="65" customWidth="1"/>
    <col min="11" max="11" width="12.7109375" style="65" hidden="1" customWidth="1"/>
    <col min="12" max="12" width="13.140625" style="65" hidden="1" customWidth="1"/>
    <col min="13" max="13" width="14.42578125" style="65" hidden="1" customWidth="1"/>
    <col min="14" max="14" width="15" style="65" hidden="1" customWidth="1"/>
    <col min="15" max="15" width="11" style="65" hidden="1" customWidth="1"/>
    <col min="16" max="17" width="13.140625" style="65" hidden="1" customWidth="1"/>
    <col min="18" max="18" width="15.42578125" style="65" hidden="1" customWidth="1"/>
    <col min="19" max="19" width="10.42578125" style="65" hidden="1" customWidth="1"/>
    <col min="20" max="20" width="13.140625" style="65" hidden="1" customWidth="1"/>
    <col min="21" max="21" width="11.5703125" style="65" customWidth="1"/>
    <col min="22" max="22" width="15.5703125" style="65" customWidth="1"/>
    <col min="23" max="23" width="15.85546875" style="65" customWidth="1"/>
    <col min="24" max="24" width="18" style="65" customWidth="1"/>
    <col min="25" max="25" width="111.85546875" style="65" customWidth="1"/>
    <col min="26" max="26" width="73.42578125" style="65" customWidth="1"/>
    <col min="27" max="16384" width="11.42578125" style="65"/>
  </cols>
  <sheetData>
    <row r="1" spans="1:27" ht="18" x14ac:dyDescent="0.25">
      <c r="A1" s="429" t="s">
        <v>75</v>
      </c>
      <c r="B1" s="429"/>
      <c r="C1" s="429"/>
      <c r="D1" s="429"/>
      <c r="E1" s="429"/>
      <c r="F1" s="429"/>
      <c r="G1" s="429"/>
      <c r="H1" s="429"/>
      <c r="I1" s="429"/>
      <c r="J1" s="429"/>
      <c r="K1" s="429"/>
      <c r="L1" s="429"/>
      <c r="M1" s="429"/>
      <c r="N1" s="429"/>
      <c r="O1" s="429"/>
      <c r="P1" s="429"/>
      <c r="Q1" s="429"/>
      <c r="R1" s="429"/>
      <c r="S1" s="429"/>
      <c r="T1" s="429"/>
      <c r="U1" s="429"/>
      <c r="V1" s="429"/>
      <c r="W1" s="429"/>
      <c r="X1" s="429"/>
      <c r="Y1" s="429"/>
      <c r="Z1" s="4"/>
    </row>
    <row r="2" spans="1:27" ht="18" x14ac:dyDescent="0.25">
      <c r="A2" s="429" t="s">
        <v>63</v>
      </c>
      <c r="B2" s="429"/>
      <c r="C2" s="429"/>
      <c r="D2" s="429"/>
      <c r="E2" s="429"/>
      <c r="F2" s="429"/>
      <c r="G2" s="429"/>
      <c r="H2" s="429"/>
      <c r="I2" s="429"/>
      <c r="J2" s="429"/>
      <c r="K2" s="429"/>
      <c r="L2" s="429"/>
      <c r="M2" s="429"/>
      <c r="N2" s="429"/>
      <c r="O2" s="429"/>
      <c r="P2" s="429"/>
      <c r="Q2" s="429"/>
      <c r="R2" s="429"/>
      <c r="S2" s="429"/>
      <c r="T2" s="429"/>
      <c r="U2" s="429"/>
      <c r="V2" s="429"/>
      <c r="W2" s="429"/>
      <c r="X2" s="429"/>
      <c r="Y2" s="429"/>
      <c r="Z2" s="4"/>
    </row>
    <row r="3" spans="1:27" ht="19.5" customHeight="1" x14ac:dyDescent="0.25">
      <c r="A3" s="41" t="s">
        <v>152</v>
      </c>
      <c r="B3" s="465" t="s">
        <v>390</v>
      </c>
      <c r="C3" s="465"/>
      <c r="D3" s="465"/>
      <c r="E3" s="465"/>
      <c r="F3" s="465"/>
      <c r="G3" s="465"/>
      <c r="H3" s="465"/>
      <c r="I3" s="465"/>
      <c r="J3" s="465"/>
      <c r="K3" s="465"/>
      <c r="L3" s="465"/>
      <c r="M3" s="465"/>
      <c r="N3" s="465"/>
      <c r="O3" s="465"/>
      <c r="P3" s="465"/>
      <c r="Q3" s="465"/>
      <c r="R3" s="465"/>
      <c r="S3" s="465"/>
      <c r="T3" s="465"/>
      <c r="U3" s="465"/>
      <c r="V3" s="465"/>
      <c r="W3" s="465"/>
      <c r="X3" s="465"/>
      <c r="Y3" s="465"/>
      <c r="Z3" s="195"/>
      <c r="AA3" s="195"/>
    </row>
    <row r="4" spans="1:27" ht="11.25" customHeight="1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"/>
    </row>
    <row r="5" spans="1:27" x14ac:dyDescent="0.2">
      <c r="A5" s="22"/>
      <c r="B5" s="22"/>
      <c r="C5" s="22"/>
      <c r="D5" s="22"/>
      <c r="E5" s="22"/>
      <c r="F5" s="23" t="s">
        <v>22</v>
      </c>
      <c r="G5" s="356"/>
      <c r="H5" s="430" t="s">
        <v>1</v>
      </c>
      <c r="I5" s="431"/>
      <c r="J5" s="432"/>
      <c r="K5" s="24" t="s">
        <v>25</v>
      </c>
      <c r="L5" s="25"/>
      <c r="M5" s="433" t="s">
        <v>8</v>
      </c>
      <c r="N5" s="434"/>
      <c r="O5" s="434"/>
      <c r="P5" s="434"/>
      <c r="Q5" s="434"/>
      <c r="R5" s="435"/>
      <c r="S5" s="24" t="s">
        <v>29</v>
      </c>
      <c r="T5" s="24" t="s">
        <v>9</v>
      </c>
      <c r="U5" s="23" t="s">
        <v>52</v>
      </c>
      <c r="V5" s="436" t="s">
        <v>2</v>
      </c>
      <c r="W5" s="437"/>
      <c r="X5" s="23" t="s">
        <v>0</v>
      </c>
      <c r="Y5" s="98"/>
      <c r="Z5" s="4"/>
    </row>
    <row r="6" spans="1:27" ht="32.25" customHeight="1" x14ac:dyDescent="0.2">
      <c r="A6" s="26" t="s">
        <v>20</v>
      </c>
      <c r="B6" s="44" t="s">
        <v>95</v>
      </c>
      <c r="C6" s="44" t="s">
        <v>108</v>
      </c>
      <c r="D6" s="26"/>
      <c r="E6" s="26"/>
      <c r="F6" s="27" t="s">
        <v>23</v>
      </c>
      <c r="G6" s="27"/>
      <c r="H6" s="23" t="s">
        <v>5</v>
      </c>
      <c r="I6" s="23" t="s">
        <v>57</v>
      </c>
      <c r="J6" s="23" t="s">
        <v>27</v>
      </c>
      <c r="K6" s="28" t="s">
        <v>26</v>
      </c>
      <c r="L6" s="25" t="s">
        <v>31</v>
      </c>
      <c r="M6" s="25" t="s">
        <v>11</v>
      </c>
      <c r="N6" s="25" t="s">
        <v>33</v>
      </c>
      <c r="O6" s="25" t="s">
        <v>35</v>
      </c>
      <c r="P6" s="25" t="s">
        <v>36</v>
      </c>
      <c r="Q6" s="25" t="s">
        <v>13</v>
      </c>
      <c r="R6" s="25" t="s">
        <v>9</v>
      </c>
      <c r="S6" s="28" t="s">
        <v>39</v>
      </c>
      <c r="T6" s="28" t="s">
        <v>40</v>
      </c>
      <c r="U6" s="26" t="s">
        <v>30</v>
      </c>
      <c r="V6" s="23" t="s">
        <v>192</v>
      </c>
      <c r="W6" s="23" t="s">
        <v>6</v>
      </c>
      <c r="X6" s="26" t="s">
        <v>3</v>
      </c>
      <c r="Y6" s="35" t="s">
        <v>56</v>
      </c>
      <c r="Z6" s="4"/>
    </row>
    <row r="7" spans="1:27" x14ac:dyDescent="0.2">
      <c r="A7" s="29"/>
      <c r="B7" s="26"/>
      <c r="C7" s="26"/>
      <c r="D7" s="26"/>
      <c r="E7" s="26"/>
      <c r="F7" s="26"/>
      <c r="G7" s="26"/>
      <c r="H7" s="26" t="s">
        <v>46</v>
      </c>
      <c r="I7" s="26" t="s">
        <v>58</v>
      </c>
      <c r="J7" s="26" t="s">
        <v>28</v>
      </c>
      <c r="K7" s="28" t="s">
        <v>42</v>
      </c>
      <c r="L7" s="24" t="s">
        <v>32</v>
      </c>
      <c r="M7" s="24" t="s">
        <v>12</v>
      </c>
      <c r="N7" s="24" t="s">
        <v>34</v>
      </c>
      <c r="O7" s="24" t="s">
        <v>34</v>
      </c>
      <c r="P7" s="24" t="s">
        <v>37</v>
      </c>
      <c r="Q7" s="24" t="s">
        <v>14</v>
      </c>
      <c r="R7" s="24" t="s">
        <v>38</v>
      </c>
      <c r="S7" s="28" t="s">
        <v>18</v>
      </c>
      <c r="T7" s="31" t="s">
        <v>117</v>
      </c>
      <c r="U7" s="26" t="s">
        <v>51</v>
      </c>
      <c r="V7" s="26"/>
      <c r="W7" s="26" t="s">
        <v>43</v>
      </c>
      <c r="X7" s="26" t="s">
        <v>4</v>
      </c>
      <c r="Y7" s="99"/>
      <c r="Z7" s="4"/>
    </row>
    <row r="8" spans="1:27" ht="42" customHeight="1" x14ac:dyDescent="0.3">
      <c r="A8" s="38"/>
      <c r="B8" s="469" t="s">
        <v>106</v>
      </c>
      <c r="C8" s="470"/>
      <c r="D8" s="216" t="s">
        <v>198</v>
      </c>
      <c r="E8" s="217" t="s">
        <v>60</v>
      </c>
      <c r="F8" s="97"/>
      <c r="G8" s="97"/>
      <c r="H8" s="97"/>
      <c r="I8" s="97"/>
      <c r="J8" s="97"/>
      <c r="K8" s="97"/>
      <c r="L8" s="97"/>
      <c r="M8" s="97"/>
      <c r="N8" s="97"/>
      <c r="O8" s="97"/>
      <c r="P8" s="97"/>
      <c r="Q8" s="97"/>
      <c r="R8" s="97"/>
      <c r="S8" s="97"/>
      <c r="T8" s="97"/>
      <c r="U8" s="97"/>
      <c r="V8" s="97"/>
      <c r="W8" s="97"/>
      <c r="X8" s="97"/>
      <c r="Y8" s="93"/>
      <c r="Z8" s="4"/>
    </row>
    <row r="9" spans="1:27" s="360" customFormat="1" ht="172.5" customHeight="1" x14ac:dyDescent="0.2">
      <c r="A9" s="251" t="s">
        <v>81</v>
      </c>
      <c r="B9" s="268" t="s">
        <v>238</v>
      </c>
      <c r="C9" s="268" t="s">
        <v>107</v>
      </c>
      <c r="D9" s="335">
        <v>45367</v>
      </c>
      <c r="E9" s="307" t="s">
        <v>65</v>
      </c>
      <c r="F9" s="258">
        <v>15</v>
      </c>
      <c r="G9" s="258">
        <f t="shared" ref="G9:G17" si="0">H9/F9</f>
        <v>728</v>
      </c>
      <c r="H9" s="260">
        <v>10920</v>
      </c>
      <c r="I9" s="261">
        <v>4391.57</v>
      </c>
      <c r="J9" s="262">
        <f t="shared" ref="J9" si="1">SUM(H9:I9)</f>
        <v>15311.57</v>
      </c>
      <c r="K9" s="282">
        <f t="shared" ref="K9:K17" si="2">IF(H9/15&lt;=SMG,0,I9/2)</f>
        <v>2195.7849999999999</v>
      </c>
      <c r="L9" s="301">
        <f t="shared" ref="L9:L17" si="3">(H9+K9)/F9*30.4</f>
        <v>26581.324266666667</v>
      </c>
      <c r="M9" s="301">
        <f t="shared" ref="M9:M17" si="4">VLOOKUP(L9,Tarifa,1)</f>
        <v>15487.72</v>
      </c>
      <c r="N9" s="282">
        <f t="shared" ref="N9:N17" si="5">L9-M9</f>
        <v>11093.604266666667</v>
      </c>
      <c r="O9" s="283">
        <f t="shared" ref="O9:O17" si="6">VLOOKUP(L9,Tarifa,3)</f>
        <v>0.21360000000000001</v>
      </c>
      <c r="P9" s="282">
        <f t="shared" ref="P9:P17" si="7">N9*O9</f>
        <v>2369.5938713600003</v>
      </c>
      <c r="Q9" s="284">
        <f t="shared" ref="Q9:Q17" si="8">VLOOKUP(L9,Tarifa,2)</f>
        <v>1640.18</v>
      </c>
      <c r="R9" s="282">
        <f t="shared" ref="R9:R17" si="9">P9+Q9</f>
        <v>4009.7738713600002</v>
      </c>
      <c r="S9" s="282">
        <f t="shared" ref="S9:S17" si="10">VLOOKUP(L9,Credito,2)</f>
        <v>0</v>
      </c>
      <c r="T9" s="282">
        <f t="shared" ref="T9:T17" si="11">ROUND((R9-S9)/30.4*F9,2)</f>
        <v>1978.51</v>
      </c>
      <c r="U9" s="262">
        <f>-IF(T9&gt;0,0,0)</f>
        <v>0</v>
      </c>
      <c r="V9" s="262">
        <f t="shared" ref="V9" si="12">IF(H9/15&lt;=SMG,0,IF(T9&lt;0,0,T9))</f>
        <v>1978.51</v>
      </c>
      <c r="W9" s="262">
        <f t="shared" ref="W9:W17" si="13">SUM(V9:V9)</f>
        <v>1978.51</v>
      </c>
      <c r="X9" s="262">
        <f>J9+U9-V9</f>
        <v>13333.06</v>
      </c>
      <c r="Y9" s="359"/>
      <c r="Z9" s="319"/>
    </row>
    <row r="10" spans="1:27" s="265" customFormat="1" ht="172.5" customHeight="1" x14ac:dyDescent="0.2">
      <c r="A10" s="355"/>
      <c r="B10" s="268" t="s">
        <v>146</v>
      </c>
      <c r="C10" s="268" t="s">
        <v>107</v>
      </c>
      <c r="D10" s="335">
        <v>43601</v>
      </c>
      <c r="E10" s="257" t="s">
        <v>77</v>
      </c>
      <c r="F10" s="258">
        <v>15</v>
      </c>
      <c r="G10" s="258">
        <f t="shared" si="0"/>
        <v>594.76666666666665</v>
      </c>
      <c r="H10" s="260">
        <v>8921.5</v>
      </c>
      <c r="I10" s="261">
        <v>3658.15</v>
      </c>
      <c r="J10" s="262">
        <f t="shared" ref="J10:J12" si="14">SUM(H10:I10)</f>
        <v>12579.65</v>
      </c>
      <c r="K10" s="282">
        <f t="shared" si="2"/>
        <v>1829.075</v>
      </c>
      <c r="L10" s="301">
        <f t="shared" si="3"/>
        <v>21787.831999999999</v>
      </c>
      <c r="M10" s="301">
        <f t="shared" si="4"/>
        <v>15487.72</v>
      </c>
      <c r="N10" s="282">
        <f t="shared" si="5"/>
        <v>6300.1119999999992</v>
      </c>
      <c r="O10" s="283">
        <f t="shared" si="6"/>
        <v>0.21360000000000001</v>
      </c>
      <c r="P10" s="282">
        <f t="shared" si="7"/>
        <v>1345.7039232</v>
      </c>
      <c r="Q10" s="284">
        <f t="shared" si="8"/>
        <v>1640.18</v>
      </c>
      <c r="R10" s="282">
        <f t="shared" si="9"/>
        <v>2985.8839232</v>
      </c>
      <c r="S10" s="282">
        <f t="shared" si="10"/>
        <v>0</v>
      </c>
      <c r="T10" s="282">
        <f t="shared" si="11"/>
        <v>1473.3</v>
      </c>
      <c r="U10" s="262">
        <f t="shared" ref="U10:U12" si="15">-IF(T10&gt;0,0,0)</f>
        <v>0</v>
      </c>
      <c r="V10" s="262">
        <f t="shared" ref="V10" si="16">IF(H10/15&lt;=SMG,0,IF(T10&lt;0,0,T10))</f>
        <v>1473.3</v>
      </c>
      <c r="W10" s="262">
        <f t="shared" si="13"/>
        <v>1473.3</v>
      </c>
      <c r="X10" s="262">
        <f t="shared" ref="X10:X17" si="17">J10+U10-W10</f>
        <v>11106.35</v>
      </c>
      <c r="Y10" s="359"/>
      <c r="Z10" s="319"/>
    </row>
    <row r="11" spans="1:27" s="265" customFormat="1" ht="172.5" customHeight="1" x14ac:dyDescent="0.2">
      <c r="A11" s="355"/>
      <c r="B11" s="268" t="s">
        <v>240</v>
      </c>
      <c r="C11" s="268" t="s">
        <v>107</v>
      </c>
      <c r="D11" s="311">
        <v>45367</v>
      </c>
      <c r="E11" s="257" t="s">
        <v>77</v>
      </c>
      <c r="F11" s="258">
        <v>15</v>
      </c>
      <c r="G11" s="258">
        <f t="shared" si="0"/>
        <v>594.76666666666665</v>
      </c>
      <c r="H11" s="260">
        <v>8921.5</v>
      </c>
      <c r="I11" s="261">
        <v>0</v>
      </c>
      <c r="J11" s="262">
        <f t="shared" ref="J11" si="18">SUM(H11:I11)</f>
        <v>8921.5</v>
      </c>
      <c r="K11" s="282">
        <f t="shared" si="2"/>
        <v>0</v>
      </c>
      <c r="L11" s="301">
        <f t="shared" si="3"/>
        <v>18080.906666666666</v>
      </c>
      <c r="M11" s="301">
        <f t="shared" si="4"/>
        <v>15487.72</v>
      </c>
      <c r="N11" s="282">
        <f t="shared" si="5"/>
        <v>2593.1866666666665</v>
      </c>
      <c r="O11" s="283">
        <f t="shared" si="6"/>
        <v>0.21360000000000001</v>
      </c>
      <c r="P11" s="282">
        <f t="shared" si="7"/>
        <v>553.90467200000001</v>
      </c>
      <c r="Q11" s="284">
        <f t="shared" si="8"/>
        <v>1640.18</v>
      </c>
      <c r="R11" s="282">
        <f t="shared" si="9"/>
        <v>2194.084672</v>
      </c>
      <c r="S11" s="282">
        <f t="shared" si="10"/>
        <v>0</v>
      </c>
      <c r="T11" s="282">
        <f t="shared" si="11"/>
        <v>1082.6099999999999</v>
      </c>
      <c r="U11" s="262">
        <f t="shared" ref="U11" si="19">-IF(T11&gt;0,0,0)</f>
        <v>0</v>
      </c>
      <c r="V11" s="262">
        <f t="shared" ref="V11" si="20">IF(H11/15&lt;=SMG,0,IF(T11&lt;0,0,T11))</f>
        <v>1082.6099999999999</v>
      </c>
      <c r="W11" s="262">
        <f t="shared" si="13"/>
        <v>1082.6099999999999</v>
      </c>
      <c r="X11" s="262">
        <f t="shared" si="17"/>
        <v>7838.89</v>
      </c>
      <c r="Y11" s="359"/>
      <c r="Z11" s="319"/>
    </row>
    <row r="12" spans="1:27" s="265" customFormat="1" ht="172.5" customHeight="1" x14ac:dyDescent="0.2">
      <c r="A12" s="355"/>
      <c r="B12" s="268" t="s">
        <v>239</v>
      </c>
      <c r="C12" s="268" t="s">
        <v>107</v>
      </c>
      <c r="D12" s="335">
        <v>45367</v>
      </c>
      <c r="E12" s="257" t="s">
        <v>181</v>
      </c>
      <c r="F12" s="258">
        <v>15</v>
      </c>
      <c r="G12" s="258">
        <f t="shared" si="0"/>
        <v>566.93333333333328</v>
      </c>
      <c r="H12" s="260">
        <v>8504</v>
      </c>
      <c r="I12" s="261">
        <v>3504.93</v>
      </c>
      <c r="J12" s="262">
        <f t="shared" si="14"/>
        <v>12008.93</v>
      </c>
      <c r="K12" s="282">
        <f t="shared" si="2"/>
        <v>1752.4649999999999</v>
      </c>
      <c r="L12" s="301">
        <f t="shared" si="3"/>
        <v>20786.435733333332</v>
      </c>
      <c r="M12" s="301">
        <f t="shared" si="4"/>
        <v>15487.72</v>
      </c>
      <c r="N12" s="282">
        <f t="shared" si="5"/>
        <v>5298.7157333333325</v>
      </c>
      <c r="O12" s="283">
        <f t="shared" si="6"/>
        <v>0.21360000000000001</v>
      </c>
      <c r="P12" s="282">
        <f t="shared" si="7"/>
        <v>1131.80568064</v>
      </c>
      <c r="Q12" s="284">
        <f t="shared" si="8"/>
        <v>1640.18</v>
      </c>
      <c r="R12" s="282">
        <f t="shared" si="9"/>
        <v>2771.9856806400003</v>
      </c>
      <c r="S12" s="282">
        <f t="shared" si="10"/>
        <v>0</v>
      </c>
      <c r="T12" s="282">
        <f t="shared" si="11"/>
        <v>1367.76</v>
      </c>
      <c r="U12" s="262">
        <f t="shared" si="15"/>
        <v>0</v>
      </c>
      <c r="V12" s="262">
        <f t="shared" ref="V12" si="21">IF(H12/15&lt;=SMG,0,IF(T12&lt;0,0,T12))</f>
        <v>1367.76</v>
      </c>
      <c r="W12" s="262">
        <f t="shared" si="13"/>
        <v>1367.76</v>
      </c>
      <c r="X12" s="262">
        <f t="shared" si="17"/>
        <v>10641.17</v>
      </c>
      <c r="Y12" s="359"/>
      <c r="Z12" s="319"/>
    </row>
    <row r="13" spans="1:27" s="265" customFormat="1" ht="172.5" customHeight="1" x14ac:dyDescent="0.2">
      <c r="A13" s="355"/>
      <c r="B13" s="268" t="s">
        <v>237</v>
      </c>
      <c r="C13" s="268" t="s">
        <v>107</v>
      </c>
      <c r="D13" s="311">
        <v>45352</v>
      </c>
      <c r="E13" s="257" t="s">
        <v>181</v>
      </c>
      <c r="F13" s="258">
        <v>15</v>
      </c>
      <c r="G13" s="258">
        <f t="shared" si="0"/>
        <v>566.93333333333328</v>
      </c>
      <c r="H13" s="260">
        <v>8504</v>
      </c>
      <c r="I13" s="261">
        <v>3504.93</v>
      </c>
      <c r="J13" s="262">
        <f t="shared" ref="J13" si="22">SUM(H13:I13)</f>
        <v>12008.93</v>
      </c>
      <c r="K13" s="282">
        <f t="shared" si="2"/>
        <v>1752.4649999999999</v>
      </c>
      <c r="L13" s="301">
        <f t="shared" si="3"/>
        <v>20786.435733333332</v>
      </c>
      <c r="M13" s="301">
        <f t="shared" si="4"/>
        <v>15487.72</v>
      </c>
      <c r="N13" s="282">
        <f t="shared" si="5"/>
        <v>5298.7157333333325</v>
      </c>
      <c r="O13" s="283">
        <f t="shared" si="6"/>
        <v>0.21360000000000001</v>
      </c>
      <c r="P13" s="282">
        <f t="shared" si="7"/>
        <v>1131.80568064</v>
      </c>
      <c r="Q13" s="284">
        <f t="shared" si="8"/>
        <v>1640.18</v>
      </c>
      <c r="R13" s="282">
        <f t="shared" si="9"/>
        <v>2771.9856806400003</v>
      </c>
      <c r="S13" s="282">
        <f t="shared" si="10"/>
        <v>0</v>
      </c>
      <c r="T13" s="282">
        <f t="shared" si="11"/>
        <v>1367.76</v>
      </c>
      <c r="U13" s="262">
        <f t="shared" ref="U13:U14" si="23">-IF(T13&gt;0,0,0)</f>
        <v>0</v>
      </c>
      <c r="V13" s="262">
        <f t="shared" ref="V13:V14" si="24">IF(H13/15&lt;=SMG,0,IF(T13&lt;0,0,T13))</f>
        <v>1367.76</v>
      </c>
      <c r="W13" s="262">
        <f t="shared" si="13"/>
        <v>1367.76</v>
      </c>
      <c r="X13" s="262">
        <f t="shared" si="17"/>
        <v>10641.17</v>
      </c>
      <c r="Y13" s="359"/>
      <c r="Z13" s="319"/>
    </row>
    <row r="14" spans="1:27" s="265" customFormat="1" ht="172.5" customHeight="1" x14ac:dyDescent="0.2">
      <c r="A14" s="355"/>
      <c r="B14" s="268" t="s">
        <v>242</v>
      </c>
      <c r="C14" s="268" t="s">
        <v>107</v>
      </c>
      <c r="D14" s="311">
        <v>45367</v>
      </c>
      <c r="E14" s="257" t="s">
        <v>181</v>
      </c>
      <c r="F14" s="258">
        <v>15</v>
      </c>
      <c r="G14" s="258">
        <f t="shared" si="0"/>
        <v>566.93333333333328</v>
      </c>
      <c r="H14" s="260">
        <v>8504</v>
      </c>
      <c r="I14" s="261">
        <v>3504.93</v>
      </c>
      <c r="J14" s="262">
        <f t="shared" ref="J14" si="25">SUM(H14:I14)</f>
        <v>12008.93</v>
      </c>
      <c r="K14" s="282">
        <f t="shared" si="2"/>
        <v>1752.4649999999999</v>
      </c>
      <c r="L14" s="301">
        <f t="shared" si="3"/>
        <v>20786.435733333332</v>
      </c>
      <c r="M14" s="301">
        <f t="shared" si="4"/>
        <v>15487.72</v>
      </c>
      <c r="N14" s="282">
        <f t="shared" si="5"/>
        <v>5298.7157333333325</v>
      </c>
      <c r="O14" s="283">
        <f t="shared" si="6"/>
        <v>0.21360000000000001</v>
      </c>
      <c r="P14" s="282">
        <f t="shared" si="7"/>
        <v>1131.80568064</v>
      </c>
      <c r="Q14" s="284">
        <f t="shared" si="8"/>
        <v>1640.18</v>
      </c>
      <c r="R14" s="282">
        <f t="shared" si="9"/>
        <v>2771.9856806400003</v>
      </c>
      <c r="S14" s="282">
        <f t="shared" si="10"/>
        <v>0</v>
      </c>
      <c r="T14" s="282">
        <f t="shared" si="11"/>
        <v>1367.76</v>
      </c>
      <c r="U14" s="262">
        <f t="shared" si="23"/>
        <v>0</v>
      </c>
      <c r="V14" s="262">
        <f t="shared" si="24"/>
        <v>1367.76</v>
      </c>
      <c r="W14" s="262">
        <f t="shared" si="13"/>
        <v>1367.76</v>
      </c>
      <c r="X14" s="262">
        <f t="shared" si="17"/>
        <v>10641.17</v>
      </c>
      <c r="Y14" s="359"/>
      <c r="Z14" s="319"/>
    </row>
    <row r="15" spans="1:27" s="265" customFormat="1" ht="172.5" customHeight="1" x14ac:dyDescent="0.2">
      <c r="A15" s="355"/>
      <c r="B15" s="268" t="s">
        <v>99</v>
      </c>
      <c r="C15" s="268" t="s">
        <v>107</v>
      </c>
      <c r="D15" s="311">
        <v>41898</v>
      </c>
      <c r="E15" s="257" t="s">
        <v>78</v>
      </c>
      <c r="F15" s="258">
        <v>15</v>
      </c>
      <c r="G15" s="258">
        <f t="shared" si="0"/>
        <v>539.13333333333333</v>
      </c>
      <c r="H15" s="260">
        <v>8087</v>
      </c>
      <c r="I15" s="261">
        <v>0</v>
      </c>
      <c r="J15" s="262">
        <f t="shared" ref="J15:J17" si="26">SUM(H15:I15)</f>
        <v>8087</v>
      </c>
      <c r="K15" s="282">
        <f t="shared" si="2"/>
        <v>0</v>
      </c>
      <c r="L15" s="301">
        <f t="shared" si="3"/>
        <v>16389.653333333332</v>
      </c>
      <c r="M15" s="301">
        <f t="shared" si="4"/>
        <v>15487.72</v>
      </c>
      <c r="N15" s="282">
        <f t="shared" si="5"/>
        <v>901.93333333333248</v>
      </c>
      <c r="O15" s="283">
        <f t="shared" si="6"/>
        <v>0.21360000000000001</v>
      </c>
      <c r="P15" s="282">
        <f t="shared" si="7"/>
        <v>192.65295999999984</v>
      </c>
      <c r="Q15" s="284">
        <f t="shared" si="8"/>
        <v>1640.18</v>
      </c>
      <c r="R15" s="282">
        <f t="shared" si="9"/>
        <v>1832.83296</v>
      </c>
      <c r="S15" s="282">
        <f t="shared" si="10"/>
        <v>0</v>
      </c>
      <c r="T15" s="282">
        <f t="shared" si="11"/>
        <v>904.36</v>
      </c>
      <c r="U15" s="262">
        <f t="shared" ref="U15:U17" si="27">-IF(T15&gt;0,0,0)</f>
        <v>0</v>
      </c>
      <c r="V15" s="262">
        <f t="shared" ref="V15:V17" si="28">IF(H15/15&lt;=SMG,0,IF(T15&lt;0,0,T15))</f>
        <v>904.36</v>
      </c>
      <c r="W15" s="262">
        <f t="shared" si="13"/>
        <v>904.36</v>
      </c>
      <c r="X15" s="262">
        <f t="shared" si="17"/>
        <v>7182.64</v>
      </c>
      <c r="Y15" s="359"/>
      <c r="Z15" s="319"/>
    </row>
    <row r="16" spans="1:27" s="265" customFormat="1" ht="172.5" customHeight="1" x14ac:dyDescent="0.2">
      <c r="A16" s="355"/>
      <c r="B16" s="268" t="s">
        <v>153</v>
      </c>
      <c r="C16" s="268" t="s">
        <v>107</v>
      </c>
      <c r="D16" s="335">
        <v>43831</v>
      </c>
      <c r="E16" s="257" t="s">
        <v>78</v>
      </c>
      <c r="F16" s="258">
        <v>15</v>
      </c>
      <c r="G16" s="258">
        <f t="shared" si="0"/>
        <v>539.13333333333333</v>
      </c>
      <c r="H16" s="260">
        <v>8087</v>
      </c>
      <c r="I16" s="261">
        <v>0</v>
      </c>
      <c r="J16" s="262">
        <f t="shared" si="26"/>
        <v>8087</v>
      </c>
      <c r="K16" s="282">
        <f t="shared" si="2"/>
        <v>0</v>
      </c>
      <c r="L16" s="301">
        <f t="shared" si="3"/>
        <v>16389.653333333332</v>
      </c>
      <c r="M16" s="301">
        <f t="shared" si="4"/>
        <v>15487.72</v>
      </c>
      <c r="N16" s="282">
        <f t="shared" si="5"/>
        <v>901.93333333333248</v>
      </c>
      <c r="O16" s="283">
        <f t="shared" si="6"/>
        <v>0.21360000000000001</v>
      </c>
      <c r="P16" s="282">
        <f t="shared" si="7"/>
        <v>192.65295999999984</v>
      </c>
      <c r="Q16" s="284">
        <f t="shared" si="8"/>
        <v>1640.18</v>
      </c>
      <c r="R16" s="282">
        <f t="shared" si="9"/>
        <v>1832.83296</v>
      </c>
      <c r="S16" s="282">
        <f t="shared" si="10"/>
        <v>0</v>
      </c>
      <c r="T16" s="282">
        <f t="shared" si="11"/>
        <v>904.36</v>
      </c>
      <c r="U16" s="262">
        <f t="shared" si="27"/>
        <v>0</v>
      </c>
      <c r="V16" s="262">
        <f t="shared" si="28"/>
        <v>904.36</v>
      </c>
      <c r="W16" s="262">
        <f t="shared" si="13"/>
        <v>904.36</v>
      </c>
      <c r="X16" s="262">
        <f t="shared" si="17"/>
        <v>7182.64</v>
      </c>
      <c r="Y16" s="359"/>
      <c r="Z16" s="319"/>
    </row>
    <row r="17" spans="1:26" s="265" customFormat="1" ht="172.5" customHeight="1" x14ac:dyDescent="0.2">
      <c r="A17" s="355"/>
      <c r="B17" s="268" t="s">
        <v>180</v>
      </c>
      <c r="C17" s="268" t="s">
        <v>107</v>
      </c>
      <c r="D17" s="335">
        <v>44608</v>
      </c>
      <c r="E17" s="257" t="s">
        <v>78</v>
      </c>
      <c r="F17" s="258">
        <v>15</v>
      </c>
      <c r="G17" s="258">
        <f t="shared" si="0"/>
        <v>539.13333333333333</v>
      </c>
      <c r="H17" s="260">
        <v>8087</v>
      </c>
      <c r="I17" s="261">
        <v>0</v>
      </c>
      <c r="J17" s="262">
        <f t="shared" si="26"/>
        <v>8087</v>
      </c>
      <c r="K17" s="282">
        <f t="shared" si="2"/>
        <v>0</v>
      </c>
      <c r="L17" s="301">
        <f t="shared" si="3"/>
        <v>16389.653333333332</v>
      </c>
      <c r="M17" s="301">
        <f t="shared" si="4"/>
        <v>15487.72</v>
      </c>
      <c r="N17" s="282">
        <f t="shared" si="5"/>
        <v>901.93333333333248</v>
      </c>
      <c r="O17" s="283">
        <f t="shared" si="6"/>
        <v>0.21360000000000001</v>
      </c>
      <c r="P17" s="282">
        <f t="shared" si="7"/>
        <v>192.65295999999984</v>
      </c>
      <c r="Q17" s="284">
        <f t="shared" si="8"/>
        <v>1640.18</v>
      </c>
      <c r="R17" s="282">
        <f t="shared" si="9"/>
        <v>1832.83296</v>
      </c>
      <c r="S17" s="282">
        <f t="shared" si="10"/>
        <v>0</v>
      </c>
      <c r="T17" s="282">
        <f t="shared" si="11"/>
        <v>904.36</v>
      </c>
      <c r="U17" s="262">
        <f t="shared" si="27"/>
        <v>0</v>
      </c>
      <c r="V17" s="262">
        <f t="shared" si="28"/>
        <v>904.36</v>
      </c>
      <c r="W17" s="262">
        <f t="shared" si="13"/>
        <v>904.36</v>
      </c>
      <c r="X17" s="262">
        <f t="shared" si="17"/>
        <v>7182.64</v>
      </c>
      <c r="Y17" s="318"/>
      <c r="Z17" s="319"/>
    </row>
    <row r="18" spans="1:26" ht="53.25" customHeight="1" x14ac:dyDescent="0.25">
      <c r="A18" s="140"/>
      <c r="B18" s="140"/>
      <c r="C18" s="140"/>
      <c r="D18" s="156"/>
      <c r="E18" s="144"/>
      <c r="F18" s="145"/>
      <c r="G18" s="145"/>
      <c r="H18" s="147"/>
      <c r="I18" s="148"/>
      <c r="J18" s="149"/>
      <c r="K18" s="192"/>
      <c r="L18" s="192"/>
      <c r="M18" s="192"/>
      <c r="N18" s="192"/>
      <c r="O18" s="193"/>
      <c r="P18" s="192"/>
      <c r="Q18" s="194"/>
      <c r="R18" s="192"/>
      <c r="S18" s="192"/>
      <c r="T18" s="192"/>
      <c r="U18" s="149"/>
      <c r="V18" s="149"/>
      <c r="W18" s="149"/>
      <c r="X18" s="149"/>
      <c r="Y18" s="4"/>
      <c r="Z18" s="4"/>
    </row>
    <row r="19" spans="1:26" ht="5.25" customHeight="1" x14ac:dyDescent="0.25">
      <c r="A19" s="140"/>
      <c r="B19" s="140"/>
      <c r="C19" s="140"/>
      <c r="D19" s="156"/>
      <c r="E19" s="144"/>
      <c r="F19" s="145"/>
      <c r="G19" s="145"/>
      <c r="H19" s="147"/>
      <c r="I19" s="148"/>
      <c r="J19" s="149"/>
      <c r="K19" s="192"/>
      <c r="L19" s="192"/>
      <c r="M19" s="192"/>
      <c r="N19" s="192"/>
      <c r="O19" s="193"/>
      <c r="P19" s="192"/>
      <c r="Q19" s="194"/>
      <c r="R19" s="192"/>
      <c r="S19" s="192"/>
      <c r="T19" s="192"/>
      <c r="U19" s="149"/>
      <c r="V19" s="149"/>
      <c r="W19" s="149"/>
      <c r="X19" s="149"/>
      <c r="Y19" s="4"/>
      <c r="Z19" s="4"/>
    </row>
    <row r="20" spans="1:26" ht="5.25" customHeight="1" x14ac:dyDescent="0.25">
      <c r="A20" s="140"/>
      <c r="B20" s="140"/>
      <c r="C20" s="140"/>
      <c r="D20" s="156"/>
      <c r="E20" s="144"/>
      <c r="F20" s="145"/>
      <c r="G20" s="145"/>
      <c r="H20" s="147"/>
      <c r="I20" s="148"/>
      <c r="J20" s="149"/>
      <c r="K20" s="192"/>
      <c r="L20" s="192"/>
      <c r="M20" s="192"/>
      <c r="N20" s="192"/>
      <c r="O20" s="193"/>
      <c r="P20" s="192"/>
      <c r="Q20" s="194"/>
      <c r="R20" s="192"/>
      <c r="S20" s="192"/>
      <c r="T20" s="192"/>
      <c r="U20" s="149"/>
      <c r="V20" s="149"/>
      <c r="W20" s="149"/>
      <c r="X20" s="149"/>
      <c r="Y20" s="4"/>
      <c r="Z20" s="4"/>
    </row>
    <row r="21" spans="1:26" ht="27.75" customHeight="1" x14ac:dyDescent="0.25">
      <c r="A21" s="140"/>
      <c r="B21" s="465" t="s">
        <v>247</v>
      </c>
      <c r="C21" s="466"/>
      <c r="D21" s="466"/>
      <c r="E21" s="466"/>
      <c r="F21" s="466"/>
      <c r="G21" s="466"/>
      <c r="H21" s="466"/>
      <c r="I21" s="466"/>
      <c r="J21" s="466"/>
      <c r="K21" s="466"/>
      <c r="L21" s="466"/>
      <c r="M21" s="466"/>
      <c r="N21" s="466"/>
      <c r="O21" s="466"/>
      <c r="P21" s="466"/>
      <c r="Q21" s="466"/>
      <c r="R21" s="466"/>
      <c r="S21" s="466"/>
      <c r="T21" s="466"/>
      <c r="U21" s="466"/>
      <c r="V21" s="466"/>
      <c r="W21" s="466"/>
      <c r="X21" s="466"/>
      <c r="Y21" s="466"/>
      <c r="Z21" s="4"/>
    </row>
    <row r="22" spans="1:26" ht="23.25" customHeight="1" x14ac:dyDescent="0.25">
      <c r="A22" s="140"/>
      <c r="B22" s="465" t="s">
        <v>248</v>
      </c>
      <c r="C22" s="466"/>
      <c r="D22" s="466"/>
      <c r="E22" s="466"/>
      <c r="F22" s="466"/>
      <c r="G22" s="466"/>
      <c r="H22" s="466"/>
      <c r="I22" s="466"/>
      <c r="J22" s="466"/>
      <c r="K22" s="466"/>
      <c r="L22" s="466"/>
      <c r="M22" s="466"/>
      <c r="N22" s="466"/>
      <c r="O22" s="466"/>
      <c r="P22" s="466"/>
      <c r="Q22" s="466"/>
      <c r="R22" s="466"/>
      <c r="S22" s="466"/>
      <c r="T22" s="466"/>
      <c r="U22" s="466"/>
      <c r="V22" s="466"/>
      <c r="W22" s="466"/>
      <c r="X22" s="466"/>
      <c r="Y22" s="466"/>
      <c r="Z22" s="4"/>
    </row>
    <row r="23" spans="1:26" ht="21" customHeight="1" x14ac:dyDescent="0.25">
      <c r="A23" s="140"/>
      <c r="B23" s="465" t="s">
        <v>391</v>
      </c>
      <c r="C23" s="465"/>
      <c r="D23" s="465"/>
      <c r="E23" s="465"/>
      <c r="F23" s="465"/>
      <c r="G23" s="465"/>
      <c r="H23" s="465"/>
      <c r="I23" s="465"/>
      <c r="J23" s="465"/>
      <c r="K23" s="465"/>
      <c r="L23" s="465"/>
      <c r="M23" s="465"/>
      <c r="N23" s="465"/>
      <c r="O23" s="465"/>
      <c r="P23" s="465"/>
      <c r="Q23" s="465"/>
      <c r="R23" s="465"/>
      <c r="S23" s="465"/>
      <c r="T23" s="465"/>
      <c r="U23" s="465"/>
      <c r="V23" s="465"/>
      <c r="W23" s="465"/>
      <c r="X23" s="465"/>
      <c r="Y23" s="465"/>
      <c r="Z23" s="4"/>
    </row>
    <row r="24" spans="1:26" ht="20.25" customHeight="1" x14ac:dyDescent="0.25">
      <c r="A24" s="140"/>
      <c r="B24" s="467"/>
      <c r="C24" s="468"/>
      <c r="D24" s="468"/>
      <c r="E24" s="468"/>
      <c r="F24" s="468"/>
      <c r="G24" s="468"/>
      <c r="H24" s="468"/>
      <c r="I24" s="468"/>
      <c r="J24" s="468"/>
      <c r="K24" s="468"/>
      <c r="L24" s="468"/>
      <c r="M24" s="468"/>
      <c r="N24" s="468"/>
      <c r="O24" s="468"/>
      <c r="P24" s="468"/>
      <c r="Q24" s="468"/>
      <c r="R24" s="468"/>
      <c r="S24" s="468"/>
      <c r="T24" s="468"/>
      <c r="U24" s="468"/>
      <c r="V24" s="468"/>
      <c r="W24" s="468"/>
      <c r="X24" s="468"/>
      <c r="Y24" s="468"/>
      <c r="Z24" s="4"/>
    </row>
    <row r="25" spans="1:26" s="360" customFormat="1" ht="178.5" customHeight="1" x14ac:dyDescent="0.2">
      <c r="A25" s="355"/>
      <c r="B25" s="268" t="s">
        <v>208</v>
      </c>
      <c r="C25" s="268" t="s">
        <v>107</v>
      </c>
      <c r="D25" s="311">
        <v>45092</v>
      </c>
      <c r="E25" s="257" t="s">
        <v>78</v>
      </c>
      <c r="F25" s="258">
        <v>15</v>
      </c>
      <c r="G25" s="258">
        <f t="shared" ref="G25:G33" si="29">H25/F25</f>
        <v>539.13333333333333</v>
      </c>
      <c r="H25" s="260">
        <v>8087</v>
      </c>
      <c r="I25" s="261">
        <v>0</v>
      </c>
      <c r="J25" s="262">
        <f t="shared" ref="J25" si="30">SUM(H25:I25)</f>
        <v>8087</v>
      </c>
      <c r="K25" s="282">
        <f t="shared" ref="K25:K33" si="31">IF(H25/15&lt;=SMG,0,I25/2)</f>
        <v>0</v>
      </c>
      <c r="L25" s="301">
        <f t="shared" ref="L25:L33" si="32">(H25+K25)/F25*30.4</f>
        <v>16389.653333333332</v>
      </c>
      <c r="M25" s="301">
        <f t="shared" ref="M25:M33" si="33">VLOOKUP(L25,Tarifa,1)</f>
        <v>15487.72</v>
      </c>
      <c r="N25" s="282">
        <f t="shared" ref="N25:N33" si="34">L25-M25</f>
        <v>901.93333333333248</v>
      </c>
      <c r="O25" s="283">
        <f t="shared" ref="O25:O33" si="35">VLOOKUP(L25,Tarifa,3)</f>
        <v>0.21360000000000001</v>
      </c>
      <c r="P25" s="282">
        <f t="shared" ref="P25:P33" si="36">N25*O25</f>
        <v>192.65295999999984</v>
      </c>
      <c r="Q25" s="284">
        <f t="shared" ref="Q25:Q33" si="37">VLOOKUP(L25,Tarifa,2)</f>
        <v>1640.18</v>
      </c>
      <c r="R25" s="282">
        <f t="shared" ref="R25:R33" si="38">P25+Q25</f>
        <v>1832.83296</v>
      </c>
      <c r="S25" s="282">
        <f t="shared" ref="S25:S33" si="39">VLOOKUP(L25,Credito,2)</f>
        <v>0</v>
      </c>
      <c r="T25" s="282">
        <f t="shared" ref="T25:T33" si="40">ROUND((R25-S25)/30.4*F25,2)</f>
        <v>904.36</v>
      </c>
      <c r="U25" s="262">
        <f t="shared" ref="U25" si="41">-IF(T25&gt;0,0,0)</f>
        <v>0</v>
      </c>
      <c r="V25" s="262">
        <f t="shared" ref="V25" si="42">IF(H25/15&lt;=SMG,0,IF(T25&lt;0,0,T25))</f>
        <v>904.36</v>
      </c>
      <c r="W25" s="262">
        <f t="shared" ref="W25:W33" si="43">SUM(V25:V25)</f>
        <v>904.36</v>
      </c>
      <c r="X25" s="262">
        <f t="shared" ref="X25:X33" si="44">J25+U25-W25</f>
        <v>7182.64</v>
      </c>
      <c r="Y25" s="318"/>
      <c r="Z25" s="319"/>
    </row>
    <row r="26" spans="1:26" s="360" customFormat="1" ht="178.5" customHeight="1" x14ac:dyDescent="0.2">
      <c r="A26" s="355"/>
      <c r="B26" s="268" t="s">
        <v>241</v>
      </c>
      <c r="C26" s="268" t="s">
        <v>107</v>
      </c>
      <c r="D26" s="311">
        <v>45367</v>
      </c>
      <c r="E26" s="257" t="s">
        <v>78</v>
      </c>
      <c r="F26" s="258">
        <v>15</v>
      </c>
      <c r="G26" s="258">
        <f t="shared" si="29"/>
        <v>539.13333333333333</v>
      </c>
      <c r="H26" s="260">
        <v>8087</v>
      </c>
      <c r="I26" s="261">
        <v>0</v>
      </c>
      <c r="J26" s="262">
        <f t="shared" ref="J26" si="45">SUM(H26:I26)</f>
        <v>8087</v>
      </c>
      <c r="K26" s="282">
        <f t="shared" si="31"/>
        <v>0</v>
      </c>
      <c r="L26" s="301">
        <f t="shared" si="32"/>
        <v>16389.653333333332</v>
      </c>
      <c r="M26" s="301">
        <f t="shared" si="33"/>
        <v>15487.72</v>
      </c>
      <c r="N26" s="282">
        <f t="shared" si="34"/>
        <v>901.93333333333248</v>
      </c>
      <c r="O26" s="283">
        <f t="shared" si="35"/>
        <v>0.21360000000000001</v>
      </c>
      <c r="P26" s="282">
        <f t="shared" si="36"/>
        <v>192.65295999999984</v>
      </c>
      <c r="Q26" s="284">
        <f t="shared" si="37"/>
        <v>1640.18</v>
      </c>
      <c r="R26" s="282">
        <f t="shared" si="38"/>
        <v>1832.83296</v>
      </c>
      <c r="S26" s="282">
        <f t="shared" si="39"/>
        <v>0</v>
      </c>
      <c r="T26" s="282">
        <f t="shared" si="40"/>
        <v>904.36</v>
      </c>
      <c r="U26" s="262">
        <f t="shared" ref="U26" si="46">-IF(T26&gt;0,0,0)</f>
        <v>0</v>
      </c>
      <c r="V26" s="262">
        <f t="shared" ref="V26" si="47">IF(H26/15&lt;=SMG,0,IF(T26&lt;0,0,T26))</f>
        <v>904.36</v>
      </c>
      <c r="W26" s="262">
        <f t="shared" si="43"/>
        <v>904.36</v>
      </c>
      <c r="X26" s="262">
        <f t="shared" si="44"/>
        <v>7182.64</v>
      </c>
      <c r="Y26" s="318"/>
      <c r="Z26" s="319"/>
    </row>
    <row r="27" spans="1:26" s="360" customFormat="1" ht="178.5" customHeight="1" x14ac:dyDescent="0.2">
      <c r="A27" s="355"/>
      <c r="B27" s="268" t="s">
        <v>228</v>
      </c>
      <c r="C27" s="268" t="s">
        <v>107</v>
      </c>
      <c r="D27" s="311">
        <v>45200</v>
      </c>
      <c r="E27" s="257" t="s">
        <v>78</v>
      </c>
      <c r="F27" s="258">
        <v>15</v>
      </c>
      <c r="G27" s="258">
        <f t="shared" si="29"/>
        <v>539.13333333333333</v>
      </c>
      <c r="H27" s="260">
        <v>8087</v>
      </c>
      <c r="I27" s="261">
        <v>0</v>
      </c>
      <c r="J27" s="262">
        <f t="shared" ref="J27:J49" si="48">SUM(H27:I27)</f>
        <v>8087</v>
      </c>
      <c r="K27" s="282">
        <f t="shared" si="31"/>
        <v>0</v>
      </c>
      <c r="L27" s="301">
        <f t="shared" si="32"/>
        <v>16389.653333333332</v>
      </c>
      <c r="M27" s="301">
        <f t="shared" si="33"/>
        <v>15487.72</v>
      </c>
      <c r="N27" s="282">
        <f t="shared" si="34"/>
        <v>901.93333333333248</v>
      </c>
      <c r="O27" s="283">
        <f t="shared" si="35"/>
        <v>0.21360000000000001</v>
      </c>
      <c r="P27" s="282">
        <f t="shared" si="36"/>
        <v>192.65295999999984</v>
      </c>
      <c r="Q27" s="284">
        <f t="shared" si="37"/>
        <v>1640.18</v>
      </c>
      <c r="R27" s="282">
        <f t="shared" si="38"/>
        <v>1832.83296</v>
      </c>
      <c r="S27" s="282">
        <f t="shared" si="39"/>
        <v>0</v>
      </c>
      <c r="T27" s="282">
        <f t="shared" si="40"/>
        <v>904.36</v>
      </c>
      <c r="U27" s="262">
        <f t="shared" ref="U27:U49" si="49">-IF(T27&gt;0,0,0)</f>
        <v>0</v>
      </c>
      <c r="V27" s="262">
        <f t="shared" ref="V27:V49" si="50">IF(H27/15&lt;=SMG,0,IF(T27&lt;0,0,T27))</f>
        <v>904.36</v>
      </c>
      <c r="W27" s="262">
        <f t="shared" si="43"/>
        <v>904.36</v>
      </c>
      <c r="X27" s="262">
        <f t="shared" si="44"/>
        <v>7182.64</v>
      </c>
      <c r="Y27" s="318"/>
      <c r="Z27" s="319"/>
    </row>
    <row r="28" spans="1:26" s="360" customFormat="1" ht="178.5" customHeight="1" x14ac:dyDescent="0.2">
      <c r="A28" s="355"/>
      <c r="B28" s="268" t="s">
        <v>235</v>
      </c>
      <c r="C28" s="268" t="s">
        <v>107</v>
      </c>
      <c r="D28" s="311">
        <v>45292</v>
      </c>
      <c r="E28" s="257" t="s">
        <v>78</v>
      </c>
      <c r="F28" s="258">
        <v>15</v>
      </c>
      <c r="G28" s="258">
        <f t="shared" si="29"/>
        <v>539.13333333333333</v>
      </c>
      <c r="H28" s="260">
        <v>8087</v>
      </c>
      <c r="I28" s="261">
        <v>0</v>
      </c>
      <c r="J28" s="262">
        <f t="shared" si="48"/>
        <v>8087</v>
      </c>
      <c r="K28" s="282">
        <f t="shared" si="31"/>
        <v>0</v>
      </c>
      <c r="L28" s="301">
        <f t="shared" si="32"/>
        <v>16389.653333333332</v>
      </c>
      <c r="M28" s="301">
        <f t="shared" si="33"/>
        <v>15487.72</v>
      </c>
      <c r="N28" s="282">
        <f t="shared" si="34"/>
        <v>901.93333333333248</v>
      </c>
      <c r="O28" s="283">
        <f t="shared" si="35"/>
        <v>0.21360000000000001</v>
      </c>
      <c r="P28" s="282">
        <f t="shared" si="36"/>
        <v>192.65295999999984</v>
      </c>
      <c r="Q28" s="284">
        <f t="shared" si="37"/>
        <v>1640.18</v>
      </c>
      <c r="R28" s="282">
        <f t="shared" si="38"/>
        <v>1832.83296</v>
      </c>
      <c r="S28" s="282">
        <f t="shared" si="39"/>
        <v>0</v>
      </c>
      <c r="T28" s="282">
        <f t="shared" si="40"/>
        <v>904.36</v>
      </c>
      <c r="U28" s="262">
        <f t="shared" si="49"/>
        <v>0</v>
      </c>
      <c r="V28" s="262">
        <f t="shared" si="50"/>
        <v>904.36</v>
      </c>
      <c r="W28" s="262">
        <f t="shared" si="43"/>
        <v>904.36</v>
      </c>
      <c r="X28" s="262">
        <f t="shared" si="44"/>
        <v>7182.64</v>
      </c>
      <c r="Y28" s="318"/>
      <c r="Z28" s="319"/>
    </row>
    <row r="29" spans="1:26" s="360" customFormat="1" ht="178.5" customHeight="1" x14ac:dyDescent="0.2">
      <c r="A29" s="355"/>
      <c r="B29" s="268" t="s">
        <v>244</v>
      </c>
      <c r="C29" s="268" t="s">
        <v>107</v>
      </c>
      <c r="D29" s="311">
        <v>45398</v>
      </c>
      <c r="E29" s="257" t="s">
        <v>78</v>
      </c>
      <c r="F29" s="258">
        <v>15</v>
      </c>
      <c r="G29" s="258">
        <f t="shared" si="29"/>
        <v>539.13333333333333</v>
      </c>
      <c r="H29" s="260">
        <v>8087</v>
      </c>
      <c r="I29" s="261">
        <v>0</v>
      </c>
      <c r="J29" s="262">
        <f t="shared" si="48"/>
        <v>8087</v>
      </c>
      <c r="K29" s="282">
        <f t="shared" si="31"/>
        <v>0</v>
      </c>
      <c r="L29" s="301">
        <f t="shared" si="32"/>
        <v>16389.653333333332</v>
      </c>
      <c r="M29" s="301">
        <f t="shared" si="33"/>
        <v>15487.72</v>
      </c>
      <c r="N29" s="282">
        <f t="shared" si="34"/>
        <v>901.93333333333248</v>
      </c>
      <c r="O29" s="283">
        <f t="shared" si="35"/>
        <v>0.21360000000000001</v>
      </c>
      <c r="P29" s="282">
        <f t="shared" si="36"/>
        <v>192.65295999999984</v>
      </c>
      <c r="Q29" s="284">
        <f t="shared" si="37"/>
        <v>1640.18</v>
      </c>
      <c r="R29" s="282">
        <f t="shared" si="38"/>
        <v>1832.83296</v>
      </c>
      <c r="S29" s="282">
        <f t="shared" si="39"/>
        <v>0</v>
      </c>
      <c r="T29" s="282">
        <f t="shared" si="40"/>
        <v>904.36</v>
      </c>
      <c r="U29" s="262">
        <f t="shared" si="49"/>
        <v>0</v>
      </c>
      <c r="V29" s="262">
        <f t="shared" si="50"/>
        <v>904.36</v>
      </c>
      <c r="W29" s="262">
        <f t="shared" si="43"/>
        <v>904.36</v>
      </c>
      <c r="X29" s="262">
        <f t="shared" si="44"/>
        <v>7182.64</v>
      </c>
      <c r="Y29" s="318"/>
      <c r="Z29" s="319"/>
    </row>
    <row r="30" spans="1:26" s="360" customFormat="1" ht="178.5" customHeight="1" x14ac:dyDescent="0.2">
      <c r="A30" s="355"/>
      <c r="B30" s="268" t="s">
        <v>246</v>
      </c>
      <c r="C30" s="268" t="s">
        <v>107</v>
      </c>
      <c r="D30" s="311">
        <v>45413</v>
      </c>
      <c r="E30" s="257" t="s">
        <v>78</v>
      </c>
      <c r="F30" s="258">
        <v>15</v>
      </c>
      <c r="G30" s="258">
        <f t="shared" si="29"/>
        <v>539.13333333333333</v>
      </c>
      <c r="H30" s="260">
        <v>8087</v>
      </c>
      <c r="I30" s="261">
        <v>0</v>
      </c>
      <c r="J30" s="262">
        <f t="shared" si="48"/>
        <v>8087</v>
      </c>
      <c r="K30" s="282">
        <f t="shared" si="31"/>
        <v>0</v>
      </c>
      <c r="L30" s="301">
        <f t="shared" si="32"/>
        <v>16389.653333333332</v>
      </c>
      <c r="M30" s="301">
        <f t="shared" si="33"/>
        <v>15487.72</v>
      </c>
      <c r="N30" s="282">
        <f t="shared" si="34"/>
        <v>901.93333333333248</v>
      </c>
      <c r="O30" s="283">
        <f t="shared" si="35"/>
        <v>0.21360000000000001</v>
      </c>
      <c r="P30" s="282">
        <f t="shared" si="36"/>
        <v>192.65295999999984</v>
      </c>
      <c r="Q30" s="284">
        <f t="shared" si="37"/>
        <v>1640.18</v>
      </c>
      <c r="R30" s="282">
        <f t="shared" si="38"/>
        <v>1832.83296</v>
      </c>
      <c r="S30" s="282">
        <f t="shared" si="39"/>
        <v>0</v>
      </c>
      <c r="T30" s="282">
        <f t="shared" si="40"/>
        <v>904.36</v>
      </c>
      <c r="U30" s="262">
        <f t="shared" si="49"/>
        <v>0</v>
      </c>
      <c r="V30" s="262">
        <f t="shared" si="50"/>
        <v>904.36</v>
      </c>
      <c r="W30" s="262">
        <f t="shared" si="43"/>
        <v>904.36</v>
      </c>
      <c r="X30" s="262">
        <f t="shared" si="44"/>
        <v>7182.64</v>
      </c>
      <c r="Y30" s="318"/>
      <c r="Z30" s="319"/>
    </row>
    <row r="31" spans="1:26" s="360" customFormat="1" ht="178.5" customHeight="1" x14ac:dyDescent="0.2">
      <c r="A31" s="355"/>
      <c r="B31" s="268" t="s">
        <v>249</v>
      </c>
      <c r="C31" s="268" t="s">
        <v>107</v>
      </c>
      <c r="D31" s="311">
        <v>45428</v>
      </c>
      <c r="E31" s="257" t="s">
        <v>78</v>
      </c>
      <c r="F31" s="258">
        <v>15</v>
      </c>
      <c r="G31" s="258">
        <f t="shared" si="29"/>
        <v>539.13333333333333</v>
      </c>
      <c r="H31" s="260">
        <v>8087</v>
      </c>
      <c r="I31" s="261">
        <v>0</v>
      </c>
      <c r="J31" s="262">
        <f t="shared" si="48"/>
        <v>8087</v>
      </c>
      <c r="K31" s="282">
        <f t="shared" si="31"/>
        <v>0</v>
      </c>
      <c r="L31" s="301">
        <f t="shared" si="32"/>
        <v>16389.653333333332</v>
      </c>
      <c r="M31" s="301">
        <f t="shared" si="33"/>
        <v>15487.72</v>
      </c>
      <c r="N31" s="282">
        <f t="shared" si="34"/>
        <v>901.93333333333248</v>
      </c>
      <c r="O31" s="283">
        <f t="shared" si="35"/>
        <v>0.21360000000000001</v>
      </c>
      <c r="P31" s="282">
        <f t="shared" si="36"/>
        <v>192.65295999999984</v>
      </c>
      <c r="Q31" s="284">
        <f t="shared" si="37"/>
        <v>1640.18</v>
      </c>
      <c r="R31" s="282">
        <f t="shared" si="38"/>
        <v>1832.83296</v>
      </c>
      <c r="S31" s="282">
        <f t="shared" si="39"/>
        <v>0</v>
      </c>
      <c r="T31" s="282">
        <f t="shared" si="40"/>
        <v>904.36</v>
      </c>
      <c r="U31" s="262">
        <f t="shared" si="49"/>
        <v>0</v>
      </c>
      <c r="V31" s="262">
        <f t="shared" si="50"/>
        <v>904.36</v>
      </c>
      <c r="W31" s="262">
        <f t="shared" si="43"/>
        <v>904.36</v>
      </c>
      <c r="X31" s="262">
        <f t="shared" si="44"/>
        <v>7182.64</v>
      </c>
      <c r="Y31" s="318"/>
      <c r="Z31" s="319"/>
    </row>
    <row r="32" spans="1:26" s="360" customFormat="1" ht="178.5" customHeight="1" x14ac:dyDescent="0.2">
      <c r="A32" s="355"/>
      <c r="B32" s="268" t="s">
        <v>250</v>
      </c>
      <c r="C32" s="268" t="s">
        <v>107</v>
      </c>
      <c r="D32" s="311">
        <v>45444</v>
      </c>
      <c r="E32" s="257" t="s">
        <v>78</v>
      </c>
      <c r="F32" s="258">
        <v>15</v>
      </c>
      <c r="G32" s="258">
        <f t="shared" si="29"/>
        <v>539.13333333333333</v>
      </c>
      <c r="H32" s="260">
        <v>8087</v>
      </c>
      <c r="I32" s="261">
        <v>0</v>
      </c>
      <c r="J32" s="262">
        <f t="shared" si="48"/>
        <v>8087</v>
      </c>
      <c r="K32" s="282">
        <f t="shared" si="31"/>
        <v>0</v>
      </c>
      <c r="L32" s="301">
        <f t="shared" si="32"/>
        <v>16389.653333333332</v>
      </c>
      <c r="M32" s="301">
        <f t="shared" si="33"/>
        <v>15487.72</v>
      </c>
      <c r="N32" s="282">
        <f t="shared" si="34"/>
        <v>901.93333333333248</v>
      </c>
      <c r="O32" s="283">
        <f t="shared" si="35"/>
        <v>0.21360000000000001</v>
      </c>
      <c r="P32" s="282">
        <f t="shared" si="36"/>
        <v>192.65295999999984</v>
      </c>
      <c r="Q32" s="284">
        <f t="shared" si="37"/>
        <v>1640.18</v>
      </c>
      <c r="R32" s="282">
        <f t="shared" si="38"/>
        <v>1832.83296</v>
      </c>
      <c r="S32" s="282">
        <f t="shared" si="39"/>
        <v>0</v>
      </c>
      <c r="T32" s="282">
        <f t="shared" si="40"/>
        <v>904.36</v>
      </c>
      <c r="U32" s="262">
        <f t="shared" si="49"/>
        <v>0</v>
      </c>
      <c r="V32" s="262">
        <f t="shared" si="50"/>
        <v>904.36</v>
      </c>
      <c r="W32" s="262">
        <f t="shared" si="43"/>
        <v>904.36</v>
      </c>
      <c r="X32" s="262">
        <f t="shared" si="44"/>
        <v>7182.64</v>
      </c>
      <c r="Y32" s="318"/>
      <c r="Z32" s="319"/>
    </row>
    <row r="33" spans="1:26" s="360" customFormat="1" ht="178.5" customHeight="1" x14ac:dyDescent="0.2">
      <c r="A33" s="355"/>
      <c r="B33" s="268" t="s">
        <v>258</v>
      </c>
      <c r="C33" s="268" t="s">
        <v>107</v>
      </c>
      <c r="D33" s="311">
        <v>45459</v>
      </c>
      <c r="E33" s="257" t="s">
        <v>78</v>
      </c>
      <c r="F33" s="258">
        <v>15</v>
      </c>
      <c r="G33" s="258">
        <f t="shared" si="29"/>
        <v>539.13333333333333</v>
      </c>
      <c r="H33" s="260">
        <v>8087</v>
      </c>
      <c r="I33" s="261">
        <v>0</v>
      </c>
      <c r="J33" s="262">
        <f t="shared" si="48"/>
        <v>8087</v>
      </c>
      <c r="K33" s="282">
        <f t="shared" si="31"/>
        <v>0</v>
      </c>
      <c r="L33" s="301">
        <f t="shared" si="32"/>
        <v>16389.653333333332</v>
      </c>
      <c r="M33" s="301">
        <f t="shared" si="33"/>
        <v>15487.72</v>
      </c>
      <c r="N33" s="282">
        <f t="shared" si="34"/>
        <v>901.93333333333248</v>
      </c>
      <c r="O33" s="283">
        <f t="shared" si="35"/>
        <v>0.21360000000000001</v>
      </c>
      <c r="P33" s="282">
        <f t="shared" si="36"/>
        <v>192.65295999999984</v>
      </c>
      <c r="Q33" s="284">
        <f t="shared" si="37"/>
        <v>1640.18</v>
      </c>
      <c r="R33" s="282">
        <f t="shared" si="38"/>
        <v>1832.83296</v>
      </c>
      <c r="S33" s="282">
        <f t="shared" si="39"/>
        <v>0</v>
      </c>
      <c r="T33" s="282">
        <f t="shared" si="40"/>
        <v>904.36</v>
      </c>
      <c r="U33" s="262">
        <f t="shared" si="49"/>
        <v>0</v>
      </c>
      <c r="V33" s="262">
        <f t="shared" si="50"/>
        <v>904.36</v>
      </c>
      <c r="W33" s="262">
        <f t="shared" si="43"/>
        <v>904.36</v>
      </c>
      <c r="X33" s="262">
        <f t="shared" si="44"/>
        <v>7182.64</v>
      </c>
      <c r="Y33" s="318"/>
      <c r="Z33" s="319"/>
    </row>
    <row r="34" spans="1:26" ht="15.75" customHeight="1" x14ac:dyDescent="0.3">
      <c r="A34" s="140"/>
      <c r="B34" s="204"/>
      <c r="C34" s="204"/>
      <c r="D34" s="202"/>
      <c r="E34" s="198"/>
      <c r="F34" s="208"/>
      <c r="G34" s="208"/>
      <c r="H34" s="210"/>
      <c r="I34" s="211"/>
      <c r="J34" s="212"/>
      <c r="K34" s="213"/>
      <c r="L34" s="213"/>
      <c r="M34" s="213"/>
      <c r="N34" s="213"/>
      <c r="O34" s="214"/>
      <c r="P34" s="213"/>
      <c r="Q34" s="215"/>
      <c r="R34" s="213"/>
      <c r="S34" s="213"/>
      <c r="T34" s="213"/>
      <c r="U34" s="212"/>
      <c r="V34" s="212"/>
      <c r="W34" s="212"/>
      <c r="X34" s="212"/>
      <c r="Y34" s="4"/>
      <c r="Z34" s="4"/>
    </row>
    <row r="35" spans="1:26" ht="15.75" customHeight="1" x14ac:dyDescent="0.3">
      <c r="A35" s="140"/>
      <c r="B35" s="204"/>
      <c r="C35" s="204"/>
      <c r="D35" s="202"/>
      <c r="E35" s="198"/>
      <c r="F35" s="208"/>
      <c r="G35" s="208"/>
      <c r="H35" s="210"/>
      <c r="I35" s="211"/>
      <c r="J35" s="212"/>
      <c r="K35" s="213"/>
      <c r="L35" s="213"/>
      <c r="M35" s="213"/>
      <c r="N35" s="213"/>
      <c r="O35" s="214"/>
      <c r="P35" s="213"/>
      <c r="Q35" s="215"/>
      <c r="R35" s="213"/>
      <c r="S35" s="213"/>
      <c r="T35" s="213"/>
      <c r="U35" s="212"/>
      <c r="V35" s="212"/>
      <c r="W35" s="212"/>
      <c r="X35" s="212"/>
      <c r="Y35" s="4"/>
      <c r="Z35" s="4"/>
    </row>
    <row r="36" spans="1:26" ht="15.75" customHeight="1" x14ac:dyDescent="0.3">
      <c r="A36" s="140"/>
      <c r="B36" s="204"/>
      <c r="C36" s="204"/>
      <c r="D36" s="202"/>
      <c r="E36" s="198"/>
      <c r="F36" s="208"/>
      <c r="G36" s="208"/>
      <c r="H36" s="210"/>
      <c r="I36" s="211"/>
      <c r="J36" s="212"/>
      <c r="K36" s="213"/>
      <c r="L36" s="213"/>
      <c r="M36" s="213"/>
      <c r="N36" s="213"/>
      <c r="O36" s="214"/>
      <c r="P36" s="213"/>
      <c r="Q36" s="215"/>
      <c r="R36" s="213"/>
      <c r="S36" s="213"/>
      <c r="T36" s="213"/>
      <c r="U36" s="212"/>
      <c r="V36" s="212"/>
      <c r="W36" s="212"/>
      <c r="X36" s="212"/>
      <c r="Y36" s="4"/>
      <c r="Z36" s="4"/>
    </row>
    <row r="37" spans="1:26" ht="15.75" customHeight="1" x14ac:dyDescent="0.3">
      <c r="A37" s="140"/>
      <c r="B37" s="204"/>
      <c r="C37" s="204"/>
      <c r="D37" s="202"/>
      <c r="E37" s="198"/>
      <c r="F37" s="208"/>
      <c r="G37" s="208"/>
      <c r="H37" s="210"/>
      <c r="I37" s="211"/>
      <c r="J37" s="212"/>
      <c r="K37" s="213"/>
      <c r="L37" s="213"/>
      <c r="M37" s="213"/>
      <c r="N37" s="213"/>
      <c r="O37" s="214"/>
      <c r="P37" s="213"/>
      <c r="Q37" s="215"/>
      <c r="R37" s="213"/>
      <c r="S37" s="213"/>
      <c r="T37" s="213"/>
      <c r="U37" s="212"/>
      <c r="V37" s="212"/>
      <c r="W37" s="212"/>
      <c r="X37" s="212"/>
      <c r="Y37" s="4"/>
      <c r="Z37" s="4"/>
    </row>
    <row r="38" spans="1:26" ht="32.25" customHeight="1" x14ac:dyDescent="0.25">
      <c r="A38" s="140"/>
      <c r="B38" s="465" t="s">
        <v>247</v>
      </c>
      <c r="C38" s="466"/>
      <c r="D38" s="466"/>
      <c r="E38" s="466"/>
      <c r="F38" s="466"/>
      <c r="G38" s="466"/>
      <c r="H38" s="466"/>
      <c r="I38" s="466"/>
      <c r="J38" s="466"/>
      <c r="K38" s="466"/>
      <c r="L38" s="466"/>
      <c r="M38" s="466"/>
      <c r="N38" s="466"/>
      <c r="O38" s="466"/>
      <c r="P38" s="466"/>
      <c r="Q38" s="466"/>
      <c r="R38" s="466"/>
      <c r="S38" s="466"/>
      <c r="T38" s="466"/>
      <c r="U38" s="466"/>
      <c r="V38" s="466"/>
      <c r="W38" s="466"/>
      <c r="X38" s="466"/>
      <c r="Y38" s="466"/>
      <c r="Z38" s="4"/>
    </row>
    <row r="39" spans="1:26" ht="18.75" customHeight="1" x14ac:dyDescent="0.25">
      <c r="A39" s="140"/>
      <c r="B39" s="465" t="s">
        <v>248</v>
      </c>
      <c r="C39" s="466"/>
      <c r="D39" s="466"/>
      <c r="E39" s="466"/>
      <c r="F39" s="466"/>
      <c r="G39" s="466"/>
      <c r="H39" s="466"/>
      <c r="I39" s="466"/>
      <c r="J39" s="466"/>
      <c r="K39" s="466"/>
      <c r="L39" s="466"/>
      <c r="M39" s="466"/>
      <c r="N39" s="466"/>
      <c r="O39" s="466"/>
      <c r="P39" s="466"/>
      <c r="Q39" s="466"/>
      <c r="R39" s="466"/>
      <c r="S39" s="466"/>
      <c r="T39" s="466"/>
      <c r="U39" s="466"/>
      <c r="V39" s="466"/>
      <c r="W39" s="466"/>
      <c r="X39" s="466"/>
      <c r="Y39" s="466"/>
      <c r="Z39" s="4"/>
    </row>
    <row r="40" spans="1:26" ht="32.25" customHeight="1" x14ac:dyDescent="0.3">
      <c r="A40" s="140"/>
      <c r="B40" s="451" t="str">
        <f>PRESIDENCIA!A3</f>
        <v>SUELDO  DEL 01 AL 15 DE ABRIL DE 2025</v>
      </c>
      <c r="C40" s="451"/>
      <c r="D40" s="451"/>
      <c r="E40" s="451"/>
      <c r="F40" s="451"/>
      <c r="G40" s="451"/>
      <c r="H40" s="451"/>
      <c r="I40" s="451"/>
      <c r="J40" s="451"/>
      <c r="K40" s="451"/>
      <c r="L40" s="451"/>
      <c r="M40" s="451"/>
      <c r="N40" s="451"/>
      <c r="O40" s="451"/>
      <c r="P40" s="451"/>
      <c r="Q40" s="451"/>
      <c r="R40" s="451"/>
      <c r="S40" s="451"/>
      <c r="T40" s="451"/>
      <c r="U40" s="451"/>
      <c r="V40" s="451"/>
      <c r="W40" s="451"/>
      <c r="X40" s="451"/>
      <c r="Y40" s="451"/>
      <c r="Z40" s="4"/>
    </row>
    <row r="41" spans="1:26" ht="22.5" customHeight="1" x14ac:dyDescent="0.3">
      <c r="A41" s="140"/>
      <c r="B41" s="204"/>
      <c r="C41" s="204"/>
      <c r="D41" s="202"/>
      <c r="E41" s="198"/>
      <c r="F41" s="208"/>
      <c r="G41" s="208"/>
      <c r="H41" s="210"/>
      <c r="I41" s="211"/>
      <c r="J41" s="212"/>
      <c r="K41" s="213"/>
      <c r="L41" s="213"/>
      <c r="M41" s="213"/>
      <c r="N41" s="213"/>
      <c r="O41" s="214"/>
      <c r="P41" s="213"/>
      <c r="Q41" s="215"/>
      <c r="R41" s="213"/>
      <c r="S41" s="213"/>
      <c r="T41" s="213"/>
      <c r="U41" s="212"/>
      <c r="V41" s="212"/>
      <c r="W41" s="212"/>
      <c r="X41" s="212"/>
      <c r="Y41" s="4"/>
      <c r="Z41" s="4"/>
    </row>
    <row r="42" spans="1:26" s="360" customFormat="1" ht="171" customHeight="1" x14ac:dyDescent="0.2">
      <c r="A42" s="355"/>
      <c r="B42" s="321" t="s">
        <v>259</v>
      </c>
      <c r="C42" s="321" t="s">
        <v>107</v>
      </c>
      <c r="D42" s="361">
        <v>45459</v>
      </c>
      <c r="E42" s="324" t="s">
        <v>78</v>
      </c>
      <c r="F42" s="258">
        <v>15</v>
      </c>
      <c r="G42" s="258">
        <f t="shared" ref="G42:G49" si="51">H42/F42</f>
        <v>539.13333333333333</v>
      </c>
      <c r="H42" s="260">
        <v>8087</v>
      </c>
      <c r="I42" s="326">
        <v>0</v>
      </c>
      <c r="J42" s="327">
        <f t="shared" ref="J42" si="52">SUM(H42:I42)</f>
        <v>8087</v>
      </c>
      <c r="K42" s="282">
        <f t="shared" ref="K42:K49" si="53">IF(H42/15&lt;=SMG,0,I42/2)</f>
        <v>0</v>
      </c>
      <c r="L42" s="301">
        <f t="shared" ref="L42:L49" si="54">(H42+K42)/F42*30.4</f>
        <v>16389.653333333332</v>
      </c>
      <c r="M42" s="301">
        <f t="shared" ref="M42:M49" si="55">VLOOKUP(L42,Tarifa,1)</f>
        <v>15487.72</v>
      </c>
      <c r="N42" s="282">
        <f t="shared" ref="N42:N49" si="56">L42-M42</f>
        <v>901.93333333333248</v>
      </c>
      <c r="O42" s="283">
        <f t="shared" ref="O42:O49" si="57">VLOOKUP(L42,Tarifa,3)</f>
        <v>0.21360000000000001</v>
      </c>
      <c r="P42" s="282">
        <f t="shared" ref="P42:P49" si="58">N42*O42</f>
        <v>192.65295999999984</v>
      </c>
      <c r="Q42" s="284">
        <f t="shared" ref="Q42:Q49" si="59">VLOOKUP(L42,Tarifa,2)</f>
        <v>1640.18</v>
      </c>
      <c r="R42" s="282">
        <f t="shared" ref="R42:R49" si="60">P42+Q42</f>
        <v>1832.83296</v>
      </c>
      <c r="S42" s="282">
        <f t="shared" ref="S42:S49" si="61">VLOOKUP(L42,Credito,2)</f>
        <v>0</v>
      </c>
      <c r="T42" s="282">
        <f t="shared" ref="T42:T49" si="62">ROUND((R42-S42)/30.4*F42,2)</f>
        <v>904.36</v>
      </c>
      <c r="U42" s="327">
        <f t="shared" ref="U42" si="63">-IF(T42&gt;0,0,0)</f>
        <v>0</v>
      </c>
      <c r="V42" s="327">
        <f t="shared" ref="V42" si="64">IF(H42/15&lt;=SMG,0,IF(T42&lt;0,0,T42))</f>
        <v>904.36</v>
      </c>
      <c r="W42" s="327">
        <f t="shared" ref="W42:W49" si="65">SUM(V42:V42)</f>
        <v>904.36</v>
      </c>
      <c r="X42" s="327">
        <f t="shared" ref="X42:X49" si="66">J42+U42-W42</f>
        <v>7182.64</v>
      </c>
      <c r="Y42" s="328"/>
      <c r="Z42" s="319"/>
    </row>
    <row r="43" spans="1:26" s="360" customFormat="1" ht="171" customHeight="1" x14ac:dyDescent="0.2">
      <c r="A43" s="355"/>
      <c r="B43" s="268" t="s">
        <v>264</v>
      </c>
      <c r="C43" s="268" t="s">
        <v>107</v>
      </c>
      <c r="D43" s="311">
        <v>45520</v>
      </c>
      <c r="E43" s="257" t="s">
        <v>78</v>
      </c>
      <c r="F43" s="258">
        <v>15</v>
      </c>
      <c r="G43" s="258">
        <f t="shared" si="51"/>
        <v>539.13333333333333</v>
      </c>
      <c r="H43" s="260">
        <v>8087</v>
      </c>
      <c r="I43" s="261">
        <v>0</v>
      </c>
      <c r="J43" s="262">
        <f t="shared" ref="J43" si="67">SUM(H43:I43)</f>
        <v>8087</v>
      </c>
      <c r="K43" s="282">
        <f t="shared" si="53"/>
        <v>0</v>
      </c>
      <c r="L43" s="301">
        <f t="shared" si="54"/>
        <v>16389.653333333332</v>
      </c>
      <c r="M43" s="301">
        <f t="shared" si="55"/>
        <v>15487.72</v>
      </c>
      <c r="N43" s="282">
        <f t="shared" si="56"/>
        <v>901.93333333333248</v>
      </c>
      <c r="O43" s="283">
        <f t="shared" si="57"/>
        <v>0.21360000000000001</v>
      </c>
      <c r="P43" s="282">
        <f t="shared" si="58"/>
        <v>192.65295999999984</v>
      </c>
      <c r="Q43" s="284">
        <f t="shared" si="59"/>
        <v>1640.18</v>
      </c>
      <c r="R43" s="282">
        <f t="shared" si="60"/>
        <v>1832.83296</v>
      </c>
      <c r="S43" s="282">
        <f t="shared" si="61"/>
        <v>0</v>
      </c>
      <c r="T43" s="282">
        <f t="shared" si="62"/>
        <v>904.36</v>
      </c>
      <c r="U43" s="262">
        <f t="shared" ref="U43" si="68">-IF(T43&gt;0,0,0)</f>
        <v>0</v>
      </c>
      <c r="V43" s="262">
        <f t="shared" ref="V43" si="69">IF(H43/15&lt;=SMG,0,IF(T43&lt;0,0,T43))</f>
        <v>904.36</v>
      </c>
      <c r="W43" s="262">
        <f t="shared" si="65"/>
        <v>904.36</v>
      </c>
      <c r="X43" s="262">
        <f t="shared" si="66"/>
        <v>7182.64</v>
      </c>
      <c r="Y43" s="318"/>
      <c r="Z43" s="319"/>
    </row>
    <row r="44" spans="1:26" s="360" customFormat="1" ht="171" customHeight="1" x14ac:dyDescent="0.2">
      <c r="A44" s="355"/>
      <c r="B44" s="268" t="s">
        <v>325</v>
      </c>
      <c r="C44" s="268" t="s">
        <v>107</v>
      </c>
      <c r="D44" s="311">
        <v>45597</v>
      </c>
      <c r="E44" s="257" t="s">
        <v>78</v>
      </c>
      <c r="F44" s="258">
        <v>15</v>
      </c>
      <c r="G44" s="258">
        <f t="shared" si="51"/>
        <v>539.13333333333333</v>
      </c>
      <c r="H44" s="260">
        <v>8087</v>
      </c>
      <c r="I44" s="261">
        <v>0</v>
      </c>
      <c r="J44" s="262">
        <f t="shared" ref="J44:J45" si="70">SUM(H44:I44)</f>
        <v>8087</v>
      </c>
      <c r="K44" s="282">
        <f t="shared" si="53"/>
        <v>0</v>
      </c>
      <c r="L44" s="301">
        <f t="shared" si="54"/>
        <v>16389.653333333332</v>
      </c>
      <c r="M44" s="301">
        <f t="shared" si="55"/>
        <v>15487.72</v>
      </c>
      <c r="N44" s="282">
        <f t="shared" si="56"/>
        <v>901.93333333333248</v>
      </c>
      <c r="O44" s="283">
        <f t="shared" si="57"/>
        <v>0.21360000000000001</v>
      </c>
      <c r="P44" s="282">
        <f t="shared" si="58"/>
        <v>192.65295999999984</v>
      </c>
      <c r="Q44" s="284">
        <f t="shared" si="59"/>
        <v>1640.18</v>
      </c>
      <c r="R44" s="282">
        <f t="shared" si="60"/>
        <v>1832.83296</v>
      </c>
      <c r="S44" s="282">
        <f t="shared" si="61"/>
        <v>0</v>
      </c>
      <c r="T44" s="282">
        <f t="shared" si="62"/>
        <v>904.36</v>
      </c>
      <c r="U44" s="262">
        <f t="shared" ref="U44:U45" si="71">-IF(T44&gt;0,0,0)</f>
        <v>0</v>
      </c>
      <c r="V44" s="262">
        <f t="shared" ref="V44:V45" si="72">IF(H44/15&lt;=SMG,0,IF(T44&lt;0,0,T44))</f>
        <v>904.36</v>
      </c>
      <c r="W44" s="262">
        <f t="shared" si="65"/>
        <v>904.36</v>
      </c>
      <c r="X44" s="262">
        <f t="shared" si="66"/>
        <v>7182.64</v>
      </c>
      <c r="Y44" s="318"/>
      <c r="Z44" s="319"/>
    </row>
    <row r="45" spans="1:26" s="360" customFormat="1" ht="171" customHeight="1" x14ac:dyDescent="0.2">
      <c r="A45" s="355"/>
      <c r="B45" s="268" t="s">
        <v>326</v>
      </c>
      <c r="C45" s="268" t="s">
        <v>107</v>
      </c>
      <c r="D45" s="311">
        <v>45597</v>
      </c>
      <c r="E45" s="257" t="s">
        <v>78</v>
      </c>
      <c r="F45" s="258">
        <v>15</v>
      </c>
      <c r="G45" s="258">
        <f t="shared" si="51"/>
        <v>539.13333333333333</v>
      </c>
      <c r="H45" s="260">
        <v>8087</v>
      </c>
      <c r="I45" s="261">
        <v>0</v>
      </c>
      <c r="J45" s="262">
        <f t="shared" si="70"/>
        <v>8087</v>
      </c>
      <c r="K45" s="282">
        <f t="shared" si="53"/>
        <v>0</v>
      </c>
      <c r="L45" s="301">
        <f t="shared" si="54"/>
        <v>16389.653333333332</v>
      </c>
      <c r="M45" s="301">
        <f t="shared" si="55"/>
        <v>15487.72</v>
      </c>
      <c r="N45" s="282">
        <f t="shared" si="56"/>
        <v>901.93333333333248</v>
      </c>
      <c r="O45" s="283">
        <f t="shared" si="57"/>
        <v>0.21360000000000001</v>
      </c>
      <c r="P45" s="282">
        <f t="shared" si="58"/>
        <v>192.65295999999984</v>
      </c>
      <c r="Q45" s="284">
        <f t="shared" si="59"/>
        <v>1640.18</v>
      </c>
      <c r="R45" s="282">
        <f t="shared" si="60"/>
        <v>1832.83296</v>
      </c>
      <c r="S45" s="282">
        <f t="shared" si="61"/>
        <v>0</v>
      </c>
      <c r="T45" s="282">
        <f t="shared" si="62"/>
        <v>904.36</v>
      </c>
      <c r="U45" s="262">
        <f t="shared" si="71"/>
        <v>0</v>
      </c>
      <c r="V45" s="262">
        <f t="shared" si="72"/>
        <v>904.36</v>
      </c>
      <c r="W45" s="262">
        <f t="shared" si="65"/>
        <v>904.36</v>
      </c>
      <c r="X45" s="262">
        <f t="shared" si="66"/>
        <v>7182.64</v>
      </c>
      <c r="Y45" s="318"/>
      <c r="Z45" s="319"/>
    </row>
    <row r="46" spans="1:26" s="360" customFormat="1" ht="171" customHeight="1" x14ac:dyDescent="0.25">
      <c r="A46" s="355"/>
      <c r="B46" s="268" t="s">
        <v>359</v>
      </c>
      <c r="C46" s="268" t="s">
        <v>107</v>
      </c>
      <c r="D46" s="311">
        <v>45704</v>
      </c>
      <c r="E46" s="257" t="s">
        <v>78</v>
      </c>
      <c r="F46" s="258">
        <v>15</v>
      </c>
      <c r="G46" s="258">
        <f t="shared" si="51"/>
        <v>539.13333333333333</v>
      </c>
      <c r="H46" s="260">
        <v>8087</v>
      </c>
      <c r="I46" s="261">
        <v>0</v>
      </c>
      <c r="J46" s="262">
        <f t="shared" ref="J46:J48" si="73">SUM(H46:I46)</f>
        <v>8087</v>
      </c>
      <c r="K46" s="282">
        <f t="shared" si="53"/>
        <v>0</v>
      </c>
      <c r="L46" s="301">
        <f t="shared" si="54"/>
        <v>16389.653333333332</v>
      </c>
      <c r="M46" s="301">
        <f t="shared" si="55"/>
        <v>15487.72</v>
      </c>
      <c r="N46" s="282">
        <f t="shared" si="56"/>
        <v>901.93333333333248</v>
      </c>
      <c r="O46" s="283">
        <f t="shared" si="57"/>
        <v>0.21360000000000001</v>
      </c>
      <c r="P46" s="282">
        <f t="shared" si="58"/>
        <v>192.65295999999984</v>
      </c>
      <c r="Q46" s="284">
        <f t="shared" si="59"/>
        <v>1640.18</v>
      </c>
      <c r="R46" s="282">
        <f t="shared" si="60"/>
        <v>1832.83296</v>
      </c>
      <c r="S46" s="282">
        <f t="shared" si="61"/>
        <v>0</v>
      </c>
      <c r="T46" s="282">
        <f t="shared" si="62"/>
        <v>904.36</v>
      </c>
      <c r="U46" s="262">
        <f t="shared" ref="U46:U48" si="74">-IF(T46&gt;0,0,0)</f>
        <v>0</v>
      </c>
      <c r="V46" s="262">
        <f t="shared" ref="V46:V48" si="75">IF(H46/15&lt;=SMG,0,IF(T46&lt;0,0,T46))</f>
        <v>904.36</v>
      </c>
      <c r="W46" s="262">
        <f t="shared" si="65"/>
        <v>904.36</v>
      </c>
      <c r="X46" s="262">
        <f t="shared" si="66"/>
        <v>7182.64</v>
      </c>
      <c r="Y46" s="401"/>
      <c r="Z46" s="319"/>
    </row>
    <row r="47" spans="1:26" s="360" customFormat="1" ht="171" customHeight="1" x14ac:dyDescent="0.2">
      <c r="A47" s="355"/>
      <c r="B47" s="268" t="s">
        <v>360</v>
      </c>
      <c r="C47" s="268" t="s">
        <v>107</v>
      </c>
      <c r="D47" s="311">
        <v>45704</v>
      </c>
      <c r="E47" s="257" t="s">
        <v>78</v>
      </c>
      <c r="F47" s="258">
        <v>15</v>
      </c>
      <c r="G47" s="258">
        <f t="shared" si="51"/>
        <v>539.13333333333333</v>
      </c>
      <c r="H47" s="260">
        <v>8087</v>
      </c>
      <c r="I47" s="261">
        <v>0</v>
      </c>
      <c r="J47" s="262">
        <f t="shared" si="73"/>
        <v>8087</v>
      </c>
      <c r="K47" s="282">
        <f t="shared" si="53"/>
        <v>0</v>
      </c>
      <c r="L47" s="301">
        <f t="shared" si="54"/>
        <v>16389.653333333332</v>
      </c>
      <c r="M47" s="301">
        <f t="shared" si="55"/>
        <v>15487.72</v>
      </c>
      <c r="N47" s="282">
        <f t="shared" si="56"/>
        <v>901.93333333333248</v>
      </c>
      <c r="O47" s="283">
        <f t="shared" si="57"/>
        <v>0.21360000000000001</v>
      </c>
      <c r="P47" s="282">
        <f t="shared" si="58"/>
        <v>192.65295999999984</v>
      </c>
      <c r="Q47" s="284">
        <f t="shared" si="59"/>
        <v>1640.18</v>
      </c>
      <c r="R47" s="282">
        <f t="shared" si="60"/>
        <v>1832.83296</v>
      </c>
      <c r="S47" s="282">
        <f t="shared" si="61"/>
        <v>0</v>
      </c>
      <c r="T47" s="282">
        <f t="shared" si="62"/>
        <v>904.36</v>
      </c>
      <c r="U47" s="262">
        <f t="shared" si="74"/>
        <v>0</v>
      </c>
      <c r="V47" s="262">
        <f t="shared" si="75"/>
        <v>904.36</v>
      </c>
      <c r="W47" s="262">
        <f t="shared" si="65"/>
        <v>904.36</v>
      </c>
      <c r="X47" s="262">
        <f t="shared" si="66"/>
        <v>7182.64</v>
      </c>
      <c r="Y47" s="318"/>
      <c r="Z47" s="319"/>
    </row>
    <row r="48" spans="1:26" s="360" customFormat="1" ht="171" customHeight="1" x14ac:dyDescent="0.2">
      <c r="A48" s="355"/>
      <c r="B48" s="268" t="s">
        <v>361</v>
      </c>
      <c r="C48" s="268" t="s">
        <v>107</v>
      </c>
      <c r="D48" s="311">
        <v>45704</v>
      </c>
      <c r="E48" s="257" t="s">
        <v>78</v>
      </c>
      <c r="F48" s="258">
        <v>15</v>
      </c>
      <c r="G48" s="258">
        <f t="shared" ref="G48" si="76">H48/F48</f>
        <v>539.13333333333333</v>
      </c>
      <c r="H48" s="260">
        <v>8087</v>
      </c>
      <c r="I48" s="261">
        <v>0</v>
      </c>
      <c r="J48" s="262">
        <f t="shared" si="73"/>
        <v>8087</v>
      </c>
      <c r="K48" s="282">
        <f t="shared" ref="K48" si="77">IF(H48/15&lt;=SMG,0,I48/2)</f>
        <v>0</v>
      </c>
      <c r="L48" s="301">
        <f t="shared" ref="L48" si="78">(H48+K48)/F48*30.4</f>
        <v>16389.653333333332</v>
      </c>
      <c r="M48" s="301">
        <f t="shared" ref="M48" si="79">VLOOKUP(L48,Tarifa,1)</f>
        <v>15487.72</v>
      </c>
      <c r="N48" s="282">
        <f t="shared" ref="N48" si="80">L48-M48</f>
        <v>901.93333333333248</v>
      </c>
      <c r="O48" s="283">
        <f t="shared" ref="O48" si="81">VLOOKUP(L48,Tarifa,3)</f>
        <v>0.21360000000000001</v>
      </c>
      <c r="P48" s="282">
        <f t="shared" ref="P48" si="82">N48*O48</f>
        <v>192.65295999999984</v>
      </c>
      <c r="Q48" s="284">
        <f t="shared" ref="Q48" si="83">VLOOKUP(L48,Tarifa,2)</f>
        <v>1640.18</v>
      </c>
      <c r="R48" s="282">
        <f t="shared" ref="R48" si="84">P48+Q48</f>
        <v>1832.83296</v>
      </c>
      <c r="S48" s="282">
        <f t="shared" ref="S48" si="85">VLOOKUP(L48,Credito,2)</f>
        <v>0</v>
      </c>
      <c r="T48" s="282">
        <f t="shared" ref="T48" si="86">ROUND((R48-S48)/30.4*F48,2)</f>
        <v>904.36</v>
      </c>
      <c r="U48" s="262">
        <f t="shared" si="74"/>
        <v>0</v>
      </c>
      <c r="V48" s="262">
        <f t="shared" si="75"/>
        <v>904.36</v>
      </c>
      <c r="W48" s="262">
        <f t="shared" si="65"/>
        <v>904.36</v>
      </c>
      <c r="X48" s="262">
        <f t="shared" si="66"/>
        <v>7182.64</v>
      </c>
      <c r="Y48" s="318"/>
      <c r="Z48" s="319"/>
    </row>
    <row r="49" spans="1:26" s="360" customFormat="1" ht="171" customHeight="1" x14ac:dyDescent="0.2">
      <c r="A49" s="355"/>
      <c r="B49" s="268" t="s">
        <v>365</v>
      </c>
      <c r="C49" s="268" t="s">
        <v>107</v>
      </c>
      <c r="D49" s="311">
        <v>45717</v>
      </c>
      <c r="E49" s="257" t="s">
        <v>78</v>
      </c>
      <c r="F49" s="258">
        <v>15</v>
      </c>
      <c r="G49" s="258">
        <f t="shared" si="51"/>
        <v>539.13333333333333</v>
      </c>
      <c r="H49" s="260">
        <v>8087</v>
      </c>
      <c r="I49" s="261">
        <v>0</v>
      </c>
      <c r="J49" s="262">
        <f t="shared" si="48"/>
        <v>8087</v>
      </c>
      <c r="K49" s="282">
        <f t="shared" si="53"/>
        <v>0</v>
      </c>
      <c r="L49" s="301">
        <f t="shared" si="54"/>
        <v>16389.653333333332</v>
      </c>
      <c r="M49" s="301">
        <f t="shared" si="55"/>
        <v>15487.72</v>
      </c>
      <c r="N49" s="282">
        <f t="shared" si="56"/>
        <v>901.93333333333248</v>
      </c>
      <c r="O49" s="283">
        <f t="shared" si="57"/>
        <v>0.21360000000000001</v>
      </c>
      <c r="P49" s="282">
        <f t="shared" si="58"/>
        <v>192.65295999999984</v>
      </c>
      <c r="Q49" s="284">
        <f t="shared" si="59"/>
        <v>1640.18</v>
      </c>
      <c r="R49" s="282">
        <f t="shared" si="60"/>
        <v>1832.83296</v>
      </c>
      <c r="S49" s="282">
        <f t="shared" si="61"/>
        <v>0</v>
      </c>
      <c r="T49" s="282">
        <f t="shared" si="62"/>
        <v>904.36</v>
      </c>
      <c r="U49" s="262">
        <f t="shared" si="49"/>
        <v>0</v>
      </c>
      <c r="V49" s="262">
        <f t="shared" si="50"/>
        <v>904.36</v>
      </c>
      <c r="W49" s="262">
        <f t="shared" si="65"/>
        <v>904.36</v>
      </c>
      <c r="X49" s="262">
        <f t="shared" si="66"/>
        <v>7182.64</v>
      </c>
      <c r="Y49" s="318"/>
      <c r="Z49" s="319"/>
    </row>
    <row r="50" spans="1:26" ht="29.25" customHeight="1" thickBot="1" x14ac:dyDescent="0.35">
      <c r="A50" s="416" t="s">
        <v>44</v>
      </c>
      <c r="B50" s="417"/>
      <c r="C50" s="417"/>
      <c r="D50" s="417"/>
      <c r="E50" s="417"/>
      <c r="F50" s="417"/>
      <c r="G50" s="357"/>
      <c r="H50" s="199">
        <f>SUM(H9:H49)</f>
        <v>216015</v>
      </c>
      <c r="I50" s="199">
        <f>SUM(I9:I49)</f>
        <v>18564.509999999998</v>
      </c>
      <c r="J50" s="199">
        <f>SUM(J9:J49)</f>
        <v>234579.51</v>
      </c>
      <c r="K50" s="200">
        <f t="shared" ref="K50:T50" si="87">SUM(K9:K17)</f>
        <v>9282.2549999999992</v>
      </c>
      <c r="L50" s="200">
        <f t="shared" si="87"/>
        <v>177978.33013333331</v>
      </c>
      <c r="M50" s="200">
        <f t="shared" si="87"/>
        <v>139389.47999999998</v>
      </c>
      <c r="N50" s="200">
        <f t="shared" si="87"/>
        <v>38588.850133333326</v>
      </c>
      <c r="O50" s="200">
        <f t="shared" si="87"/>
        <v>1.9224000000000001</v>
      </c>
      <c r="P50" s="200">
        <f t="shared" si="87"/>
        <v>8242.5783884799985</v>
      </c>
      <c r="Q50" s="200">
        <f t="shared" si="87"/>
        <v>14761.62</v>
      </c>
      <c r="R50" s="200">
        <f t="shared" si="87"/>
        <v>23004.198388479999</v>
      </c>
      <c r="S50" s="200">
        <f t="shared" si="87"/>
        <v>0</v>
      </c>
      <c r="T50" s="200">
        <f t="shared" si="87"/>
        <v>11350.780000000002</v>
      </c>
      <c r="U50" s="199">
        <f>SUM(U9:U49)</f>
        <v>0</v>
      </c>
      <c r="V50" s="199">
        <f>SUM(V9:V49)</f>
        <v>26724.900000000012</v>
      </c>
      <c r="W50" s="199">
        <f>SUM(W9:W49)</f>
        <v>26724.900000000012</v>
      </c>
      <c r="X50" s="199">
        <f>SUM(X9:X49)</f>
        <v>207854.61000000013</v>
      </c>
      <c r="Y50" s="4"/>
      <c r="Z50" s="4"/>
    </row>
    <row r="51" spans="1:26" ht="13.5" thickTop="1" x14ac:dyDescent="0.2"/>
    <row r="66" spans="4:38" ht="6" customHeight="1" x14ac:dyDescent="0.2"/>
    <row r="68" spans="4:38" ht="18" x14ac:dyDescent="0.25">
      <c r="D68" s="105"/>
      <c r="E68" s="105"/>
      <c r="F68" s="105"/>
      <c r="G68" s="105"/>
      <c r="H68" s="105"/>
      <c r="I68" s="105"/>
      <c r="J68" s="105"/>
      <c r="K68" s="105"/>
      <c r="L68" s="105"/>
      <c r="M68" s="105"/>
      <c r="N68" s="105"/>
      <c r="O68" s="105"/>
      <c r="P68" s="105"/>
      <c r="Q68" s="105"/>
      <c r="R68" s="105"/>
      <c r="S68" s="105"/>
      <c r="T68" s="105"/>
      <c r="U68" s="105"/>
      <c r="V68" s="105"/>
      <c r="W68" s="105"/>
      <c r="X68" s="105"/>
      <c r="Y68" s="105"/>
    </row>
    <row r="69" spans="4:38" ht="18" x14ac:dyDescent="0.25">
      <c r="D69" s="203"/>
      <c r="E69" s="203"/>
      <c r="F69" s="203"/>
      <c r="G69" s="203"/>
      <c r="H69" s="203"/>
      <c r="I69" s="203"/>
      <c r="J69" s="203"/>
      <c r="K69" s="105"/>
      <c r="L69" s="105"/>
      <c r="M69" s="105"/>
      <c r="N69" s="105"/>
      <c r="O69" s="105"/>
      <c r="P69" s="105"/>
      <c r="Q69" s="105"/>
      <c r="R69" s="105"/>
      <c r="S69" s="105"/>
      <c r="T69" s="105"/>
      <c r="U69" s="105"/>
      <c r="V69" s="105"/>
      <c r="W69" s="105"/>
      <c r="X69" s="203"/>
      <c r="Y69" s="203"/>
      <c r="Z69" s="83"/>
      <c r="AA69" s="83"/>
      <c r="AB69" s="83"/>
      <c r="AC69" s="83"/>
      <c r="AD69" s="83"/>
      <c r="AE69" s="83"/>
      <c r="AF69" s="83"/>
      <c r="AG69" s="83"/>
      <c r="AH69" s="83"/>
      <c r="AK69" s="83"/>
      <c r="AL69" s="83"/>
    </row>
  </sheetData>
  <mergeCells count="15">
    <mergeCell ref="A50:F50"/>
    <mergeCell ref="A1:Y1"/>
    <mergeCell ref="A2:Y2"/>
    <mergeCell ref="H5:J5"/>
    <mergeCell ref="M5:R5"/>
    <mergeCell ref="V5:W5"/>
    <mergeCell ref="B3:Y3"/>
    <mergeCell ref="B21:Y21"/>
    <mergeCell ref="B22:Y22"/>
    <mergeCell ref="B24:Y24"/>
    <mergeCell ref="B23:Y23"/>
    <mergeCell ref="B40:Y40"/>
    <mergeCell ref="B38:Y38"/>
    <mergeCell ref="B39:Y39"/>
    <mergeCell ref="B8:C8"/>
  </mergeCells>
  <pageMargins left="0.35433070866141736" right="0.15748031496062992" top="0.19685039370078741" bottom="7.874015748031496E-2" header="0.31496062992125984" footer="0.31496062992125984"/>
  <pageSetup scale="34" orientation="landscape" horizontalDpi="4294967293" verticalDpi="36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Z21"/>
  <sheetViews>
    <sheetView tabSelected="1" topLeftCell="B1" zoomScale="73" zoomScaleNormal="73" workbookViewId="0">
      <selection activeCell="K9" sqref="K9"/>
    </sheetView>
  </sheetViews>
  <sheetFormatPr baseColWidth="10" defaultColWidth="11.42578125" defaultRowHeight="12.75" x14ac:dyDescent="0.2"/>
  <cols>
    <col min="1" max="1" width="5.5703125" style="65" hidden="1" customWidth="1"/>
    <col min="2" max="2" width="9.42578125" style="65" customWidth="1"/>
    <col min="3" max="3" width="7.7109375" style="65" customWidth="1"/>
    <col min="4" max="4" width="27.5703125" style="65" customWidth="1"/>
    <col min="5" max="5" width="17.5703125" style="65" customWidth="1"/>
    <col min="6" max="6" width="19.5703125" style="65" customWidth="1"/>
    <col min="7" max="7" width="6.5703125" style="65" hidden="1" customWidth="1"/>
    <col min="8" max="8" width="10" style="65" hidden="1" customWidth="1"/>
    <col min="9" max="9" width="16.28515625" style="65" customWidth="1"/>
    <col min="10" max="10" width="16" style="65" customWidth="1"/>
    <col min="11" max="11" width="16.85546875" style="65" customWidth="1"/>
    <col min="12" max="12" width="13.140625" style="65" hidden="1" customWidth="1"/>
    <col min="13" max="15" width="14.28515625" style="65" hidden="1" customWidth="1"/>
    <col min="16" max="17" width="13.140625" style="65" hidden="1" customWidth="1"/>
    <col min="18" max="18" width="10.5703125" style="65" hidden="1" customWidth="1"/>
    <col min="19" max="20" width="13.140625" style="65" hidden="1" customWidth="1"/>
    <col min="21" max="21" width="11.5703125" style="65" hidden="1" customWidth="1"/>
    <col min="22" max="22" width="9.7109375" style="65" customWidth="1"/>
    <col min="23" max="23" width="14.42578125" style="65" customWidth="1"/>
    <col min="24" max="24" width="15" style="65" customWidth="1"/>
    <col min="25" max="25" width="15.85546875" style="65" customWidth="1"/>
    <col min="26" max="26" width="61.42578125" style="65" customWidth="1"/>
    <col min="27" max="16384" width="11.42578125" style="65"/>
  </cols>
  <sheetData>
    <row r="1" spans="1:26" ht="18" x14ac:dyDescent="0.25">
      <c r="A1" s="429" t="s">
        <v>75</v>
      </c>
      <c r="B1" s="429"/>
      <c r="C1" s="429"/>
      <c r="D1" s="429"/>
      <c r="E1" s="429"/>
      <c r="F1" s="429"/>
      <c r="G1" s="429"/>
      <c r="H1" s="429"/>
      <c r="I1" s="429"/>
      <c r="J1" s="429"/>
      <c r="K1" s="429"/>
      <c r="L1" s="429"/>
      <c r="M1" s="429"/>
      <c r="N1" s="429"/>
      <c r="O1" s="429"/>
      <c r="P1" s="429"/>
      <c r="Q1" s="429"/>
      <c r="R1" s="429"/>
      <c r="S1" s="429"/>
      <c r="T1" s="429"/>
      <c r="U1" s="429"/>
      <c r="V1" s="429"/>
      <c r="W1" s="429"/>
      <c r="X1" s="429"/>
      <c r="Y1" s="429"/>
      <c r="Z1" s="429"/>
    </row>
    <row r="2" spans="1:26" ht="18" x14ac:dyDescent="0.25">
      <c r="A2" s="429" t="s">
        <v>63</v>
      </c>
      <c r="B2" s="429"/>
      <c r="C2" s="429"/>
      <c r="D2" s="429"/>
      <c r="E2" s="429"/>
      <c r="F2" s="429"/>
      <c r="G2" s="429"/>
      <c r="H2" s="429"/>
      <c r="I2" s="429"/>
      <c r="J2" s="429"/>
      <c r="K2" s="429"/>
      <c r="L2" s="429"/>
      <c r="M2" s="429"/>
      <c r="N2" s="429"/>
      <c r="O2" s="429"/>
      <c r="P2" s="429"/>
      <c r="Q2" s="429"/>
      <c r="R2" s="429"/>
      <c r="S2" s="429"/>
      <c r="T2" s="429"/>
      <c r="U2" s="429"/>
      <c r="V2" s="429"/>
      <c r="W2" s="429"/>
      <c r="X2" s="429"/>
      <c r="Y2" s="429"/>
      <c r="Z2" s="429"/>
    </row>
    <row r="3" spans="1:26" ht="19.5" x14ac:dyDescent="0.25">
      <c r="A3" s="420" t="str">
        <f>CHOFERES!A3</f>
        <v>SUELDO  DEL 01 AL 15 DE ABRIL DE 2025</v>
      </c>
      <c r="B3" s="420"/>
      <c r="C3" s="420"/>
      <c r="D3" s="420"/>
      <c r="E3" s="420"/>
      <c r="F3" s="420"/>
      <c r="G3" s="420"/>
      <c r="H3" s="420"/>
      <c r="I3" s="420"/>
      <c r="J3" s="420"/>
      <c r="K3" s="420"/>
      <c r="L3" s="420"/>
      <c r="M3" s="420"/>
      <c r="N3" s="420"/>
      <c r="O3" s="420"/>
      <c r="P3" s="420"/>
      <c r="Q3" s="420"/>
      <c r="R3" s="420"/>
      <c r="S3" s="420"/>
      <c r="T3" s="420"/>
      <c r="U3" s="420"/>
      <c r="V3" s="420"/>
      <c r="W3" s="420"/>
      <c r="X3" s="420"/>
      <c r="Y3" s="420"/>
      <c r="Z3" s="420"/>
    </row>
    <row r="4" spans="1:26" ht="15" x14ac:dyDescent="0.2">
      <c r="A4" s="86"/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6"/>
      <c r="X4" s="86"/>
      <c r="Y4" s="86"/>
      <c r="Z4" s="86"/>
    </row>
    <row r="5" spans="1:26" x14ac:dyDescent="0.2">
      <c r="A5" s="66"/>
      <c r="B5" s="66"/>
      <c r="C5" s="66"/>
      <c r="D5" s="66"/>
      <c r="E5" s="66"/>
      <c r="F5" s="66"/>
      <c r="G5" s="67" t="s">
        <v>22</v>
      </c>
      <c r="H5" s="67" t="s">
        <v>5</v>
      </c>
      <c r="I5" s="471" t="s">
        <v>1</v>
      </c>
      <c r="J5" s="472"/>
      <c r="K5" s="473"/>
      <c r="L5" s="68" t="s">
        <v>25</v>
      </c>
      <c r="M5" s="69"/>
      <c r="N5" s="474" t="s">
        <v>8</v>
      </c>
      <c r="O5" s="475"/>
      <c r="P5" s="475"/>
      <c r="Q5" s="475"/>
      <c r="R5" s="475"/>
      <c r="S5" s="476"/>
      <c r="T5" s="68" t="s">
        <v>29</v>
      </c>
      <c r="U5" s="68" t="s">
        <v>9</v>
      </c>
      <c r="V5" s="67" t="s">
        <v>52</v>
      </c>
      <c r="W5" s="477" t="s">
        <v>2</v>
      </c>
      <c r="X5" s="478"/>
      <c r="Y5" s="67" t="s">
        <v>0</v>
      </c>
      <c r="Z5" s="70"/>
    </row>
    <row r="6" spans="1:26" ht="22.5" x14ac:dyDescent="0.2">
      <c r="A6" s="71" t="s">
        <v>20</v>
      </c>
      <c r="B6" s="72" t="s">
        <v>95</v>
      </c>
      <c r="C6" s="72" t="s">
        <v>108</v>
      </c>
      <c r="D6" s="71" t="s">
        <v>21</v>
      </c>
      <c r="E6" s="71"/>
      <c r="F6" s="71"/>
      <c r="G6" s="73" t="s">
        <v>23</v>
      </c>
      <c r="H6" s="71" t="s">
        <v>24</v>
      </c>
      <c r="I6" s="67" t="s">
        <v>5</v>
      </c>
      <c r="J6" s="67" t="s">
        <v>57</v>
      </c>
      <c r="K6" s="67" t="s">
        <v>27</v>
      </c>
      <c r="L6" s="74" t="s">
        <v>26</v>
      </c>
      <c r="M6" s="69" t="s">
        <v>31</v>
      </c>
      <c r="N6" s="69" t="s">
        <v>11</v>
      </c>
      <c r="O6" s="69" t="s">
        <v>33</v>
      </c>
      <c r="P6" s="69" t="s">
        <v>35</v>
      </c>
      <c r="Q6" s="69" t="s">
        <v>36</v>
      </c>
      <c r="R6" s="69" t="s">
        <v>13</v>
      </c>
      <c r="S6" s="69" t="s">
        <v>9</v>
      </c>
      <c r="T6" s="74" t="s">
        <v>39</v>
      </c>
      <c r="U6" s="74" t="s">
        <v>40</v>
      </c>
      <c r="V6" s="71" t="s">
        <v>30</v>
      </c>
      <c r="W6" s="23" t="s">
        <v>192</v>
      </c>
      <c r="X6" s="67" t="s">
        <v>6</v>
      </c>
      <c r="Y6" s="71" t="s">
        <v>3</v>
      </c>
      <c r="Z6" s="75" t="s">
        <v>56</v>
      </c>
    </row>
    <row r="7" spans="1:26" x14ac:dyDescent="0.2">
      <c r="A7" s="76"/>
      <c r="B7" s="71"/>
      <c r="C7" s="71"/>
      <c r="D7" s="71"/>
      <c r="E7" s="71"/>
      <c r="F7" s="71"/>
      <c r="G7" s="71"/>
      <c r="H7" s="71"/>
      <c r="I7" s="71" t="s">
        <v>46</v>
      </c>
      <c r="J7" s="71" t="s">
        <v>58</v>
      </c>
      <c r="K7" s="71" t="s">
        <v>28</v>
      </c>
      <c r="L7" s="74" t="s">
        <v>42</v>
      </c>
      <c r="M7" s="68" t="s">
        <v>32</v>
      </c>
      <c r="N7" s="68" t="s">
        <v>12</v>
      </c>
      <c r="O7" s="68" t="s">
        <v>34</v>
      </c>
      <c r="P7" s="68" t="s">
        <v>34</v>
      </c>
      <c r="Q7" s="68" t="s">
        <v>37</v>
      </c>
      <c r="R7" s="68" t="s">
        <v>14</v>
      </c>
      <c r="S7" s="68" t="s">
        <v>38</v>
      </c>
      <c r="T7" s="74" t="s">
        <v>18</v>
      </c>
      <c r="U7" s="77" t="s">
        <v>117</v>
      </c>
      <c r="V7" s="71" t="s">
        <v>51</v>
      </c>
      <c r="W7" s="71"/>
      <c r="X7" s="71" t="s">
        <v>43</v>
      </c>
      <c r="Y7" s="71" t="s">
        <v>4</v>
      </c>
      <c r="Z7" s="78"/>
    </row>
    <row r="8" spans="1:26" ht="37.5" customHeight="1" x14ac:dyDescent="0.25">
      <c r="A8" s="79"/>
      <c r="B8" s="80"/>
      <c r="C8" s="80"/>
      <c r="D8" s="126" t="s">
        <v>123</v>
      </c>
      <c r="E8" s="95" t="s">
        <v>197</v>
      </c>
      <c r="F8" s="81" t="s">
        <v>60</v>
      </c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2"/>
    </row>
    <row r="9" spans="1:26" s="360" customFormat="1" ht="117" customHeight="1" x14ac:dyDescent="0.2">
      <c r="A9" s="362"/>
      <c r="B9" s="363">
        <v>391</v>
      </c>
      <c r="C9" s="253" t="s">
        <v>107</v>
      </c>
      <c r="D9" s="333" t="s">
        <v>316</v>
      </c>
      <c r="E9" s="364">
        <v>45586</v>
      </c>
      <c r="F9" s="365" t="s">
        <v>315</v>
      </c>
      <c r="G9" s="334">
        <v>15</v>
      </c>
      <c r="H9" s="334">
        <f t="shared" ref="H9:H17" si="0">I9/G9</f>
        <v>675.23333333333335</v>
      </c>
      <c r="I9" s="260">
        <v>10128.5</v>
      </c>
      <c r="J9" s="261">
        <v>0</v>
      </c>
      <c r="K9" s="262">
        <f t="shared" ref="K9:K10" si="1">SUM(I9:J9)</f>
        <v>10128.5</v>
      </c>
      <c r="L9" s="384">
        <f t="shared" ref="L9:L17" si="2">IF(I9/15&lt;=SMG,0,J9/2)</f>
        <v>0</v>
      </c>
      <c r="M9" s="384">
        <f t="shared" ref="M9:M17" si="3">(I9+L9)/G9*30.4</f>
        <v>20527.093333333334</v>
      </c>
      <c r="N9" s="384">
        <f t="shared" ref="N9:N17" si="4">VLOOKUP(M9,Tarifa,1)</f>
        <v>15487.72</v>
      </c>
      <c r="O9" s="384">
        <f t="shared" ref="O9:O17" si="5">M9-N9</f>
        <v>5039.3733333333348</v>
      </c>
      <c r="P9" s="385">
        <f t="shared" ref="P9:P17" si="6">VLOOKUP(M9,Tarifa,3)</f>
        <v>0.21360000000000001</v>
      </c>
      <c r="Q9" s="384">
        <f t="shared" ref="Q9:Q17" si="7">O9*P9</f>
        <v>1076.4101440000004</v>
      </c>
      <c r="R9" s="386">
        <f t="shared" ref="R9:R17" si="8">VLOOKUP(M9,Tarifa,2)</f>
        <v>1640.18</v>
      </c>
      <c r="S9" s="384">
        <f t="shared" ref="S9:S17" si="9">Q9+R9</f>
        <v>2716.5901440000007</v>
      </c>
      <c r="T9" s="384">
        <f t="shared" ref="T9:T17" si="10">VLOOKUP(M9,Credito,2)</f>
        <v>0</v>
      </c>
      <c r="U9" s="384">
        <f t="shared" ref="U9:U17" si="11">ROUND((S9-T9)/30.4*G9,2)</f>
        <v>1340.42</v>
      </c>
      <c r="V9" s="262">
        <f>-IF(U9&gt;0,0,0)</f>
        <v>0</v>
      </c>
      <c r="W9" s="262">
        <f t="shared" ref="W9:W10" si="12">IF(I9/15&lt;=SMG,0,IF(U9&lt;0,0,U9))</f>
        <v>1340.42</v>
      </c>
      <c r="X9" s="262">
        <f t="shared" ref="X9:X17" si="13">SUM(W9:W9)</f>
        <v>1340.42</v>
      </c>
      <c r="Y9" s="262">
        <f t="shared" ref="Y9:Y17" si="14">K9+V9-X9</f>
        <v>8788.08</v>
      </c>
      <c r="Z9" s="334"/>
    </row>
    <row r="10" spans="1:26" s="360" customFormat="1" ht="117" customHeight="1" x14ac:dyDescent="0.2">
      <c r="A10" s="362"/>
      <c r="B10" s="363">
        <v>392</v>
      </c>
      <c r="C10" s="253" t="s">
        <v>107</v>
      </c>
      <c r="D10" s="333" t="s">
        <v>314</v>
      </c>
      <c r="E10" s="364">
        <v>45586</v>
      </c>
      <c r="F10" s="365" t="s">
        <v>315</v>
      </c>
      <c r="G10" s="334">
        <v>15</v>
      </c>
      <c r="H10" s="334">
        <f t="shared" si="0"/>
        <v>675.23333333333335</v>
      </c>
      <c r="I10" s="260">
        <v>10128.5</v>
      </c>
      <c r="J10" s="261">
        <v>0</v>
      </c>
      <c r="K10" s="262">
        <f t="shared" si="1"/>
        <v>10128.5</v>
      </c>
      <c r="L10" s="384">
        <f t="shared" si="2"/>
        <v>0</v>
      </c>
      <c r="M10" s="384">
        <f t="shared" si="3"/>
        <v>20527.093333333334</v>
      </c>
      <c r="N10" s="384">
        <f t="shared" si="4"/>
        <v>15487.72</v>
      </c>
      <c r="O10" s="384">
        <f t="shared" si="5"/>
        <v>5039.3733333333348</v>
      </c>
      <c r="P10" s="385">
        <f t="shared" si="6"/>
        <v>0.21360000000000001</v>
      </c>
      <c r="Q10" s="384">
        <f t="shared" si="7"/>
        <v>1076.4101440000004</v>
      </c>
      <c r="R10" s="386">
        <f t="shared" si="8"/>
        <v>1640.18</v>
      </c>
      <c r="S10" s="384">
        <f t="shared" si="9"/>
        <v>2716.5901440000007</v>
      </c>
      <c r="T10" s="384">
        <f t="shared" si="10"/>
        <v>0</v>
      </c>
      <c r="U10" s="384">
        <f t="shared" si="11"/>
        <v>1340.42</v>
      </c>
      <c r="V10" s="262">
        <f>-IF(U10&gt;0,0,0)</f>
        <v>0</v>
      </c>
      <c r="W10" s="262">
        <f t="shared" si="12"/>
        <v>1340.42</v>
      </c>
      <c r="X10" s="262">
        <f t="shared" si="13"/>
        <v>1340.42</v>
      </c>
      <c r="Y10" s="262">
        <f t="shared" si="14"/>
        <v>8788.08</v>
      </c>
      <c r="Z10" s="334"/>
    </row>
    <row r="11" spans="1:26" s="265" customFormat="1" ht="117" customHeight="1" x14ac:dyDescent="0.2">
      <c r="A11" s="251"/>
      <c r="B11" s="253" t="s">
        <v>346</v>
      </c>
      <c r="C11" s="253" t="s">
        <v>107</v>
      </c>
      <c r="D11" s="358" t="s">
        <v>344</v>
      </c>
      <c r="E11" s="366">
        <v>45658</v>
      </c>
      <c r="F11" s="365" t="s">
        <v>315</v>
      </c>
      <c r="G11" s="334">
        <v>15</v>
      </c>
      <c r="H11" s="334">
        <f t="shared" si="0"/>
        <v>675.23333333333335</v>
      </c>
      <c r="I11" s="260">
        <v>10128.5</v>
      </c>
      <c r="J11" s="261">
        <v>1350.46</v>
      </c>
      <c r="K11" s="262">
        <f t="shared" ref="K11" si="15">SUM(I11:J11)</f>
        <v>11478.96</v>
      </c>
      <c r="L11" s="384">
        <f t="shared" si="2"/>
        <v>675.23</v>
      </c>
      <c r="M11" s="384">
        <f t="shared" si="3"/>
        <v>21895.559466666666</v>
      </c>
      <c r="N11" s="384">
        <f t="shared" si="4"/>
        <v>15487.72</v>
      </c>
      <c r="O11" s="384">
        <f t="shared" si="5"/>
        <v>6407.8394666666663</v>
      </c>
      <c r="P11" s="385">
        <f t="shared" si="6"/>
        <v>0.21360000000000001</v>
      </c>
      <c r="Q11" s="384">
        <f t="shared" si="7"/>
        <v>1368.7145100800001</v>
      </c>
      <c r="R11" s="386">
        <f t="shared" si="8"/>
        <v>1640.18</v>
      </c>
      <c r="S11" s="384">
        <f t="shared" si="9"/>
        <v>3008.8945100800001</v>
      </c>
      <c r="T11" s="384">
        <f t="shared" si="10"/>
        <v>0</v>
      </c>
      <c r="U11" s="384">
        <f t="shared" si="11"/>
        <v>1484.65</v>
      </c>
      <c r="V11" s="262">
        <f>-IF(U11&gt;0,0,0)</f>
        <v>0</v>
      </c>
      <c r="W11" s="262">
        <f t="shared" ref="W11" si="16">IF(I11/15&lt;=SMG,0,IF(U11&lt;0,0,U11))</f>
        <v>1484.65</v>
      </c>
      <c r="X11" s="262">
        <f t="shared" si="13"/>
        <v>1484.65</v>
      </c>
      <c r="Y11" s="262">
        <f t="shared" si="14"/>
        <v>9994.31</v>
      </c>
      <c r="Z11" s="263"/>
    </row>
    <row r="12" spans="1:26" s="265" customFormat="1" ht="117" customHeight="1" x14ac:dyDescent="0.2">
      <c r="A12" s="251"/>
      <c r="B12" s="253" t="s">
        <v>158</v>
      </c>
      <c r="C12" s="253" t="s">
        <v>107</v>
      </c>
      <c r="D12" s="358" t="s">
        <v>157</v>
      </c>
      <c r="E12" s="366">
        <v>43998</v>
      </c>
      <c r="F12" s="255" t="s">
        <v>121</v>
      </c>
      <c r="G12" s="334">
        <v>15</v>
      </c>
      <c r="H12" s="334">
        <f t="shared" si="0"/>
        <v>407.9</v>
      </c>
      <c r="I12" s="260">
        <v>6118.5</v>
      </c>
      <c r="J12" s="261">
        <v>0</v>
      </c>
      <c r="K12" s="262">
        <f t="shared" ref="K12:K13" si="17">SUM(I12:J12)</f>
        <v>6118.5</v>
      </c>
      <c r="L12" s="384">
        <f t="shared" si="2"/>
        <v>0</v>
      </c>
      <c r="M12" s="384">
        <f t="shared" si="3"/>
        <v>12400.159999999998</v>
      </c>
      <c r="N12" s="384">
        <f t="shared" si="4"/>
        <v>11128.02</v>
      </c>
      <c r="O12" s="384">
        <f t="shared" si="5"/>
        <v>1272.1399999999976</v>
      </c>
      <c r="P12" s="385">
        <f t="shared" si="6"/>
        <v>0.16</v>
      </c>
      <c r="Q12" s="384">
        <f t="shared" si="7"/>
        <v>203.54239999999962</v>
      </c>
      <c r="R12" s="386">
        <f t="shared" si="8"/>
        <v>893.63</v>
      </c>
      <c r="S12" s="384">
        <f t="shared" si="9"/>
        <v>1097.1723999999997</v>
      </c>
      <c r="T12" s="384">
        <f t="shared" si="10"/>
        <v>0</v>
      </c>
      <c r="U12" s="384">
        <f t="shared" si="11"/>
        <v>541.37</v>
      </c>
      <c r="V12" s="262">
        <f t="shared" ref="V12:V13" si="18">-IF(U12&gt;0,0,0)</f>
        <v>0</v>
      </c>
      <c r="W12" s="262">
        <f t="shared" ref="W12:W13" si="19">IF(I12/15&lt;=SMG,0,IF(U12&lt;0,0,U12))</f>
        <v>541.37</v>
      </c>
      <c r="X12" s="262">
        <f t="shared" si="13"/>
        <v>541.37</v>
      </c>
      <c r="Y12" s="262">
        <f t="shared" si="14"/>
        <v>5577.13</v>
      </c>
      <c r="Z12" s="273"/>
    </row>
    <row r="13" spans="1:26" s="89" customFormat="1" ht="117" customHeight="1" x14ac:dyDescent="0.25">
      <c r="A13" s="138"/>
      <c r="B13" s="253" t="s">
        <v>195</v>
      </c>
      <c r="C13" s="253" t="s">
        <v>107</v>
      </c>
      <c r="D13" s="358" t="s">
        <v>196</v>
      </c>
      <c r="E13" s="366">
        <v>44942</v>
      </c>
      <c r="F13" s="255" t="s">
        <v>121</v>
      </c>
      <c r="G13" s="334">
        <v>15</v>
      </c>
      <c r="H13" s="334">
        <f t="shared" si="0"/>
        <v>407.9</v>
      </c>
      <c r="I13" s="260">
        <v>6118.5</v>
      </c>
      <c r="J13" s="261">
        <v>0</v>
      </c>
      <c r="K13" s="262">
        <f t="shared" si="17"/>
        <v>6118.5</v>
      </c>
      <c r="L13" s="384">
        <f t="shared" si="2"/>
        <v>0</v>
      </c>
      <c r="M13" s="384">
        <f t="shared" si="3"/>
        <v>12400.159999999998</v>
      </c>
      <c r="N13" s="384">
        <f t="shared" si="4"/>
        <v>11128.02</v>
      </c>
      <c r="O13" s="384">
        <f t="shared" si="5"/>
        <v>1272.1399999999976</v>
      </c>
      <c r="P13" s="385">
        <f t="shared" si="6"/>
        <v>0.16</v>
      </c>
      <c r="Q13" s="384">
        <f t="shared" si="7"/>
        <v>203.54239999999962</v>
      </c>
      <c r="R13" s="386">
        <f t="shared" si="8"/>
        <v>893.63</v>
      </c>
      <c r="S13" s="384">
        <f t="shared" si="9"/>
        <v>1097.1723999999997</v>
      </c>
      <c r="T13" s="384">
        <f t="shared" si="10"/>
        <v>0</v>
      </c>
      <c r="U13" s="384">
        <f t="shared" si="11"/>
        <v>541.37</v>
      </c>
      <c r="V13" s="262">
        <f t="shared" si="18"/>
        <v>0</v>
      </c>
      <c r="W13" s="262">
        <f t="shared" si="19"/>
        <v>541.37</v>
      </c>
      <c r="X13" s="262">
        <f t="shared" si="13"/>
        <v>541.37</v>
      </c>
      <c r="Y13" s="262">
        <f t="shared" si="14"/>
        <v>5577.13</v>
      </c>
      <c r="Z13" s="387"/>
    </row>
    <row r="14" spans="1:26" s="265" customFormat="1" ht="117" customHeight="1" x14ac:dyDescent="0.2">
      <c r="A14" s="251"/>
      <c r="B14" s="253" t="s">
        <v>260</v>
      </c>
      <c r="C14" s="253" t="s">
        <v>261</v>
      </c>
      <c r="D14" s="358" t="s">
        <v>262</v>
      </c>
      <c r="E14" s="366">
        <v>45481</v>
      </c>
      <c r="F14" s="255" t="s">
        <v>121</v>
      </c>
      <c r="G14" s="334">
        <v>15</v>
      </c>
      <c r="H14" s="334">
        <f t="shared" si="0"/>
        <v>407.9</v>
      </c>
      <c r="I14" s="260">
        <v>6118.5</v>
      </c>
      <c r="J14" s="261">
        <v>0</v>
      </c>
      <c r="K14" s="262">
        <f t="shared" ref="K14:K15" si="20">SUM(I14:J14)</f>
        <v>6118.5</v>
      </c>
      <c r="L14" s="384">
        <f t="shared" si="2"/>
        <v>0</v>
      </c>
      <c r="M14" s="384">
        <f t="shared" si="3"/>
        <v>12400.159999999998</v>
      </c>
      <c r="N14" s="384">
        <f t="shared" si="4"/>
        <v>11128.02</v>
      </c>
      <c r="O14" s="384">
        <f t="shared" si="5"/>
        <v>1272.1399999999976</v>
      </c>
      <c r="P14" s="385">
        <f t="shared" si="6"/>
        <v>0.16</v>
      </c>
      <c r="Q14" s="384">
        <f t="shared" si="7"/>
        <v>203.54239999999962</v>
      </c>
      <c r="R14" s="386">
        <f t="shared" si="8"/>
        <v>893.63</v>
      </c>
      <c r="S14" s="384">
        <f t="shared" si="9"/>
        <v>1097.1723999999997</v>
      </c>
      <c r="T14" s="384">
        <f t="shared" si="10"/>
        <v>0</v>
      </c>
      <c r="U14" s="384">
        <f t="shared" si="11"/>
        <v>541.37</v>
      </c>
      <c r="V14" s="262">
        <f t="shared" ref="V14:V15" si="21">-IF(U14&gt;0,0,0)</f>
        <v>0</v>
      </c>
      <c r="W14" s="262">
        <f t="shared" ref="W14:W15" si="22">IF(I14/15&lt;=SMG,0,IF(U14&lt;0,0,U14))</f>
        <v>541.37</v>
      </c>
      <c r="X14" s="262">
        <f t="shared" si="13"/>
        <v>541.37</v>
      </c>
      <c r="Y14" s="262">
        <f t="shared" si="14"/>
        <v>5577.13</v>
      </c>
      <c r="Z14" s="273"/>
    </row>
    <row r="15" spans="1:26" s="265" customFormat="1" ht="117" customHeight="1" x14ac:dyDescent="0.2">
      <c r="A15" s="251"/>
      <c r="B15" s="253" t="s">
        <v>124</v>
      </c>
      <c r="C15" s="253" t="s">
        <v>107</v>
      </c>
      <c r="D15" s="358" t="s">
        <v>120</v>
      </c>
      <c r="E15" s="366">
        <v>43101</v>
      </c>
      <c r="F15" s="271" t="s">
        <v>122</v>
      </c>
      <c r="G15" s="334">
        <v>15</v>
      </c>
      <c r="H15" s="334">
        <f t="shared" si="0"/>
        <v>366.73333333333335</v>
      </c>
      <c r="I15" s="260">
        <v>5501</v>
      </c>
      <c r="J15" s="261">
        <v>366.73</v>
      </c>
      <c r="K15" s="262">
        <f t="shared" si="20"/>
        <v>5867.73</v>
      </c>
      <c r="L15" s="384">
        <f t="shared" si="2"/>
        <v>183.36500000000001</v>
      </c>
      <c r="M15" s="384">
        <f t="shared" si="3"/>
        <v>11520.313066666666</v>
      </c>
      <c r="N15" s="384">
        <f t="shared" si="4"/>
        <v>11128.02</v>
      </c>
      <c r="O15" s="384">
        <f t="shared" si="5"/>
        <v>392.29306666666525</v>
      </c>
      <c r="P15" s="385">
        <f t="shared" si="6"/>
        <v>0.16</v>
      </c>
      <c r="Q15" s="384">
        <f t="shared" si="7"/>
        <v>62.766890666666441</v>
      </c>
      <c r="R15" s="386">
        <f t="shared" si="8"/>
        <v>893.63</v>
      </c>
      <c r="S15" s="384">
        <f t="shared" si="9"/>
        <v>956.39689066666642</v>
      </c>
      <c r="T15" s="384">
        <f t="shared" si="10"/>
        <v>0</v>
      </c>
      <c r="U15" s="384">
        <f t="shared" si="11"/>
        <v>471.91</v>
      </c>
      <c r="V15" s="262">
        <f t="shared" si="21"/>
        <v>0</v>
      </c>
      <c r="W15" s="262">
        <f t="shared" si="22"/>
        <v>471.91</v>
      </c>
      <c r="X15" s="262">
        <f t="shared" si="13"/>
        <v>471.91</v>
      </c>
      <c r="Y15" s="262">
        <f t="shared" si="14"/>
        <v>5395.82</v>
      </c>
      <c r="Z15" s="273"/>
    </row>
    <row r="16" spans="1:26" s="265" customFormat="1" ht="117" customHeight="1" x14ac:dyDescent="0.2">
      <c r="A16" s="251"/>
      <c r="B16" s="367">
        <v>328</v>
      </c>
      <c r="C16" s="253" t="s">
        <v>107</v>
      </c>
      <c r="D16" s="248" t="s">
        <v>263</v>
      </c>
      <c r="E16" s="366">
        <v>45505</v>
      </c>
      <c r="F16" s="271" t="s">
        <v>122</v>
      </c>
      <c r="G16" s="334">
        <v>15</v>
      </c>
      <c r="H16" s="334">
        <f t="shared" si="0"/>
        <v>366.73333333333335</v>
      </c>
      <c r="I16" s="260">
        <v>5501</v>
      </c>
      <c r="J16" s="261">
        <v>0</v>
      </c>
      <c r="K16" s="262">
        <f t="shared" ref="K16" si="23">SUM(I16:J16)</f>
        <v>5501</v>
      </c>
      <c r="L16" s="384">
        <f t="shared" si="2"/>
        <v>0</v>
      </c>
      <c r="M16" s="384">
        <f t="shared" si="3"/>
        <v>11148.693333333333</v>
      </c>
      <c r="N16" s="384">
        <f t="shared" si="4"/>
        <v>11128.02</v>
      </c>
      <c r="O16" s="384">
        <f t="shared" si="5"/>
        <v>20.673333333332266</v>
      </c>
      <c r="P16" s="385">
        <f t="shared" si="6"/>
        <v>0.16</v>
      </c>
      <c r="Q16" s="384">
        <f t="shared" si="7"/>
        <v>3.3077333333331627</v>
      </c>
      <c r="R16" s="386">
        <f t="shared" si="8"/>
        <v>893.63</v>
      </c>
      <c r="S16" s="384">
        <f t="shared" si="9"/>
        <v>896.9377333333332</v>
      </c>
      <c r="T16" s="384">
        <f t="shared" si="10"/>
        <v>0</v>
      </c>
      <c r="U16" s="384">
        <f t="shared" si="11"/>
        <v>442.57</v>
      </c>
      <c r="V16" s="262">
        <f t="shared" ref="V16" si="24">-IF(U16&gt;0,0,0)</f>
        <v>0</v>
      </c>
      <c r="W16" s="262">
        <f t="shared" ref="W16:W17" si="25">IF(I16/15&lt;=SMG,0,IF(U16&lt;0,0,U16))</f>
        <v>442.57</v>
      </c>
      <c r="X16" s="262">
        <f t="shared" si="13"/>
        <v>442.57</v>
      </c>
      <c r="Y16" s="262">
        <f t="shared" si="14"/>
        <v>5058.43</v>
      </c>
      <c r="Z16" s="273"/>
    </row>
    <row r="17" spans="1:26" s="265" customFormat="1" ht="117" customHeight="1" x14ac:dyDescent="0.2">
      <c r="A17" s="251"/>
      <c r="B17" s="367">
        <v>406</v>
      </c>
      <c r="C17" s="253" t="s">
        <v>311</v>
      </c>
      <c r="D17" s="248" t="s">
        <v>351</v>
      </c>
      <c r="E17" s="366">
        <v>45689</v>
      </c>
      <c r="F17" s="271" t="s">
        <v>352</v>
      </c>
      <c r="G17" s="334">
        <v>15</v>
      </c>
      <c r="H17" s="334">
        <f t="shared" si="0"/>
        <v>272.93333333333334</v>
      </c>
      <c r="I17" s="260">
        <v>4094</v>
      </c>
      <c r="J17" s="261">
        <v>0</v>
      </c>
      <c r="K17" s="262">
        <f>SUM(I17:J17)</f>
        <v>4094</v>
      </c>
      <c r="L17" s="384">
        <f t="shared" si="2"/>
        <v>0</v>
      </c>
      <c r="M17" s="384">
        <f t="shared" si="3"/>
        <v>8297.1733333333323</v>
      </c>
      <c r="N17" s="384">
        <f t="shared" si="4"/>
        <v>6332.06</v>
      </c>
      <c r="O17" s="384">
        <f t="shared" si="5"/>
        <v>1965.1133333333319</v>
      </c>
      <c r="P17" s="385">
        <f t="shared" si="6"/>
        <v>0.10879999999999999</v>
      </c>
      <c r="Q17" s="384">
        <f t="shared" si="7"/>
        <v>213.80433066666649</v>
      </c>
      <c r="R17" s="386">
        <f t="shared" si="8"/>
        <v>371.83</v>
      </c>
      <c r="S17" s="384">
        <f t="shared" si="9"/>
        <v>585.63433066666653</v>
      </c>
      <c r="T17" s="384">
        <f t="shared" si="10"/>
        <v>475</v>
      </c>
      <c r="U17" s="384">
        <f t="shared" si="11"/>
        <v>54.59</v>
      </c>
      <c r="V17" s="262">
        <f>-IF(U17&gt;0,0,0)</f>
        <v>0</v>
      </c>
      <c r="W17" s="262">
        <f t="shared" si="25"/>
        <v>0</v>
      </c>
      <c r="X17" s="262">
        <f t="shared" si="13"/>
        <v>0</v>
      </c>
      <c r="Y17" s="262">
        <f t="shared" si="14"/>
        <v>4094</v>
      </c>
      <c r="Z17" s="273"/>
    </row>
    <row r="18" spans="1:26" ht="40.5" customHeight="1" thickBot="1" x14ac:dyDescent="0.3">
      <c r="A18" s="416" t="s">
        <v>44</v>
      </c>
      <c r="B18" s="417"/>
      <c r="C18" s="417"/>
      <c r="D18" s="417"/>
      <c r="E18" s="417"/>
      <c r="F18" s="417"/>
      <c r="G18" s="417"/>
      <c r="H18" s="418"/>
      <c r="I18" s="131">
        <f>SUM(I9:I17)</f>
        <v>63837</v>
      </c>
      <c r="J18" s="131">
        <f>SUM(J9:J17)</f>
        <v>1717.19</v>
      </c>
      <c r="K18" s="131">
        <f>SUM(K9:K17)</f>
        <v>65554.19</v>
      </c>
      <c r="L18" s="132">
        <f t="shared" ref="L18:U18" si="26">SUM(L11:L17)</f>
        <v>858.59500000000003</v>
      </c>
      <c r="M18" s="132">
        <f t="shared" si="26"/>
        <v>90062.219199999992</v>
      </c>
      <c r="N18" s="132">
        <f t="shared" si="26"/>
        <v>77459.88</v>
      </c>
      <c r="O18" s="132">
        <f t="shared" si="26"/>
        <v>12602.339199999988</v>
      </c>
      <c r="P18" s="132">
        <f t="shared" si="26"/>
        <v>1.1224000000000001</v>
      </c>
      <c r="Q18" s="132">
        <f t="shared" si="26"/>
        <v>2259.2206647466651</v>
      </c>
      <c r="R18" s="132">
        <f t="shared" si="26"/>
        <v>6480.16</v>
      </c>
      <c r="S18" s="132">
        <f t="shared" si="26"/>
        <v>8739.3806647466645</v>
      </c>
      <c r="T18" s="132">
        <f t="shared" si="26"/>
        <v>475</v>
      </c>
      <c r="U18" s="132">
        <f t="shared" si="26"/>
        <v>4077.83</v>
      </c>
      <c r="V18" s="131">
        <f>SUM(V9:V17)</f>
        <v>0</v>
      </c>
      <c r="W18" s="131">
        <f>SUM(W9:W17)</f>
        <v>6704.079999999999</v>
      </c>
      <c r="X18" s="131">
        <f>SUM(X9:X17)</f>
        <v>6704.079999999999</v>
      </c>
      <c r="Y18" s="131">
        <f>SUM(Y9:Y17)</f>
        <v>58850.109999999993</v>
      </c>
    </row>
    <row r="19" spans="1:26" ht="18.75" thickTop="1" x14ac:dyDescent="0.25">
      <c r="A19" s="105"/>
      <c r="B19" s="105"/>
      <c r="C19" s="105"/>
      <c r="D19" s="105"/>
      <c r="E19" s="105"/>
      <c r="F19" s="105"/>
      <c r="G19" s="105"/>
      <c r="H19" s="105"/>
      <c r="I19" s="105"/>
      <c r="J19" s="105"/>
      <c r="K19" s="105"/>
      <c r="L19" s="105"/>
      <c r="M19" s="105"/>
      <c r="N19" s="105"/>
      <c r="O19" s="105"/>
      <c r="P19" s="105"/>
      <c r="Q19" s="105"/>
      <c r="R19" s="105"/>
      <c r="S19" s="105"/>
      <c r="T19" s="105"/>
      <c r="U19" s="105"/>
      <c r="V19" s="105"/>
      <c r="W19" s="105"/>
      <c r="X19" s="105"/>
      <c r="Y19" s="105"/>
    </row>
    <row r="20" spans="1:26" ht="18" x14ac:dyDescent="0.25">
      <c r="A20" s="105"/>
      <c r="B20" s="105"/>
      <c r="C20" s="105"/>
      <c r="D20" s="105"/>
      <c r="E20" s="105"/>
      <c r="F20" s="105"/>
      <c r="G20" s="105"/>
      <c r="H20" s="105"/>
      <c r="I20" s="105"/>
      <c r="J20" s="105"/>
      <c r="K20" s="105"/>
      <c r="L20" s="105"/>
      <c r="M20" s="105"/>
      <c r="N20" s="105"/>
      <c r="O20" s="105"/>
      <c r="P20" s="105"/>
      <c r="Q20" s="105"/>
      <c r="R20" s="105"/>
      <c r="S20" s="105"/>
      <c r="T20" s="105"/>
      <c r="U20" s="105"/>
      <c r="V20" s="105"/>
      <c r="W20" s="105"/>
      <c r="X20" s="105"/>
      <c r="Y20" s="105"/>
    </row>
    <row r="21" spans="1:26" ht="18" x14ac:dyDescent="0.25">
      <c r="A21" s="105"/>
      <c r="B21" s="105"/>
      <c r="C21" s="105"/>
      <c r="D21" s="105"/>
      <c r="E21" s="105"/>
      <c r="F21" s="105"/>
      <c r="G21" s="105"/>
      <c r="H21" s="105"/>
      <c r="I21" s="105"/>
      <c r="J21" s="105"/>
      <c r="K21" s="105"/>
      <c r="L21" s="105"/>
      <c r="M21" s="105"/>
      <c r="N21" s="105"/>
      <c r="O21" s="105"/>
      <c r="P21" s="105"/>
      <c r="Q21" s="105"/>
      <c r="R21" s="105"/>
      <c r="S21" s="105"/>
      <c r="T21" s="105"/>
      <c r="U21" s="105"/>
      <c r="V21" s="105"/>
      <c r="W21" s="105"/>
      <c r="X21" s="105"/>
      <c r="Y21" s="105"/>
    </row>
  </sheetData>
  <mergeCells count="7">
    <mergeCell ref="A18:H18"/>
    <mergeCell ref="A1:Z1"/>
    <mergeCell ref="A2:Z2"/>
    <mergeCell ref="A3:Z3"/>
    <mergeCell ref="I5:K5"/>
    <mergeCell ref="N5:S5"/>
    <mergeCell ref="W5:X5"/>
  </mergeCells>
  <dataValidations count="1">
    <dataValidation allowBlank="1" showInputMessage="1" showErrorMessage="1" prompt="Captura el nombre asignado o el nombre como se le identifica a la plaza (ejem. Jefe de Ingresos, Secretario Particular, Oficial Mayor, etc.)" sqref="D16:D17" xr:uid="{00000000-0002-0000-0B00-000000000000}"/>
  </dataValidations>
  <pageMargins left="0.27559055118110237" right="0.27559055118110237" top="0.55118110236220474" bottom="0.15748031496062992" header="0.31496062992125984" footer="0.31496062992125984"/>
  <pageSetup scale="42" orientation="landscape" horizontalDpi="4294967293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27"/>
  <sheetViews>
    <sheetView topLeftCell="B1" zoomScale="70" zoomScaleNormal="70" workbookViewId="0">
      <pane ySplit="1" topLeftCell="A2" activePane="bottomLeft" state="frozen"/>
      <selection activeCell="B1" sqref="B1"/>
      <selection pane="bottomLeft" activeCell="J9" sqref="J9"/>
    </sheetView>
  </sheetViews>
  <sheetFormatPr baseColWidth="10" defaultColWidth="11.42578125" defaultRowHeight="12.75" x14ac:dyDescent="0.2"/>
  <cols>
    <col min="1" max="1" width="5.5703125" hidden="1" customWidth="1"/>
    <col min="2" max="2" width="12.140625" customWidth="1"/>
    <col min="3" max="3" width="10" customWidth="1"/>
    <col min="4" max="4" width="37" customWidth="1"/>
    <col min="5" max="5" width="17.140625" customWidth="1"/>
    <col min="6" max="6" width="26.28515625" customWidth="1"/>
    <col min="7" max="7" width="6.42578125" hidden="1" customWidth="1"/>
    <col min="8" max="8" width="10" hidden="1" customWidth="1"/>
    <col min="9" max="9" width="13.42578125" customWidth="1"/>
    <col min="10" max="10" width="10.28515625" customWidth="1"/>
    <col min="11" max="11" width="14.42578125" bestFit="1" customWidth="1"/>
    <col min="12" max="12" width="11.7109375" hidden="1" customWidth="1"/>
    <col min="13" max="15" width="14.42578125" hidden="1" customWidth="1"/>
    <col min="16" max="16" width="13.42578125" hidden="1" customWidth="1"/>
    <col min="17" max="18" width="12.85546875" hidden="1" customWidth="1"/>
    <col min="19" max="19" width="14.42578125" hidden="1" customWidth="1"/>
    <col min="20" max="20" width="11" hidden="1" customWidth="1"/>
    <col min="21" max="21" width="14.42578125" hidden="1" customWidth="1"/>
    <col min="22" max="22" width="12.85546875" bestFit="1" customWidth="1"/>
    <col min="23" max="23" width="14.28515625" customWidth="1"/>
    <col min="24" max="24" width="13.85546875" customWidth="1"/>
    <col min="25" max="25" width="13.7109375" customWidth="1"/>
    <col min="26" max="26" width="75.140625" customWidth="1"/>
  </cols>
  <sheetData>
    <row r="1" spans="1:26" ht="19.5" x14ac:dyDescent="0.25">
      <c r="A1" s="419" t="s">
        <v>75</v>
      </c>
      <c r="B1" s="419"/>
      <c r="C1" s="419"/>
      <c r="D1" s="419"/>
      <c r="E1" s="419"/>
      <c r="F1" s="419"/>
      <c r="G1" s="419"/>
      <c r="H1" s="419"/>
      <c r="I1" s="419"/>
      <c r="J1" s="419"/>
      <c r="K1" s="419"/>
      <c r="L1" s="419"/>
      <c r="M1" s="419"/>
      <c r="N1" s="419"/>
      <c r="O1" s="419"/>
      <c r="P1" s="419"/>
      <c r="Q1" s="419"/>
      <c r="R1" s="419"/>
      <c r="S1" s="419"/>
      <c r="T1" s="419"/>
      <c r="U1" s="419"/>
      <c r="V1" s="419"/>
      <c r="W1" s="419"/>
      <c r="X1" s="419"/>
      <c r="Y1" s="419"/>
      <c r="Z1" s="419"/>
    </row>
    <row r="2" spans="1:26" ht="19.5" x14ac:dyDescent="0.25">
      <c r="A2" s="419" t="s">
        <v>63</v>
      </c>
      <c r="B2" s="419"/>
      <c r="C2" s="419"/>
      <c r="D2" s="419"/>
      <c r="E2" s="419"/>
      <c r="F2" s="419"/>
      <c r="G2" s="419"/>
      <c r="H2" s="419"/>
      <c r="I2" s="419"/>
      <c r="J2" s="419"/>
      <c r="K2" s="419"/>
      <c r="L2" s="419"/>
      <c r="M2" s="419"/>
      <c r="N2" s="419"/>
      <c r="O2" s="419"/>
      <c r="P2" s="419"/>
      <c r="Q2" s="419"/>
      <c r="R2" s="419"/>
      <c r="S2" s="419"/>
      <c r="T2" s="419"/>
      <c r="U2" s="419"/>
      <c r="V2" s="419"/>
      <c r="W2" s="419"/>
      <c r="X2" s="419"/>
      <c r="Y2" s="419"/>
      <c r="Z2" s="419"/>
    </row>
    <row r="3" spans="1:26" ht="19.5" x14ac:dyDescent="0.25">
      <c r="A3" s="420" t="s">
        <v>387</v>
      </c>
      <c r="B3" s="420"/>
      <c r="C3" s="420"/>
      <c r="D3" s="420"/>
      <c r="E3" s="420"/>
      <c r="F3" s="420"/>
      <c r="G3" s="420"/>
      <c r="H3" s="420"/>
      <c r="I3" s="420"/>
      <c r="J3" s="420"/>
      <c r="K3" s="420"/>
      <c r="L3" s="420"/>
      <c r="M3" s="420"/>
      <c r="N3" s="420"/>
      <c r="O3" s="420"/>
      <c r="P3" s="420"/>
      <c r="Q3" s="420"/>
      <c r="R3" s="420"/>
      <c r="S3" s="420"/>
      <c r="T3" s="420"/>
      <c r="U3" s="420"/>
      <c r="V3" s="420"/>
      <c r="W3" s="420"/>
      <c r="X3" s="420"/>
      <c r="Y3" s="420"/>
      <c r="Z3" s="420"/>
    </row>
    <row r="4" spans="1:26" ht="12" customHeight="1" x14ac:dyDescent="0.2">
      <c r="A4" s="41"/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6"/>
      <c r="X4" s="86"/>
      <c r="Y4" s="86"/>
      <c r="Z4" s="86"/>
    </row>
    <row r="5" spans="1:26" s="51" customFormat="1" ht="15.75" x14ac:dyDescent="0.25">
      <c r="A5" s="47"/>
      <c r="B5" s="111"/>
      <c r="C5" s="111"/>
      <c r="D5" s="111"/>
      <c r="E5" s="111"/>
      <c r="F5" s="182"/>
      <c r="G5" s="112" t="s">
        <v>22</v>
      </c>
      <c r="H5" s="185" t="s">
        <v>5</v>
      </c>
      <c r="I5" s="421" t="s">
        <v>1</v>
      </c>
      <c r="J5" s="422"/>
      <c r="K5" s="423"/>
      <c r="L5" s="113" t="s">
        <v>25</v>
      </c>
      <c r="M5" s="114"/>
      <c r="N5" s="424" t="s">
        <v>8</v>
      </c>
      <c r="O5" s="425"/>
      <c r="P5" s="425"/>
      <c r="Q5" s="425"/>
      <c r="R5" s="425"/>
      <c r="S5" s="426"/>
      <c r="T5" s="113" t="s">
        <v>52</v>
      </c>
      <c r="U5" s="113" t="s">
        <v>9</v>
      </c>
      <c r="V5" s="112" t="s">
        <v>52</v>
      </c>
      <c r="W5" s="427" t="s">
        <v>2</v>
      </c>
      <c r="X5" s="428"/>
      <c r="Y5" s="112" t="s">
        <v>0</v>
      </c>
      <c r="Z5" s="47"/>
    </row>
    <row r="6" spans="1:26" s="51" customFormat="1" ht="29.25" customHeight="1" x14ac:dyDescent="0.25">
      <c r="A6" s="52" t="s">
        <v>20</v>
      </c>
      <c r="B6" s="115" t="s">
        <v>95</v>
      </c>
      <c r="C6" s="115" t="s">
        <v>113</v>
      </c>
      <c r="D6" s="116" t="s">
        <v>21</v>
      </c>
      <c r="E6" s="115" t="s">
        <v>198</v>
      </c>
      <c r="F6" s="183" t="s">
        <v>60</v>
      </c>
      <c r="G6" s="188" t="s">
        <v>23</v>
      </c>
      <c r="H6" s="186" t="s">
        <v>24</v>
      </c>
      <c r="I6" s="112" t="s">
        <v>5</v>
      </c>
      <c r="J6" s="112" t="s">
        <v>57</v>
      </c>
      <c r="K6" s="112" t="s">
        <v>27</v>
      </c>
      <c r="L6" s="117" t="s">
        <v>26</v>
      </c>
      <c r="M6" s="114" t="s">
        <v>31</v>
      </c>
      <c r="N6" s="114" t="s">
        <v>11</v>
      </c>
      <c r="O6" s="114" t="s">
        <v>33</v>
      </c>
      <c r="P6" s="114" t="s">
        <v>35</v>
      </c>
      <c r="Q6" s="114" t="s">
        <v>36</v>
      </c>
      <c r="R6" s="114" t="s">
        <v>13</v>
      </c>
      <c r="S6" s="114" t="s">
        <v>9</v>
      </c>
      <c r="T6" s="117" t="s">
        <v>39</v>
      </c>
      <c r="U6" s="117" t="s">
        <v>40</v>
      </c>
      <c r="V6" s="116" t="s">
        <v>30</v>
      </c>
      <c r="W6" s="112" t="s">
        <v>192</v>
      </c>
      <c r="X6" s="112" t="s">
        <v>6</v>
      </c>
      <c r="Y6" s="116" t="s">
        <v>3</v>
      </c>
      <c r="Z6" s="52" t="s">
        <v>56</v>
      </c>
    </row>
    <row r="7" spans="1:26" s="51" customFormat="1" ht="15.75" x14ac:dyDescent="0.25">
      <c r="A7" s="60"/>
      <c r="B7" s="118"/>
      <c r="C7" s="118"/>
      <c r="D7" s="119"/>
      <c r="E7" s="119"/>
      <c r="F7" s="184"/>
      <c r="G7" s="119"/>
      <c r="H7" s="187"/>
      <c r="I7" s="119" t="s">
        <v>46</v>
      </c>
      <c r="J7" s="119" t="s">
        <v>58</v>
      </c>
      <c r="K7" s="119" t="s">
        <v>28</v>
      </c>
      <c r="L7" s="120" t="s">
        <v>42</v>
      </c>
      <c r="M7" s="113" t="s">
        <v>32</v>
      </c>
      <c r="N7" s="113" t="s">
        <v>12</v>
      </c>
      <c r="O7" s="113" t="s">
        <v>34</v>
      </c>
      <c r="P7" s="113" t="s">
        <v>34</v>
      </c>
      <c r="Q7" s="113" t="s">
        <v>37</v>
      </c>
      <c r="R7" s="113" t="s">
        <v>14</v>
      </c>
      <c r="S7" s="113" t="s">
        <v>38</v>
      </c>
      <c r="T7" s="117" t="s">
        <v>51</v>
      </c>
      <c r="U7" s="121" t="s">
        <v>166</v>
      </c>
      <c r="V7" s="119" t="s">
        <v>51</v>
      </c>
      <c r="W7" s="119"/>
      <c r="X7" s="119" t="s">
        <v>43</v>
      </c>
      <c r="Y7" s="119" t="s">
        <v>4</v>
      </c>
      <c r="Z7" s="57"/>
    </row>
    <row r="8" spans="1:26" s="51" customFormat="1" ht="25.5" customHeight="1" x14ac:dyDescent="0.25">
      <c r="A8" s="153"/>
      <c r="B8" s="368" t="s">
        <v>95</v>
      </c>
      <c r="C8" s="368" t="s">
        <v>113</v>
      </c>
      <c r="D8" s="157" t="s">
        <v>61</v>
      </c>
      <c r="E8" s="368" t="s">
        <v>198</v>
      </c>
      <c r="F8" s="153" t="s">
        <v>60</v>
      </c>
      <c r="G8" s="153"/>
      <c r="H8" s="153"/>
      <c r="I8" s="158">
        <f>SUM(I9:I11)</f>
        <v>50268.5</v>
      </c>
      <c r="J8" s="158">
        <f>SUM(J9:J11)</f>
        <v>0</v>
      </c>
      <c r="K8" s="158">
        <f>SUM(K9:K11)</f>
        <v>50268.5</v>
      </c>
      <c r="L8" s="153"/>
      <c r="M8" s="153"/>
      <c r="N8" s="153"/>
      <c r="O8" s="153"/>
      <c r="P8" s="153"/>
      <c r="Q8" s="153"/>
      <c r="R8" s="153"/>
      <c r="S8" s="153"/>
      <c r="T8" s="153"/>
      <c r="U8" s="159"/>
      <c r="V8" s="158">
        <f>SUM(V9:V11)</f>
        <v>0</v>
      </c>
      <c r="W8" s="158">
        <f>SUM(W9:W11)</f>
        <v>8965.6699999999983</v>
      </c>
      <c r="X8" s="158">
        <f>SUM(X9:X11)</f>
        <v>8965.6699999999983</v>
      </c>
      <c r="Y8" s="158" t="e">
        <f>SUM(Y9:Y11)</f>
        <v>#REF!</v>
      </c>
      <c r="Z8" s="63"/>
    </row>
    <row r="9" spans="1:26" s="287" customFormat="1" ht="265.5" customHeight="1" x14ac:dyDescent="0.2">
      <c r="A9" s="253" t="s">
        <v>81</v>
      </c>
      <c r="B9" s="252" t="s">
        <v>266</v>
      </c>
      <c r="C9" s="253" t="s">
        <v>107</v>
      </c>
      <c r="D9" s="254" t="s">
        <v>265</v>
      </c>
      <c r="E9" s="278">
        <v>45566</v>
      </c>
      <c r="F9" s="271" t="s">
        <v>162</v>
      </c>
      <c r="G9" s="272">
        <v>15</v>
      </c>
      <c r="H9" s="288">
        <v>1959.4669999999999</v>
      </c>
      <c r="I9" s="279">
        <v>29392</v>
      </c>
      <c r="J9" s="280">
        <v>0</v>
      </c>
      <c r="K9" s="281">
        <f>SUM(I9:J9)</f>
        <v>29392</v>
      </c>
      <c r="L9" s="282">
        <f>IF(I9/15&lt;=SMG,0,J9/2)</f>
        <v>0</v>
      </c>
      <c r="M9" s="301">
        <f>(I9+L9)/G9*30.4</f>
        <v>59567.786666666667</v>
      </c>
      <c r="N9" s="301">
        <f>VLOOKUP(M9,Tarifa,1)</f>
        <v>49233.01</v>
      </c>
      <c r="O9" s="282">
        <f>M9-N9</f>
        <v>10334.776666666665</v>
      </c>
      <c r="P9" s="283">
        <f>VLOOKUP(M9,Tarifa,3)</f>
        <v>0.3</v>
      </c>
      <c r="Q9" s="282">
        <f>O9*P9</f>
        <v>3100.4329999999995</v>
      </c>
      <c r="R9" s="284">
        <f>VLOOKUP(M9,Tarifa,2)</f>
        <v>9236.89</v>
      </c>
      <c r="S9" s="282">
        <f>Q9+R9</f>
        <v>12337.322999999999</v>
      </c>
      <c r="T9" s="282">
        <f>VLOOKUP(M9,Credito,2)</f>
        <v>0</v>
      </c>
      <c r="U9" s="282">
        <f>ROUND((S9-T9)/30.4*G9,2)</f>
        <v>6087.49</v>
      </c>
      <c r="V9" s="281">
        <f>-IF(U9&gt;0,0,0)</f>
        <v>0</v>
      </c>
      <c r="W9" s="281">
        <f>IF(I9/15&lt;=SMG,0,IF(U9&lt;0,0,U9))</f>
        <v>6087.49</v>
      </c>
      <c r="X9" s="281">
        <f>SUM(W9:W9)</f>
        <v>6087.49</v>
      </c>
      <c r="Y9" s="281">
        <f>K9+V9-X9</f>
        <v>23304.510000000002</v>
      </c>
      <c r="Z9" s="286"/>
    </row>
    <row r="10" spans="1:26" s="287" customFormat="1" ht="265.5" customHeight="1" x14ac:dyDescent="0.2">
      <c r="A10" s="253" t="s">
        <v>82</v>
      </c>
      <c r="B10" s="252" t="s">
        <v>164</v>
      </c>
      <c r="C10" s="253" t="s">
        <v>107</v>
      </c>
      <c r="D10" s="254" t="s">
        <v>165</v>
      </c>
      <c r="E10" s="278">
        <v>45566</v>
      </c>
      <c r="F10" s="271" t="s">
        <v>163</v>
      </c>
      <c r="G10" s="272">
        <v>15</v>
      </c>
      <c r="H10" s="288">
        <v>993.23399999999992</v>
      </c>
      <c r="I10" s="279">
        <v>14898.5</v>
      </c>
      <c r="J10" s="280">
        <v>0</v>
      </c>
      <c r="K10" s="281">
        <f>SUM(I10:J10)</f>
        <v>14898.5</v>
      </c>
      <c r="L10" s="282">
        <f>IF(I10/15&lt;=SMG,0,J10/2)</f>
        <v>0</v>
      </c>
      <c r="M10" s="301">
        <f>(I10+L10)/G10*30.4</f>
        <v>30194.293333333331</v>
      </c>
      <c r="N10" s="301">
        <f>VLOOKUP(M10,Tarifa,1)</f>
        <v>15487.72</v>
      </c>
      <c r="O10" s="282">
        <f>M10-N10</f>
        <v>14706.573333333332</v>
      </c>
      <c r="P10" s="283">
        <f>VLOOKUP(M10,Tarifa,3)</f>
        <v>0.21360000000000001</v>
      </c>
      <c r="Q10" s="282">
        <f>O10*P10</f>
        <v>3141.3240639999999</v>
      </c>
      <c r="R10" s="284">
        <f>VLOOKUP(M10,Tarifa,2)</f>
        <v>1640.18</v>
      </c>
      <c r="S10" s="282">
        <f>Q10+R10</f>
        <v>4781.5040639999997</v>
      </c>
      <c r="T10" s="282">
        <f>VLOOKUP(M10,Credito,2)</f>
        <v>0</v>
      </c>
      <c r="U10" s="282">
        <f>ROUND((S10-T10)/30.4*G10,2)</f>
        <v>2359.29</v>
      </c>
      <c r="V10" s="281">
        <f>-IF(U10&gt;0,0,0)</f>
        <v>0</v>
      </c>
      <c r="W10" s="281">
        <f>IF(I10/15&lt;=SMG,0,IF(U10&lt;0,0,U10))</f>
        <v>2359.29</v>
      </c>
      <c r="X10" s="281">
        <f>SUM(W10:W10)</f>
        <v>2359.29</v>
      </c>
      <c r="Y10" s="281">
        <f>K10+V10-X10</f>
        <v>12539.21</v>
      </c>
      <c r="Z10" s="286"/>
    </row>
    <row r="11" spans="1:26" s="287" customFormat="1" ht="265.5" customHeight="1" x14ac:dyDescent="0.2">
      <c r="A11" s="253"/>
      <c r="B11" s="253" t="s">
        <v>101</v>
      </c>
      <c r="C11" s="252" t="s">
        <v>107</v>
      </c>
      <c r="D11" s="254" t="s">
        <v>64</v>
      </c>
      <c r="E11" s="278">
        <v>40026</v>
      </c>
      <c r="F11" s="255" t="s">
        <v>62</v>
      </c>
      <c r="G11" s="272">
        <v>15</v>
      </c>
      <c r="H11" s="288">
        <v>398.53399999999999</v>
      </c>
      <c r="I11" s="279">
        <v>5978</v>
      </c>
      <c r="J11" s="280">
        <v>0</v>
      </c>
      <c r="K11" s="281">
        <f>SUM(I11:J11)</f>
        <v>5978</v>
      </c>
      <c r="L11" s="282">
        <f>IF(I11/15&lt;=SMG,0,J11/2)</f>
        <v>0</v>
      </c>
      <c r="M11" s="301">
        <f>(I11+L11)/G11*30.4</f>
        <v>12115.413333333334</v>
      </c>
      <c r="N11" s="301">
        <f>VLOOKUP(M11,Tarifa,1)</f>
        <v>11128.02</v>
      </c>
      <c r="O11" s="282">
        <f>M11-N11</f>
        <v>987.39333333333343</v>
      </c>
      <c r="P11" s="283">
        <f>VLOOKUP(M11,Tarifa,3)</f>
        <v>0.16</v>
      </c>
      <c r="Q11" s="282">
        <f>O11*P11</f>
        <v>157.98293333333336</v>
      </c>
      <c r="R11" s="284">
        <f>VLOOKUP(M11,Tarifa,2)</f>
        <v>893.63</v>
      </c>
      <c r="S11" s="282">
        <f>Q11+R11</f>
        <v>1051.6129333333333</v>
      </c>
      <c r="T11" s="282">
        <f>VLOOKUP(M11,Credito,2)</f>
        <v>0</v>
      </c>
      <c r="U11" s="282">
        <f>ROUND((S11-T11)/30.4*G11,2)</f>
        <v>518.89</v>
      </c>
      <c r="V11" s="281">
        <f>-IF(U11&gt;0,0,0)</f>
        <v>0</v>
      </c>
      <c r="W11" s="281">
        <f>IF(I11/15&lt;=SMG,0,IF(U11&lt;0,0,U11))</f>
        <v>518.89</v>
      </c>
      <c r="X11" s="281">
        <f>SUM(W11:W11)</f>
        <v>518.89</v>
      </c>
      <c r="Y11" s="281" t="e">
        <f>K11+V11-X11-#REF!</f>
        <v>#REF!</v>
      </c>
      <c r="Z11" s="286"/>
    </row>
    <row r="12" spans="1:26" s="51" customFormat="1" ht="30.75" customHeight="1" x14ac:dyDescent="0.25">
      <c r="A12" s="130"/>
      <c r="B12" s="368" t="s">
        <v>95</v>
      </c>
      <c r="C12" s="368" t="s">
        <v>113</v>
      </c>
      <c r="D12" s="157" t="s">
        <v>110</v>
      </c>
      <c r="E12" s="368" t="s">
        <v>198</v>
      </c>
      <c r="F12" s="153" t="s">
        <v>60</v>
      </c>
      <c r="G12" s="153"/>
      <c r="H12" s="153"/>
      <c r="I12" s="158">
        <f>I13</f>
        <v>5944.5</v>
      </c>
      <c r="J12" s="158">
        <f>J13</f>
        <v>0</v>
      </c>
      <c r="K12" s="158">
        <f>K13</f>
        <v>5944.5</v>
      </c>
      <c r="L12" s="153"/>
      <c r="M12" s="153"/>
      <c r="N12" s="153"/>
      <c r="O12" s="153"/>
      <c r="P12" s="153"/>
      <c r="Q12" s="153"/>
      <c r="R12" s="160"/>
      <c r="S12" s="153"/>
      <c r="T12" s="153"/>
      <c r="U12" s="159"/>
      <c r="V12" s="158">
        <f>V13</f>
        <v>0</v>
      </c>
      <c r="W12" s="158">
        <f>W13</f>
        <v>513.53</v>
      </c>
      <c r="X12" s="158">
        <f>X13</f>
        <v>513.53</v>
      </c>
      <c r="Y12" s="158">
        <f>Y13</f>
        <v>5430.97</v>
      </c>
      <c r="Z12" s="63"/>
    </row>
    <row r="13" spans="1:26" s="287" customFormat="1" ht="266.25" customHeight="1" x14ac:dyDescent="0.2">
      <c r="A13" s="253" t="s">
        <v>85</v>
      </c>
      <c r="B13" s="253" t="s">
        <v>169</v>
      </c>
      <c r="C13" s="253" t="s">
        <v>236</v>
      </c>
      <c r="D13" s="254" t="s">
        <v>171</v>
      </c>
      <c r="E13" s="278">
        <v>44470</v>
      </c>
      <c r="F13" s="271" t="s">
        <v>189</v>
      </c>
      <c r="G13" s="272">
        <v>15</v>
      </c>
      <c r="H13" s="288">
        <v>396.3</v>
      </c>
      <c r="I13" s="279">
        <v>5944.5</v>
      </c>
      <c r="J13" s="280">
        <v>0</v>
      </c>
      <c r="K13" s="281">
        <f>SUM(I13:J13)</f>
        <v>5944.5</v>
      </c>
      <c r="L13" s="282">
        <f>IF(I13/15&lt;=SMG,0,J13/2)</f>
        <v>0</v>
      </c>
      <c r="M13" s="301">
        <f>(I13+L13)/G13*30.4</f>
        <v>12047.52</v>
      </c>
      <c r="N13" s="301">
        <f>VLOOKUP(M13,Tarifa,1)</f>
        <v>11128.02</v>
      </c>
      <c r="O13" s="282">
        <f>M13-N13</f>
        <v>919.5</v>
      </c>
      <c r="P13" s="283">
        <f>VLOOKUP(M13,Tarifa,3)</f>
        <v>0.16</v>
      </c>
      <c r="Q13" s="282">
        <f>O13*P13</f>
        <v>147.12</v>
      </c>
      <c r="R13" s="284">
        <f>VLOOKUP(M13,Tarifa,2)</f>
        <v>893.63</v>
      </c>
      <c r="S13" s="282">
        <f>Q13+R13</f>
        <v>1040.75</v>
      </c>
      <c r="T13" s="282">
        <f>VLOOKUP(M13,Credito,2)</f>
        <v>0</v>
      </c>
      <c r="U13" s="282">
        <f>ROUND((S13-T13)/30.4*G13,2)</f>
        <v>513.53</v>
      </c>
      <c r="V13" s="281">
        <f>-IF(U13&gt;0,0,0)</f>
        <v>0</v>
      </c>
      <c r="W13" s="281">
        <f>IF(I13/15&lt;=SMG,0,IF(U13&lt;0,0,U13))</f>
        <v>513.53</v>
      </c>
      <c r="X13" s="281">
        <f>SUM(W13:W13)</f>
        <v>513.53</v>
      </c>
      <c r="Y13" s="281">
        <f>K13+V13-X13</f>
        <v>5430.97</v>
      </c>
      <c r="Z13" s="286"/>
    </row>
    <row r="14" spans="1:26" s="287" customFormat="1" ht="23.25" customHeight="1" x14ac:dyDescent="0.2">
      <c r="A14" s="375"/>
      <c r="B14" s="355"/>
      <c r="C14" s="355"/>
      <c r="D14" s="370"/>
      <c r="E14" s="376"/>
      <c r="F14" s="377"/>
      <c r="G14" s="378"/>
      <c r="H14" s="379"/>
      <c r="I14" s="380"/>
      <c r="J14" s="381"/>
      <c r="K14" s="382"/>
      <c r="L14" s="371"/>
      <c r="M14" s="372"/>
      <c r="N14" s="372"/>
      <c r="O14" s="371"/>
      <c r="P14" s="373"/>
      <c r="Q14" s="371"/>
      <c r="R14" s="374"/>
      <c r="S14" s="371"/>
      <c r="T14" s="371"/>
      <c r="U14" s="371"/>
      <c r="V14" s="382"/>
      <c r="W14" s="382"/>
      <c r="X14" s="382"/>
      <c r="Y14" s="382"/>
    </row>
    <row r="15" spans="1:26" s="287" customFormat="1" ht="23.25" customHeight="1" x14ac:dyDescent="0.2">
      <c r="A15" s="375"/>
      <c r="B15" s="355"/>
      <c r="C15" s="355"/>
      <c r="D15" s="370"/>
      <c r="E15" s="376"/>
      <c r="F15" s="377"/>
      <c r="G15" s="378"/>
      <c r="H15" s="379"/>
      <c r="I15" s="380"/>
      <c r="J15" s="381"/>
      <c r="K15" s="382"/>
      <c r="L15" s="371"/>
      <c r="M15" s="372"/>
      <c r="N15" s="372"/>
      <c r="O15" s="371"/>
      <c r="P15" s="373"/>
      <c r="Q15" s="371"/>
      <c r="R15" s="374"/>
      <c r="S15" s="371"/>
      <c r="T15" s="371"/>
      <c r="U15" s="371"/>
      <c r="V15" s="382"/>
      <c r="W15" s="382"/>
      <c r="X15" s="382"/>
      <c r="Y15" s="382"/>
    </row>
    <row r="16" spans="1:26" s="287" customFormat="1" ht="23.25" customHeight="1" x14ac:dyDescent="0.2">
      <c r="A16" s="375"/>
      <c r="B16" s="355"/>
      <c r="C16" s="355"/>
      <c r="D16" s="370"/>
      <c r="E16" s="376"/>
      <c r="F16" s="377"/>
      <c r="G16" s="378"/>
      <c r="H16" s="379"/>
      <c r="I16" s="380"/>
      <c r="J16" s="381"/>
      <c r="K16" s="382"/>
      <c r="L16" s="371"/>
      <c r="M16" s="372"/>
      <c r="N16" s="372"/>
      <c r="O16" s="371"/>
      <c r="P16" s="373"/>
      <c r="Q16" s="371"/>
      <c r="R16" s="374"/>
      <c r="S16" s="371"/>
      <c r="T16" s="371"/>
      <c r="U16" s="371"/>
      <c r="V16" s="382"/>
      <c r="W16" s="382"/>
      <c r="X16" s="382"/>
      <c r="Y16" s="382"/>
    </row>
    <row r="17" spans="1:26" s="287" customFormat="1" ht="23.25" customHeight="1" x14ac:dyDescent="0.2">
      <c r="A17" s="375"/>
      <c r="B17" s="355"/>
      <c r="C17" s="355"/>
      <c r="D17" s="370"/>
      <c r="E17" s="376"/>
      <c r="F17" s="377"/>
      <c r="G17" s="378"/>
      <c r="H17" s="379"/>
      <c r="I17" s="380"/>
      <c r="J17" s="381"/>
      <c r="K17" s="382"/>
      <c r="L17" s="371"/>
      <c r="M17" s="372"/>
      <c r="N17" s="372"/>
      <c r="O17" s="371"/>
      <c r="P17" s="373"/>
      <c r="Q17" s="371"/>
      <c r="R17" s="374"/>
      <c r="S17" s="371"/>
      <c r="T17" s="371"/>
      <c r="U17" s="371"/>
      <c r="V17" s="382"/>
      <c r="W17" s="382"/>
      <c r="X17" s="382"/>
      <c r="Y17" s="382"/>
    </row>
    <row r="18" spans="1:26" s="51" customFormat="1" ht="36.75" customHeight="1" x14ac:dyDescent="0.25">
      <c r="A18" s="130"/>
      <c r="B18" s="369" t="s">
        <v>95</v>
      </c>
      <c r="C18" s="369" t="s">
        <v>113</v>
      </c>
      <c r="D18" s="172" t="s">
        <v>111</v>
      </c>
      <c r="E18" s="369" t="s">
        <v>198</v>
      </c>
      <c r="F18" s="172" t="s">
        <v>60</v>
      </c>
      <c r="G18" s="172"/>
      <c r="H18" s="172"/>
      <c r="I18" s="173">
        <f>SUM(I19:I20)</f>
        <v>16971.03</v>
      </c>
      <c r="J18" s="173">
        <f>SUM(J19:J20)</f>
        <v>0</v>
      </c>
      <c r="K18" s="173">
        <f>SUM(K19:K20)</f>
        <v>16971.03</v>
      </c>
      <c r="L18" s="172"/>
      <c r="M18" s="172"/>
      <c r="N18" s="172"/>
      <c r="O18" s="172"/>
      <c r="P18" s="172"/>
      <c r="Q18" s="172"/>
      <c r="R18" s="175"/>
      <c r="S18" s="172"/>
      <c r="T18" s="172"/>
      <c r="U18" s="172"/>
      <c r="V18" s="173">
        <f>SUM(V19:V20)</f>
        <v>0</v>
      </c>
      <c r="W18" s="173">
        <f>SUM(W19:W20)</f>
        <v>2060.5100000000002</v>
      </c>
      <c r="X18" s="173">
        <f>SUM(X19:X20)</f>
        <v>2060.5100000000002</v>
      </c>
      <c r="Y18" s="173">
        <f>SUM(Y19:Y20)</f>
        <v>14910.52</v>
      </c>
      <c r="Z18" s="383"/>
    </row>
    <row r="19" spans="1:26" s="287" customFormat="1" ht="207.75" customHeight="1" x14ac:dyDescent="0.2">
      <c r="A19" s="253" t="s">
        <v>86</v>
      </c>
      <c r="B19" s="252" t="s">
        <v>134</v>
      </c>
      <c r="C19" s="253" t="s">
        <v>107</v>
      </c>
      <c r="D19" s="254" t="s">
        <v>125</v>
      </c>
      <c r="E19" s="278">
        <v>43374</v>
      </c>
      <c r="F19" s="271" t="s">
        <v>80</v>
      </c>
      <c r="G19" s="272">
        <v>15</v>
      </c>
      <c r="H19" s="288">
        <v>753.43399999999997</v>
      </c>
      <c r="I19" s="279">
        <v>11301.5</v>
      </c>
      <c r="J19" s="280">
        <v>0</v>
      </c>
      <c r="K19" s="281">
        <f>I19</f>
        <v>11301.5</v>
      </c>
      <c r="L19" s="282">
        <f>IF(I19/15&lt;=SMG,0,J19/2)</f>
        <v>0</v>
      </c>
      <c r="M19" s="301">
        <f>(I19+L19)/G19*30.4</f>
        <v>22904.373333333329</v>
      </c>
      <c r="N19" s="301">
        <f>VLOOKUP(M19,Tarifa,1)</f>
        <v>15487.72</v>
      </c>
      <c r="O19" s="282">
        <f>M19-N19</f>
        <v>7416.65333333333</v>
      </c>
      <c r="P19" s="283">
        <f>VLOOKUP(M19,Tarifa,3)</f>
        <v>0.21360000000000001</v>
      </c>
      <c r="Q19" s="282">
        <f>O19*P19</f>
        <v>1584.1971519999993</v>
      </c>
      <c r="R19" s="284">
        <f>VLOOKUP(M19,Tarifa,2)</f>
        <v>1640.18</v>
      </c>
      <c r="S19" s="282">
        <f>Q19+R19</f>
        <v>3224.3771519999991</v>
      </c>
      <c r="T19" s="282">
        <f>VLOOKUP(M19,Credito,2)</f>
        <v>0</v>
      </c>
      <c r="U19" s="282">
        <f>ROUND((S19-T19)/30.4*G19,2)</f>
        <v>1590.98</v>
      </c>
      <c r="V19" s="281">
        <f>-IF(U19&gt;0,0,0)</f>
        <v>0</v>
      </c>
      <c r="W19" s="281">
        <f>IF(I19/15&lt;=SMG,0,IF(U19&lt;0,0,U19))</f>
        <v>1590.98</v>
      </c>
      <c r="X19" s="281">
        <f>SUM(W19:W19)</f>
        <v>1590.98</v>
      </c>
      <c r="Y19" s="281">
        <f>K19+V19-X19</f>
        <v>9710.52</v>
      </c>
      <c r="Z19" s="286"/>
    </row>
    <row r="20" spans="1:26" s="287" customFormat="1" ht="207.75" customHeight="1" x14ac:dyDescent="0.2">
      <c r="A20" s="289"/>
      <c r="B20" s="290" t="s">
        <v>199</v>
      </c>
      <c r="C20" s="291" t="s">
        <v>107</v>
      </c>
      <c r="D20" s="292" t="s">
        <v>200</v>
      </c>
      <c r="E20" s="293">
        <v>44991</v>
      </c>
      <c r="F20" s="294" t="s">
        <v>62</v>
      </c>
      <c r="G20" s="295">
        <v>15</v>
      </c>
      <c r="H20" s="288">
        <v>362.4</v>
      </c>
      <c r="I20" s="279">
        <v>5669.53</v>
      </c>
      <c r="J20" s="280">
        <v>0</v>
      </c>
      <c r="K20" s="281">
        <f>SUM(I20:J20)</f>
        <v>5669.53</v>
      </c>
      <c r="L20" s="282">
        <f>IF(I20/15&lt;=SMG,0,J20/2)</f>
        <v>0</v>
      </c>
      <c r="M20" s="301">
        <f>(I20+L20)/G20*30.4</f>
        <v>11490.247466666666</v>
      </c>
      <c r="N20" s="301">
        <f>VLOOKUP(M20,Tarifa,1)</f>
        <v>11128.02</v>
      </c>
      <c r="O20" s="282">
        <f>M20-N20</f>
        <v>362.22746666666535</v>
      </c>
      <c r="P20" s="283">
        <f>VLOOKUP(M20,Tarifa,3)</f>
        <v>0.16</v>
      </c>
      <c r="Q20" s="282">
        <f>O20*P20</f>
        <v>57.956394666666455</v>
      </c>
      <c r="R20" s="284">
        <f>VLOOKUP(M20,Tarifa,2)</f>
        <v>893.63</v>
      </c>
      <c r="S20" s="282">
        <f>Q20+R20</f>
        <v>951.58639466666648</v>
      </c>
      <c r="T20" s="282">
        <f>VLOOKUP(M20,Credito,2)</f>
        <v>0</v>
      </c>
      <c r="U20" s="282">
        <f>ROUND((S20-T20)/30.4*G20,2)</f>
        <v>469.53</v>
      </c>
      <c r="V20" s="281">
        <f>-IF(U20&gt;0,0,0)</f>
        <v>0</v>
      </c>
      <c r="W20" s="281">
        <f>IF(I20/15&lt;=SMG,0,IF(U20&lt;0,0,U20))</f>
        <v>469.53</v>
      </c>
      <c r="X20" s="281">
        <f>SUM(W20:W20)</f>
        <v>469.53</v>
      </c>
      <c r="Y20" s="281">
        <f>K20+V20-X20</f>
        <v>5200</v>
      </c>
      <c r="Z20" s="296"/>
    </row>
    <row r="21" spans="1:26" s="287" customFormat="1" ht="57.75" customHeight="1" x14ac:dyDescent="0.25">
      <c r="A21" s="289"/>
      <c r="B21" s="369" t="s">
        <v>95</v>
      </c>
      <c r="C21" s="369" t="s">
        <v>113</v>
      </c>
      <c r="D21" s="142" t="s">
        <v>353</v>
      </c>
      <c r="E21" s="369" t="s">
        <v>198</v>
      </c>
      <c r="F21" s="172" t="s">
        <v>60</v>
      </c>
      <c r="G21" s="172"/>
      <c r="H21" s="153"/>
      <c r="I21" s="158">
        <f>SUM(I22:I22)</f>
        <v>6693</v>
      </c>
      <c r="J21" s="158">
        <f>SUM(J22:J22)</f>
        <v>0</v>
      </c>
      <c r="K21" s="158">
        <f>SUM(K22:K22)</f>
        <v>6693</v>
      </c>
      <c r="L21" s="153"/>
      <c r="M21" s="153"/>
      <c r="N21" s="153"/>
      <c r="O21" s="153"/>
      <c r="P21" s="153"/>
      <c r="Q21" s="153"/>
      <c r="R21" s="160"/>
      <c r="S21" s="153"/>
      <c r="T21" s="153"/>
      <c r="U21" s="159"/>
      <c r="V21" s="158">
        <f>SUM(V22:V22)</f>
        <v>0</v>
      </c>
      <c r="W21" s="158">
        <f>SUM(W22:W22)</f>
        <v>639.24</v>
      </c>
      <c r="X21" s="158">
        <f>SUM(X22:X22)</f>
        <v>639.24</v>
      </c>
      <c r="Y21" s="158">
        <f>SUM(Y22:Y22)</f>
        <v>6053.76</v>
      </c>
      <c r="Z21" s="63"/>
    </row>
    <row r="22" spans="1:26" s="287" customFormat="1" ht="207.75" customHeight="1" x14ac:dyDescent="0.2">
      <c r="A22" s="289"/>
      <c r="B22" s="253" t="s">
        <v>357</v>
      </c>
      <c r="C22" s="253" t="s">
        <v>311</v>
      </c>
      <c r="D22" s="275" t="s">
        <v>354</v>
      </c>
      <c r="E22" s="278">
        <v>45673</v>
      </c>
      <c r="F22" s="297" t="s">
        <v>355</v>
      </c>
      <c r="G22" s="298">
        <v>15</v>
      </c>
      <c r="H22" s="288">
        <v>208.86700000000002</v>
      </c>
      <c r="I22" s="279">
        <v>6693</v>
      </c>
      <c r="J22" s="280">
        <v>0</v>
      </c>
      <c r="K22" s="281">
        <f>I22</f>
        <v>6693</v>
      </c>
      <c r="L22" s="282">
        <f>IF(I22/15&lt;=SMG,0,J22/2)</f>
        <v>0</v>
      </c>
      <c r="M22" s="301">
        <f>(I22+L22)/G22*30.4</f>
        <v>13564.48</v>
      </c>
      <c r="N22" s="301">
        <f>VLOOKUP(M22,Tarifa,1)</f>
        <v>12935.83</v>
      </c>
      <c r="O22" s="282">
        <f>M22-N22</f>
        <v>628.64999999999964</v>
      </c>
      <c r="P22" s="283">
        <f>VLOOKUP(M22,Tarifa,3)</f>
        <v>0.1792</v>
      </c>
      <c r="Q22" s="282">
        <f>O22*P22</f>
        <v>112.65407999999994</v>
      </c>
      <c r="R22" s="284">
        <f>VLOOKUP(M22,Tarifa,2)</f>
        <v>1182.8800000000001</v>
      </c>
      <c r="S22" s="282">
        <f>Q22+R22</f>
        <v>1295.5340800000001</v>
      </c>
      <c r="T22" s="282">
        <f>VLOOKUP(M22,Credito,2)</f>
        <v>0</v>
      </c>
      <c r="U22" s="282">
        <f>ROUND((S22-T22)/30.4*G22,2)</f>
        <v>639.24</v>
      </c>
      <c r="V22" s="281">
        <f>-IF(U22&gt;0,0,0)</f>
        <v>0</v>
      </c>
      <c r="W22" s="281">
        <f>IF(I22/15&lt;=SMG,0,IF(U22&lt;0,0,U22))</f>
        <v>639.24</v>
      </c>
      <c r="X22" s="281">
        <f>SUM(W22:W22)</f>
        <v>639.24</v>
      </c>
      <c r="Y22" s="281">
        <f>K22+V22-X22</f>
        <v>6053.76</v>
      </c>
      <c r="Z22" s="300"/>
    </row>
    <row r="23" spans="1:26" s="51" customFormat="1" ht="31.5" customHeight="1" x14ac:dyDescent="0.25">
      <c r="A23" s="181"/>
      <c r="B23" s="369" t="s">
        <v>95</v>
      </c>
      <c r="C23" s="369" t="s">
        <v>113</v>
      </c>
      <c r="D23" s="142" t="s">
        <v>251</v>
      </c>
      <c r="E23" s="369" t="s">
        <v>198</v>
      </c>
      <c r="F23" s="172" t="s">
        <v>60</v>
      </c>
      <c r="G23" s="172"/>
      <c r="H23" s="153"/>
      <c r="I23" s="158">
        <f>SUM(I24:I24)</f>
        <v>3133</v>
      </c>
      <c r="J23" s="158">
        <f>SUM(J24:J24)</f>
        <v>0</v>
      </c>
      <c r="K23" s="158">
        <f>SUM(K24:K24)</f>
        <v>3133</v>
      </c>
      <c r="L23" s="153"/>
      <c r="M23" s="153"/>
      <c r="N23" s="153"/>
      <c r="O23" s="153"/>
      <c r="P23" s="153"/>
      <c r="Q23" s="153"/>
      <c r="R23" s="160"/>
      <c r="S23" s="153"/>
      <c r="T23" s="153"/>
      <c r="U23" s="159"/>
      <c r="V23" s="158">
        <f>SUM(V24:V24)</f>
        <v>0</v>
      </c>
      <c r="W23" s="158">
        <f>SUM(W24:W24)</f>
        <v>0</v>
      </c>
      <c r="X23" s="158">
        <f>SUM(X24:X24)</f>
        <v>0</v>
      </c>
      <c r="Y23" s="158">
        <f>SUM(Y24:Y24)</f>
        <v>3133</v>
      </c>
      <c r="Z23" s="63"/>
    </row>
    <row r="24" spans="1:26" s="287" customFormat="1" ht="209.25" customHeight="1" x14ac:dyDescent="0.2">
      <c r="A24" s="289"/>
      <c r="B24" s="253" t="s">
        <v>267</v>
      </c>
      <c r="C24" s="253" t="s">
        <v>107</v>
      </c>
      <c r="D24" s="275" t="s">
        <v>268</v>
      </c>
      <c r="E24" s="278">
        <v>45566</v>
      </c>
      <c r="F24" s="297" t="s">
        <v>252</v>
      </c>
      <c r="G24" s="298">
        <v>15</v>
      </c>
      <c r="H24" s="288">
        <v>208.86700000000002</v>
      </c>
      <c r="I24" s="279">
        <v>3133</v>
      </c>
      <c r="J24" s="280">
        <v>0</v>
      </c>
      <c r="K24" s="281">
        <f t="shared" ref="K24" si="0">SUM(I24:J24)</f>
        <v>3133</v>
      </c>
      <c r="L24" s="282">
        <f>IF(I24/15&lt;=SMG,0,J24/2)</f>
        <v>0</v>
      </c>
      <c r="M24" s="301">
        <f>(I24+L24)/G24*30.4</f>
        <v>6349.5466666666662</v>
      </c>
      <c r="N24" s="301">
        <f>VLOOKUP(M24,Tarifa,1)</f>
        <v>6332.06</v>
      </c>
      <c r="O24" s="282">
        <f>M24-N24</f>
        <v>17.486666666665769</v>
      </c>
      <c r="P24" s="283">
        <f>VLOOKUP(M24,Tarifa,3)</f>
        <v>0.10879999999999999</v>
      </c>
      <c r="Q24" s="282">
        <f>O24*P24</f>
        <v>1.9025493333332355</v>
      </c>
      <c r="R24" s="284">
        <f>VLOOKUP(M24,Tarifa,2)</f>
        <v>371.83</v>
      </c>
      <c r="S24" s="282">
        <f>Q24+R24</f>
        <v>373.73254933333322</v>
      </c>
      <c r="T24" s="282">
        <f>VLOOKUP(M24,Credito,2)</f>
        <v>475</v>
      </c>
      <c r="U24" s="282">
        <f>ROUND((S24-T24)/30.4*G24,2)</f>
        <v>-49.97</v>
      </c>
      <c r="V24" s="281">
        <v>0</v>
      </c>
      <c r="W24" s="299">
        <f>IF(I24/15&lt;=SMG,0,IF(U24&lt;0,0,U24))</f>
        <v>0</v>
      </c>
      <c r="X24" s="281">
        <f>SUM(W24:W24)</f>
        <v>0</v>
      </c>
      <c r="Y24" s="299">
        <f>K24+V24-X24</f>
        <v>3133</v>
      </c>
      <c r="Z24" s="300"/>
    </row>
    <row r="25" spans="1:26" s="51" customFormat="1" ht="21.75" customHeight="1" x14ac:dyDescent="0.25">
      <c r="A25" s="162"/>
      <c r="B25" s="163"/>
      <c r="C25" s="163"/>
      <c r="D25" s="164"/>
      <c r="E25" s="164"/>
      <c r="F25" s="164"/>
      <c r="G25" s="141"/>
      <c r="H25" s="165"/>
      <c r="I25" s="166"/>
      <c r="J25" s="167"/>
      <c r="K25" s="168"/>
      <c r="L25" s="169"/>
      <c r="M25" s="169"/>
      <c r="N25" s="169"/>
      <c r="O25" s="169"/>
      <c r="P25" s="170"/>
      <c r="Q25" s="169"/>
      <c r="R25" s="169"/>
      <c r="S25" s="169"/>
      <c r="T25" s="169"/>
      <c r="U25" s="169"/>
      <c r="V25" s="168"/>
      <c r="W25" s="168"/>
      <c r="X25" s="168"/>
      <c r="Y25" s="168"/>
      <c r="Z25" s="58"/>
    </row>
    <row r="26" spans="1:26" s="51" customFormat="1" ht="41.25" customHeight="1" thickBot="1" x14ac:dyDescent="0.3">
      <c r="A26" s="416" t="s">
        <v>44</v>
      </c>
      <c r="B26" s="417"/>
      <c r="C26" s="417"/>
      <c r="D26" s="417"/>
      <c r="E26" s="417"/>
      <c r="F26" s="417"/>
      <c r="G26" s="417"/>
      <c r="H26" s="418"/>
      <c r="I26" s="131">
        <f>I8+I12+I18+I23+I21</f>
        <v>83010.03</v>
      </c>
      <c r="J26" s="131">
        <f>J8+J12+J18+J23+J21</f>
        <v>0</v>
      </c>
      <c r="K26" s="131">
        <f>K8+K12+K18+K23+K21</f>
        <v>83010.03</v>
      </c>
      <c r="L26" s="132">
        <f>SUM(L9:L24)</f>
        <v>0</v>
      </c>
      <c r="M26" s="132">
        <f t="shared" ref="M26:U26" si="1">SUM(M9:M24)</f>
        <v>168233.66079999998</v>
      </c>
      <c r="N26" s="132">
        <f t="shared" si="1"/>
        <v>132860.40000000002</v>
      </c>
      <c r="O26" s="132">
        <f t="shared" si="1"/>
        <v>35373.260799999989</v>
      </c>
      <c r="P26" s="132">
        <f t="shared" si="1"/>
        <v>1.4952000000000001</v>
      </c>
      <c r="Q26" s="132">
        <f t="shared" si="1"/>
        <v>8303.5701733333317</v>
      </c>
      <c r="R26" s="132">
        <f t="shared" si="1"/>
        <v>16752.849999999999</v>
      </c>
      <c r="S26" s="132">
        <f t="shared" si="1"/>
        <v>25056.420173333328</v>
      </c>
      <c r="T26" s="132">
        <f t="shared" si="1"/>
        <v>475</v>
      </c>
      <c r="U26" s="132">
        <f t="shared" si="1"/>
        <v>12128.98</v>
      </c>
      <c r="V26" s="131">
        <f>V8+V12+V18+V23+V21</f>
        <v>0</v>
      </c>
      <c r="W26" s="131">
        <f>W8+W12+W18+W23+W21</f>
        <v>12178.949999999999</v>
      </c>
      <c r="X26" s="131">
        <f>X8+X12+X18+X23+X21</f>
        <v>12178.949999999999</v>
      </c>
      <c r="Y26" s="131" t="e">
        <f>Y8+Y12+Y18+Y23+Y21</f>
        <v>#REF!</v>
      </c>
    </row>
    <row r="27" spans="1:26" s="51" customFormat="1" ht="12" customHeight="1" thickTop="1" x14ac:dyDescent="0.25">
      <c r="A27" s="105"/>
      <c r="B27" s="105"/>
      <c r="C27" s="105"/>
      <c r="D27" s="105"/>
      <c r="E27" s="105"/>
      <c r="F27" s="105"/>
      <c r="G27" s="105"/>
      <c r="H27" s="105"/>
      <c r="I27" s="105"/>
      <c r="J27" s="105"/>
      <c r="K27" s="105"/>
      <c r="L27" s="105"/>
      <c r="M27" s="105"/>
      <c r="N27" s="105"/>
      <c r="O27" s="105"/>
      <c r="P27" s="105"/>
      <c r="Q27" s="105"/>
      <c r="R27" s="105"/>
      <c r="S27" s="105"/>
      <c r="T27" s="105"/>
      <c r="U27" s="105"/>
      <c r="V27" s="105"/>
      <c r="W27" s="105"/>
      <c r="X27" s="105"/>
      <c r="Y27" s="105"/>
    </row>
  </sheetData>
  <mergeCells count="7">
    <mergeCell ref="A26:H26"/>
    <mergeCell ref="A1:Z1"/>
    <mergeCell ref="A2:Z2"/>
    <mergeCell ref="A3:Z3"/>
    <mergeCell ref="I5:K5"/>
    <mergeCell ref="N5:S5"/>
    <mergeCell ref="W5:X5"/>
  </mergeCells>
  <printOptions horizontalCentered="1"/>
  <pageMargins left="0.27559055118110237" right="0.27559055118110237" top="0.47244094488188981" bottom="0.82677165354330717" header="0.31496062992125984" footer="0.51181102362204722"/>
  <pageSetup scale="39" fitToHeight="0" orientation="landscape" horizontalDpi="4294967293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6" tint="-0.249977111117893"/>
  </sheetPr>
  <dimension ref="A1:AA15"/>
  <sheetViews>
    <sheetView topLeftCell="B1" zoomScale="75" zoomScaleNormal="75" workbookViewId="0">
      <selection activeCell="F10" sqref="F10"/>
    </sheetView>
  </sheetViews>
  <sheetFormatPr baseColWidth="10" defaultColWidth="11.42578125" defaultRowHeight="12.75" x14ac:dyDescent="0.2"/>
  <cols>
    <col min="1" max="1" width="5.5703125" hidden="1" customWidth="1"/>
    <col min="2" max="2" width="14.140625" customWidth="1"/>
    <col min="3" max="3" width="11.28515625" customWidth="1"/>
    <col min="4" max="4" width="24.28515625" customWidth="1"/>
    <col min="5" max="5" width="17.28515625" customWidth="1"/>
    <col min="6" max="6" width="20.85546875" customWidth="1"/>
    <col min="7" max="7" width="6.5703125" hidden="1" customWidth="1"/>
    <col min="8" max="8" width="7.28515625" hidden="1" customWidth="1"/>
    <col min="9" max="9" width="17.42578125" customWidth="1"/>
    <col min="10" max="10" width="10.85546875" customWidth="1"/>
    <col min="11" max="11" width="16.42578125" customWidth="1"/>
    <col min="12" max="12" width="13.140625" hidden="1" customWidth="1"/>
    <col min="13" max="13" width="13.85546875" hidden="1" customWidth="1"/>
    <col min="14" max="14" width="13.5703125" hidden="1" customWidth="1"/>
    <col min="15" max="15" width="14" hidden="1" customWidth="1"/>
    <col min="16" max="17" width="13.140625" hidden="1" customWidth="1"/>
    <col min="18" max="18" width="10.5703125" hidden="1" customWidth="1"/>
    <col min="19" max="19" width="13" hidden="1" customWidth="1"/>
    <col min="20" max="20" width="13.140625" hidden="1" customWidth="1"/>
    <col min="21" max="21" width="15.42578125" hidden="1" customWidth="1"/>
    <col min="22" max="22" width="9.7109375" customWidth="1"/>
    <col min="23" max="23" width="14" customWidth="1"/>
    <col min="24" max="24" width="14.42578125" customWidth="1"/>
    <col min="25" max="25" width="16.42578125" customWidth="1"/>
    <col min="26" max="26" width="58.7109375" customWidth="1"/>
  </cols>
  <sheetData>
    <row r="1" spans="1:27" ht="18" x14ac:dyDescent="0.25">
      <c r="A1" s="429" t="s">
        <v>76</v>
      </c>
      <c r="B1" s="429"/>
      <c r="C1" s="429"/>
      <c r="D1" s="429"/>
      <c r="E1" s="429"/>
      <c r="F1" s="429"/>
      <c r="G1" s="429"/>
      <c r="H1" s="429"/>
      <c r="I1" s="429"/>
      <c r="J1" s="429"/>
      <c r="K1" s="429"/>
      <c r="L1" s="429"/>
      <c r="M1" s="429"/>
      <c r="N1" s="429"/>
      <c r="O1" s="429"/>
      <c r="P1" s="429"/>
      <c r="Q1" s="429"/>
      <c r="R1" s="429"/>
      <c r="S1" s="429"/>
      <c r="T1" s="429"/>
      <c r="U1" s="429"/>
      <c r="V1" s="429"/>
      <c r="W1" s="429"/>
      <c r="X1" s="429"/>
      <c r="Y1" s="429"/>
      <c r="Z1" s="429"/>
    </row>
    <row r="2" spans="1:27" ht="18" x14ac:dyDescent="0.25">
      <c r="A2" s="429" t="s">
        <v>63</v>
      </c>
      <c r="B2" s="429"/>
      <c r="C2" s="429"/>
      <c r="D2" s="429"/>
      <c r="E2" s="429"/>
      <c r="F2" s="429"/>
      <c r="G2" s="429"/>
      <c r="H2" s="429"/>
      <c r="I2" s="429"/>
      <c r="J2" s="429"/>
      <c r="K2" s="429"/>
      <c r="L2" s="429"/>
      <c r="M2" s="429"/>
      <c r="N2" s="429"/>
      <c r="O2" s="429"/>
      <c r="P2" s="429"/>
      <c r="Q2" s="429"/>
      <c r="R2" s="429"/>
      <c r="S2" s="429"/>
      <c r="T2" s="429"/>
      <c r="U2" s="429"/>
      <c r="V2" s="429"/>
      <c r="W2" s="429"/>
      <c r="X2" s="429"/>
      <c r="Y2" s="429"/>
      <c r="Z2" s="429"/>
    </row>
    <row r="3" spans="1:27" ht="19.5" x14ac:dyDescent="0.25">
      <c r="A3" s="143" t="s">
        <v>232</v>
      </c>
      <c r="B3" s="420" t="str">
        <f>PRESIDENCIA!A3</f>
        <v>SUELDO  DEL 01 AL 15 DE ABRIL DE 2025</v>
      </c>
      <c r="C3" s="420"/>
      <c r="D3" s="420"/>
      <c r="E3" s="420"/>
      <c r="F3" s="420"/>
      <c r="G3" s="420"/>
      <c r="H3" s="420"/>
      <c r="I3" s="420"/>
      <c r="J3" s="420"/>
      <c r="K3" s="420"/>
      <c r="L3" s="420"/>
      <c r="M3" s="420"/>
      <c r="N3" s="420"/>
      <c r="O3" s="420"/>
      <c r="P3" s="420"/>
      <c r="Q3" s="420"/>
      <c r="R3" s="420"/>
      <c r="S3" s="420"/>
      <c r="T3" s="420"/>
      <c r="U3" s="420"/>
      <c r="V3" s="420"/>
      <c r="W3" s="420"/>
      <c r="X3" s="420"/>
      <c r="Y3" s="420"/>
      <c r="Z3" s="420"/>
      <c r="AA3" s="420"/>
    </row>
    <row r="4" spans="1:27" ht="15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</row>
    <row r="5" spans="1:27" x14ac:dyDescent="0.2">
      <c r="A5" s="22"/>
      <c r="B5" s="22"/>
      <c r="C5" s="22"/>
      <c r="D5" s="22"/>
      <c r="E5" s="22"/>
      <c r="F5" s="22"/>
      <c r="G5" s="23" t="s">
        <v>22</v>
      </c>
      <c r="H5" s="23" t="s">
        <v>161</v>
      </c>
      <c r="I5" s="430" t="s">
        <v>1</v>
      </c>
      <c r="J5" s="431"/>
      <c r="K5" s="432"/>
      <c r="L5" s="24" t="s">
        <v>25</v>
      </c>
      <c r="M5" s="25"/>
      <c r="N5" s="433" t="s">
        <v>8</v>
      </c>
      <c r="O5" s="434"/>
      <c r="P5" s="434"/>
      <c r="Q5" s="434"/>
      <c r="R5" s="434"/>
      <c r="S5" s="435"/>
      <c r="T5" s="24" t="s">
        <v>29</v>
      </c>
      <c r="U5" s="24" t="s">
        <v>9</v>
      </c>
      <c r="V5" s="23" t="s">
        <v>52</v>
      </c>
      <c r="W5" s="436" t="s">
        <v>2</v>
      </c>
      <c r="X5" s="437"/>
      <c r="Y5" s="23" t="s">
        <v>0</v>
      </c>
      <c r="Z5" s="33"/>
    </row>
    <row r="6" spans="1:27" ht="22.5" x14ac:dyDescent="0.2">
      <c r="A6" s="26" t="s">
        <v>20</v>
      </c>
      <c r="B6" s="44" t="s">
        <v>95</v>
      </c>
      <c r="C6" s="44" t="s">
        <v>108</v>
      </c>
      <c r="D6" s="26" t="s">
        <v>21</v>
      </c>
      <c r="E6" s="26"/>
      <c r="F6" s="26"/>
      <c r="G6" s="27" t="s">
        <v>23</v>
      </c>
      <c r="H6" s="26" t="s">
        <v>24</v>
      </c>
      <c r="I6" s="23" t="s">
        <v>5</v>
      </c>
      <c r="J6" s="23" t="s">
        <v>57</v>
      </c>
      <c r="K6" s="23" t="s">
        <v>27</v>
      </c>
      <c r="L6" s="28" t="s">
        <v>26</v>
      </c>
      <c r="M6" s="25" t="s">
        <v>31</v>
      </c>
      <c r="N6" s="25" t="s">
        <v>11</v>
      </c>
      <c r="O6" s="25" t="s">
        <v>33</v>
      </c>
      <c r="P6" s="25" t="s">
        <v>35</v>
      </c>
      <c r="Q6" s="25" t="s">
        <v>36</v>
      </c>
      <c r="R6" s="25" t="s">
        <v>13</v>
      </c>
      <c r="S6" s="25" t="s">
        <v>9</v>
      </c>
      <c r="T6" s="28" t="s">
        <v>39</v>
      </c>
      <c r="U6" s="28" t="s">
        <v>40</v>
      </c>
      <c r="V6" s="26" t="s">
        <v>30</v>
      </c>
      <c r="W6" s="152" t="s">
        <v>192</v>
      </c>
      <c r="X6" s="23" t="s">
        <v>6</v>
      </c>
      <c r="Y6" s="26" t="s">
        <v>3</v>
      </c>
      <c r="Z6" s="35" t="s">
        <v>56</v>
      </c>
    </row>
    <row r="7" spans="1:27" x14ac:dyDescent="0.2">
      <c r="A7" s="29"/>
      <c r="B7" s="29"/>
      <c r="C7" s="29"/>
      <c r="D7" s="29"/>
      <c r="E7" s="29"/>
      <c r="F7" s="29"/>
      <c r="G7" s="29"/>
      <c r="H7" s="29"/>
      <c r="I7" s="26" t="s">
        <v>46</v>
      </c>
      <c r="J7" s="26" t="s">
        <v>58</v>
      </c>
      <c r="K7" s="26" t="s">
        <v>28</v>
      </c>
      <c r="L7" s="28" t="s">
        <v>42</v>
      </c>
      <c r="M7" s="24" t="s">
        <v>32</v>
      </c>
      <c r="N7" s="24" t="s">
        <v>12</v>
      </c>
      <c r="O7" s="24" t="s">
        <v>34</v>
      </c>
      <c r="P7" s="24" t="s">
        <v>34</v>
      </c>
      <c r="Q7" s="24" t="s">
        <v>37</v>
      </c>
      <c r="R7" s="24" t="s">
        <v>14</v>
      </c>
      <c r="S7" s="24" t="s">
        <v>38</v>
      </c>
      <c r="T7" s="28" t="s">
        <v>18</v>
      </c>
      <c r="U7" s="31" t="s">
        <v>41</v>
      </c>
      <c r="V7" s="26" t="s">
        <v>51</v>
      </c>
      <c r="W7" s="26"/>
      <c r="X7" s="26" t="s">
        <v>43</v>
      </c>
      <c r="Y7" s="26" t="s">
        <v>4</v>
      </c>
      <c r="Z7" s="34"/>
    </row>
    <row r="8" spans="1:27" ht="56.25" customHeight="1" x14ac:dyDescent="0.25">
      <c r="A8" s="402"/>
      <c r="B8" s="142" t="s">
        <v>95</v>
      </c>
      <c r="C8" s="142" t="s">
        <v>113</v>
      </c>
      <c r="D8" s="171" t="s">
        <v>312</v>
      </c>
      <c r="E8" s="142" t="s">
        <v>198</v>
      </c>
      <c r="F8" s="153" t="s">
        <v>60</v>
      </c>
      <c r="G8" s="172"/>
      <c r="H8" s="37"/>
      <c r="I8" s="173">
        <f>I9</f>
        <v>12305.41</v>
      </c>
      <c r="J8" s="173">
        <f>J9</f>
        <v>0</v>
      </c>
      <c r="K8" s="173">
        <f>K9</f>
        <v>12305.41</v>
      </c>
      <c r="L8" s="172"/>
      <c r="M8" s="172"/>
      <c r="N8" s="172"/>
      <c r="O8" s="172"/>
      <c r="P8" s="172"/>
      <c r="Q8" s="172"/>
      <c r="R8" s="172"/>
      <c r="S8" s="172"/>
      <c r="T8" s="172"/>
      <c r="U8" s="172"/>
      <c r="V8" s="173">
        <f>V9</f>
        <v>0</v>
      </c>
      <c r="W8" s="173">
        <f>W9</f>
        <v>1805.41</v>
      </c>
      <c r="X8" s="173">
        <f>X9</f>
        <v>1805.41</v>
      </c>
      <c r="Y8" s="173">
        <f>Y9</f>
        <v>10500</v>
      </c>
      <c r="Z8" s="174"/>
    </row>
    <row r="9" spans="1:27" ht="167.25" customHeight="1" x14ac:dyDescent="0.2">
      <c r="A9" s="402"/>
      <c r="B9" s="274" t="s">
        <v>320</v>
      </c>
      <c r="C9" s="268" t="s">
        <v>107</v>
      </c>
      <c r="D9" s="254" t="s">
        <v>321</v>
      </c>
      <c r="E9" s="256">
        <v>45601</v>
      </c>
      <c r="F9" s="257" t="s">
        <v>373</v>
      </c>
      <c r="G9" s="258">
        <v>15</v>
      </c>
      <c r="H9" s="259">
        <f>I9/G9</f>
        <v>820.3606666666667</v>
      </c>
      <c r="I9" s="260">
        <v>12305.41</v>
      </c>
      <c r="J9" s="261">
        <v>0</v>
      </c>
      <c r="K9" s="262">
        <f>SUM(I9:J9)</f>
        <v>12305.41</v>
      </c>
      <c r="L9" s="282">
        <f t="shared" ref="L9" si="0">IF(I9/15&lt;=SMG,0,J9/2)</f>
        <v>0</v>
      </c>
      <c r="M9" s="301">
        <f t="shared" ref="M9" si="1">(I9+L9)/G9*30.4</f>
        <v>24938.964266666666</v>
      </c>
      <c r="N9" s="301">
        <f t="shared" ref="N9" si="2">VLOOKUP(M9,Tarifa,1)</f>
        <v>15487.72</v>
      </c>
      <c r="O9" s="282">
        <f t="shared" ref="O9" si="3">M9-N9</f>
        <v>9451.2442666666666</v>
      </c>
      <c r="P9" s="283">
        <f t="shared" ref="P9" si="4">VLOOKUP(M9,Tarifa,3)</f>
        <v>0.21360000000000001</v>
      </c>
      <c r="Q9" s="282">
        <f t="shared" ref="Q9" si="5">O9*P9</f>
        <v>2018.7857753600001</v>
      </c>
      <c r="R9" s="284">
        <f t="shared" ref="R9" si="6">VLOOKUP(M9,Tarifa,2)</f>
        <v>1640.18</v>
      </c>
      <c r="S9" s="282">
        <f t="shared" ref="S9" si="7">Q9+R9</f>
        <v>3658.9657753600004</v>
      </c>
      <c r="T9" s="282">
        <f t="shared" ref="T9" si="8">VLOOKUP(M9,Credito,2)</f>
        <v>0</v>
      </c>
      <c r="U9" s="282">
        <f t="shared" ref="U9" si="9">ROUND((S9-T9)/30.4*G9,2)</f>
        <v>1805.41</v>
      </c>
      <c r="V9" s="262">
        <f>-IF(U9&gt;0,0,0)</f>
        <v>0</v>
      </c>
      <c r="W9" s="262">
        <f t="shared" ref="W9" si="10">IF(I9/15&lt;=SMG,0,IF(U9&lt;0,0,U9))</f>
        <v>1805.41</v>
      </c>
      <c r="X9" s="262">
        <f>SUM(W9:W9)</f>
        <v>1805.41</v>
      </c>
      <c r="Y9" s="262">
        <f>K9+V9-X9</f>
        <v>10500</v>
      </c>
      <c r="Z9" s="263"/>
    </row>
    <row r="10" spans="1:27" ht="56.25" customHeight="1" x14ac:dyDescent="0.25">
      <c r="A10" s="133"/>
      <c r="B10" s="142" t="s">
        <v>95</v>
      </c>
      <c r="C10" s="142" t="s">
        <v>113</v>
      </c>
      <c r="D10" s="171" t="s">
        <v>312</v>
      </c>
      <c r="E10" s="161"/>
      <c r="F10" s="153" t="s">
        <v>60</v>
      </c>
      <c r="G10" s="172"/>
      <c r="H10" s="37"/>
      <c r="I10" s="173">
        <f>I11</f>
        <v>8299</v>
      </c>
      <c r="J10" s="173">
        <f>J11</f>
        <v>0</v>
      </c>
      <c r="K10" s="173">
        <f>K11</f>
        <v>8299</v>
      </c>
      <c r="L10" s="172"/>
      <c r="M10" s="172"/>
      <c r="N10" s="172"/>
      <c r="O10" s="172"/>
      <c r="P10" s="172"/>
      <c r="Q10" s="172"/>
      <c r="R10" s="172"/>
      <c r="S10" s="172"/>
      <c r="T10" s="172"/>
      <c r="U10" s="172"/>
      <c r="V10" s="173">
        <f>V11</f>
        <v>0</v>
      </c>
      <c r="W10" s="173">
        <f>W11</f>
        <v>949.64</v>
      </c>
      <c r="X10" s="173">
        <f>X11</f>
        <v>949.64</v>
      </c>
      <c r="Y10" s="173">
        <f>Y11</f>
        <v>7349.36</v>
      </c>
      <c r="Z10" s="174"/>
    </row>
    <row r="11" spans="1:27" s="305" customFormat="1" ht="166.5" customHeight="1" x14ac:dyDescent="0.2">
      <c r="A11" s="302"/>
      <c r="B11" s="252" t="s">
        <v>319</v>
      </c>
      <c r="C11" s="253" t="s">
        <v>107</v>
      </c>
      <c r="D11" s="254" t="s">
        <v>329</v>
      </c>
      <c r="E11" s="278">
        <v>45581</v>
      </c>
      <c r="F11" s="271" t="s">
        <v>313</v>
      </c>
      <c r="G11" s="272">
        <v>15</v>
      </c>
      <c r="H11" s="304">
        <f>ROUND(I11/G11,2)</f>
        <v>553.27</v>
      </c>
      <c r="I11" s="279">
        <v>8299</v>
      </c>
      <c r="J11" s="280">
        <v>0</v>
      </c>
      <c r="K11" s="281">
        <f t="shared" ref="K11" si="11">SUM(I11:J11)</f>
        <v>8299</v>
      </c>
      <c r="L11" s="282">
        <f>IF(I11/15&lt;=SMG,0,J11/2)</f>
        <v>0</v>
      </c>
      <c r="M11" s="301">
        <f>(I11+L11)/G11*30.4</f>
        <v>16819.306666666664</v>
      </c>
      <c r="N11" s="301">
        <f>VLOOKUP(M11,Tarifa,1)</f>
        <v>15487.72</v>
      </c>
      <c r="O11" s="282">
        <f>M11-N11</f>
        <v>1331.5866666666643</v>
      </c>
      <c r="P11" s="283">
        <f>VLOOKUP(M11,Tarifa,3)</f>
        <v>0.21360000000000001</v>
      </c>
      <c r="Q11" s="282">
        <f>O11*P11</f>
        <v>284.4269119999995</v>
      </c>
      <c r="R11" s="284">
        <f>VLOOKUP(M11,Tarifa,2)</f>
        <v>1640.18</v>
      </c>
      <c r="S11" s="282">
        <f>Q11+R11</f>
        <v>1924.6069119999995</v>
      </c>
      <c r="T11" s="282">
        <f>VLOOKUP(M11,Credito,2)</f>
        <v>0</v>
      </c>
      <c r="U11" s="282">
        <f>ROUND((S11-T11)/30.4*G11,2)</f>
        <v>949.64</v>
      </c>
      <c r="V11" s="281">
        <f>-IF(U11&gt;0,0,0)</f>
        <v>0</v>
      </c>
      <c r="W11" s="281">
        <f t="shared" ref="W11" si="12">IF(I11/15&lt;=SMG,0,IF(U11&lt;0,0,U11))</f>
        <v>949.64</v>
      </c>
      <c r="X11" s="281">
        <f>SUM(W11:W11)</f>
        <v>949.64</v>
      </c>
      <c r="Y11" s="281">
        <f>K11+V11-X11</f>
        <v>7349.36</v>
      </c>
      <c r="Z11" s="263"/>
    </row>
    <row r="12" spans="1:27" ht="53.25" customHeight="1" x14ac:dyDescent="0.25">
      <c r="A12" s="133"/>
      <c r="B12" s="142" t="s">
        <v>95</v>
      </c>
      <c r="C12" s="142" t="s">
        <v>113</v>
      </c>
      <c r="D12" s="157" t="s">
        <v>74</v>
      </c>
      <c r="E12" s="161"/>
      <c r="F12" s="153" t="s">
        <v>60</v>
      </c>
      <c r="G12" s="153"/>
      <c r="H12" s="37"/>
      <c r="I12" s="173">
        <f>SUM(I13)</f>
        <v>12829</v>
      </c>
      <c r="J12" s="173">
        <f>SUM(J13)</f>
        <v>0</v>
      </c>
      <c r="K12" s="173">
        <f>SUM(K13)</f>
        <v>12829</v>
      </c>
      <c r="L12" s="172"/>
      <c r="M12" s="172"/>
      <c r="N12" s="172"/>
      <c r="O12" s="172"/>
      <c r="P12" s="172"/>
      <c r="Q12" s="172"/>
      <c r="R12" s="172"/>
      <c r="S12" s="172"/>
      <c r="T12" s="172"/>
      <c r="U12" s="172"/>
      <c r="V12" s="173">
        <f>SUM(V13)</f>
        <v>0</v>
      </c>
      <c r="W12" s="173">
        <f>SUM(W13)</f>
        <v>1917.25</v>
      </c>
      <c r="X12" s="173">
        <f>SUM(X13)</f>
        <v>1917.25</v>
      </c>
      <c r="Y12" s="173">
        <f>SUM(Y13)</f>
        <v>10911.75</v>
      </c>
      <c r="Z12" s="174"/>
    </row>
    <row r="13" spans="1:27" s="305" customFormat="1" ht="165.75" customHeight="1" x14ac:dyDescent="0.2">
      <c r="A13" s="302"/>
      <c r="B13" s="306">
        <v>160</v>
      </c>
      <c r="C13" s="274" t="s">
        <v>107</v>
      </c>
      <c r="D13" s="254" t="s">
        <v>299</v>
      </c>
      <c r="E13" s="278">
        <v>45566</v>
      </c>
      <c r="F13" s="255" t="s">
        <v>74</v>
      </c>
      <c r="G13" s="303">
        <v>15</v>
      </c>
      <c r="H13" s="304">
        <f>ROUND(I13/G13,2)</f>
        <v>855.27</v>
      </c>
      <c r="I13" s="308">
        <v>12829</v>
      </c>
      <c r="J13" s="309">
        <v>0</v>
      </c>
      <c r="K13" s="310">
        <f>SUM(I13:J13)</f>
        <v>12829</v>
      </c>
      <c r="L13" s="282">
        <f>IF(I13/15&lt;=SMG,0,J13/2)</f>
        <v>0</v>
      </c>
      <c r="M13" s="301">
        <f>(I13+L13)/G13*30.4</f>
        <v>26000.106666666667</v>
      </c>
      <c r="N13" s="301">
        <f>VLOOKUP(M13,Tarifa,1)</f>
        <v>15487.72</v>
      </c>
      <c r="O13" s="282">
        <f>M13-N13</f>
        <v>10512.386666666667</v>
      </c>
      <c r="P13" s="283">
        <f>VLOOKUP(M13,Tarifa,3)</f>
        <v>0.21360000000000001</v>
      </c>
      <c r="Q13" s="282">
        <f>O13*P13</f>
        <v>2245.4457920000004</v>
      </c>
      <c r="R13" s="284">
        <f>VLOOKUP(M13,Tarifa,2)</f>
        <v>1640.18</v>
      </c>
      <c r="S13" s="282">
        <f>Q13+R13</f>
        <v>3885.6257920000007</v>
      </c>
      <c r="T13" s="282">
        <f>VLOOKUP(M13,Credito,2)</f>
        <v>0</v>
      </c>
      <c r="U13" s="282">
        <f>ROUND((S13-T13)/30.4*G13,2)</f>
        <v>1917.25</v>
      </c>
      <c r="V13" s="281">
        <f>-IF(U13&gt;0,0,0)</f>
        <v>0</v>
      </c>
      <c r="W13" s="281">
        <f>IF(I13/15&lt;=SMG,0,IF(U13&lt;0,0,U13))</f>
        <v>1917.25</v>
      </c>
      <c r="X13" s="281">
        <f>SUM(W13:W13)</f>
        <v>1917.25</v>
      </c>
      <c r="Y13" s="281">
        <f>K13+V13-X13</f>
        <v>10911.75</v>
      </c>
      <c r="Z13" s="263"/>
    </row>
    <row r="14" spans="1:27" ht="40.5" customHeight="1" thickBot="1" x14ac:dyDescent="0.3">
      <c r="A14" s="416" t="s">
        <v>44</v>
      </c>
      <c r="B14" s="417"/>
      <c r="C14" s="417"/>
      <c r="D14" s="417"/>
      <c r="E14" s="417"/>
      <c r="F14" s="417"/>
      <c r="G14" s="417"/>
      <c r="H14" s="418"/>
      <c r="I14" s="151">
        <f>I10+I12</f>
        <v>21128</v>
      </c>
      <c r="J14" s="151">
        <f>J10+J12</f>
        <v>0</v>
      </c>
      <c r="K14" s="151">
        <f>K10+K12</f>
        <v>21128</v>
      </c>
      <c r="L14" s="132" t="e">
        <f>SUM(#REF!)</f>
        <v>#REF!</v>
      </c>
      <c r="M14" s="132" t="e">
        <f>SUM(#REF!)</f>
        <v>#REF!</v>
      </c>
      <c r="N14" s="132" t="e">
        <f>SUM(#REF!)</f>
        <v>#REF!</v>
      </c>
      <c r="O14" s="132" t="e">
        <f>SUM(#REF!)</f>
        <v>#REF!</v>
      </c>
      <c r="P14" s="132" t="e">
        <f>SUM(#REF!)</f>
        <v>#REF!</v>
      </c>
      <c r="Q14" s="132" t="e">
        <f>SUM(#REF!)</f>
        <v>#REF!</v>
      </c>
      <c r="R14" s="132" t="e">
        <f>SUM(#REF!)</f>
        <v>#REF!</v>
      </c>
      <c r="S14" s="132" t="e">
        <f>SUM(#REF!)</f>
        <v>#REF!</v>
      </c>
      <c r="T14" s="132" t="e">
        <f>SUM(#REF!)</f>
        <v>#REF!</v>
      </c>
      <c r="U14" s="132" t="e">
        <f>SUM(#REF!)</f>
        <v>#REF!</v>
      </c>
      <c r="V14" s="151">
        <f>V10+V12</f>
        <v>0</v>
      </c>
      <c r="W14" s="151">
        <f>W10+W12</f>
        <v>2866.89</v>
      </c>
      <c r="X14" s="151">
        <f>X10+X12</f>
        <v>2866.89</v>
      </c>
      <c r="Y14" s="151">
        <f>Y10+Y12</f>
        <v>18261.11</v>
      </c>
      <c r="Z14" s="105"/>
    </row>
    <row r="15" spans="1:27" ht="13.5" thickTop="1" x14ac:dyDescent="0.2"/>
  </sheetData>
  <mergeCells count="7">
    <mergeCell ref="A14:H14"/>
    <mergeCell ref="A1:Z1"/>
    <mergeCell ref="A2:Z2"/>
    <mergeCell ref="I5:K5"/>
    <mergeCell ref="N5:S5"/>
    <mergeCell ref="W5:X5"/>
    <mergeCell ref="B3:AA3"/>
  </mergeCells>
  <pageMargins left="0.27559055118110237" right="0.27559055118110237" top="0.74803149606299213" bottom="0.35433070866141736" header="0.31496062992125984" footer="0.31496062992125984"/>
  <pageSetup scale="40" orientation="landscape" horizontalDpi="4294967293" verticalDpi="36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F46"/>
  <sheetViews>
    <sheetView topLeftCell="B1" zoomScale="66" zoomScaleNormal="66" workbookViewId="0">
      <selection activeCell="I9" sqref="I9"/>
    </sheetView>
  </sheetViews>
  <sheetFormatPr baseColWidth="10" defaultColWidth="11.42578125" defaultRowHeight="12.75" x14ac:dyDescent="0.2"/>
  <cols>
    <col min="1" max="1" width="5.5703125" hidden="1" customWidth="1"/>
    <col min="2" max="2" width="11.42578125" customWidth="1"/>
    <col min="3" max="3" width="9.28515625" customWidth="1"/>
    <col min="4" max="4" width="25.7109375" customWidth="1"/>
    <col min="5" max="5" width="17.85546875" customWidth="1"/>
    <col min="6" max="6" width="32.28515625" customWidth="1"/>
    <col min="7" max="7" width="10" hidden="1" customWidth="1"/>
    <col min="8" max="8" width="12.7109375" hidden="1" customWidth="1"/>
    <col min="9" max="9" width="18" customWidth="1"/>
    <col min="10" max="10" width="17.42578125" customWidth="1"/>
    <col min="11" max="11" width="18.28515625" customWidth="1"/>
    <col min="12" max="12" width="13.140625" hidden="1" customWidth="1"/>
    <col min="13" max="13" width="15.140625" hidden="1" customWidth="1"/>
    <col min="14" max="14" width="14" hidden="1" customWidth="1"/>
    <col min="15" max="15" width="14.5703125" hidden="1" customWidth="1"/>
    <col min="16" max="17" width="13.140625" hidden="1" customWidth="1"/>
    <col min="18" max="19" width="14.28515625" hidden="1" customWidth="1"/>
    <col min="20" max="21" width="13.140625" hidden="1" customWidth="1"/>
    <col min="22" max="22" width="9.7109375" customWidth="1"/>
    <col min="23" max="23" width="16.42578125" customWidth="1"/>
    <col min="24" max="24" width="15.7109375" customWidth="1"/>
    <col min="25" max="25" width="18.28515625" customWidth="1"/>
    <col min="26" max="26" width="79.28515625" customWidth="1"/>
    <col min="27" max="27" width="1.42578125" customWidth="1"/>
  </cols>
  <sheetData>
    <row r="1" spans="1:32" ht="19.5" x14ac:dyDescent="0.25">
      <c r="A1" s="419" t="s">
        <v>76</v>
      </c>
      <c r="B1" s="419"/>
      <c r="C1" s="419"/>
      <c r="D1" s="419"/>
      <c r="E1" s="419"/>
      <c r="F1" s="419"/>
      <c r="G1" s="419"/>
      <c r="H1" s="419"/>
      <c r="I1" s="419"/>
      <c r="J1" s="419"/>
      <c r="K1" s="419"/>
      <c r="L1" s="419"/>
      <c r="M1" s="419"/>
      <c r="N1" s="419"/>
      <c r="O1" s="419"/>
      <c r="P1" s="419"/>
      <c r="Q1" s="419"/>
      <c r="R1" s="419"/>
      <c r="S1" s="419"/>
      <c r="T1" s="419"/>
      <c r="U1" s="419"/>
      <c r="V1" s="419"/>
      <c r="W1" s="419"/>
      <c r="X1" s="419"/>
      <c r="Y1" s="419"/>
      <c r="Z1" s="419"/>
    </row>
    <row r="2" spans="1:32" ht="19.5" x14ac:dyDescent="0.25">
      <c r="A2" s="419" t="s">
        <v>63</v>
      </c>
      <c r="B2" s="419"/>
      <c r="C2" s="419"/>
      <c r="D2" s="419"/>
      <c r="E2" s="419"/>
      <c r="F2" s="419"/>
      <c r="G2" s="419"/>
      <c r="H2" s="419"/>
      <c r="I2" s="419"/>
      <c r="J2" s="419"/>
      <c r="K2" s="419"/>
      <c r="L2" s="419"/>
      <c r="M2" s="419"/>
      <c r="N2" s="419"/>
      <c r="O2" s="419"/>
      <c r="P2" s="419"/>
      <c r="Q2" s="419"/>
      <c r="R2" s="419"/>
      <c r="S2" s="419"/>
      <c r="T2" s="419"/>
      <c r="U2" s="419"/>
      <c r="V2" s="419"/>
      <c r="W2" s="419"/>
      <c r="X2" s="419"/>
      <c r="Y2" s="419"/>
      <c r="Z2" s="419"/>
    </row>
    <row r="3" spans="1:32" ht="19.5" x14ac:dyDescent="0.25">
      <c r="A3" s="420" t="str">
        <f>PRESIDENCIA!A3</f>
        <v>SUELDO  DEL 01 AL 15 DE ABRIL DE 2025</v>
      </c>
      <c r="B3" s="420"/>
      <c r="C3" s="420"/>
      <c r="D3" s="420"/>
      <c r="E3" s="420"/>
      <c r="F3" s="420"/>
      <c r="G3" s="420"/>
      <c r="H3" s="420"/>
      <c r="I3" s="420"/>
      <c r="J3" s="420"/>
      <c r="K3" s="420"/>
      <c r="L3" s="420"/>
      <c r="M3" s="420"/>
      <c r="N3" s="420"/>
      <c r="O3" s="420"/>
      <c r="P3" s="420"/>
      <c r="Q3" s="420"/>
      <c r="R3" s="420"/>
      <c r="S3" s="420"/>
      <c r="T3" s="420"/>
      <c r="U3" s="420"/>
      <c r="V3" s="420"/>
      <c r="W3" s="420"/>
      <c r="X3" s="420"/>
      <c r="Y3" s="420"/>
      <c r="Z3" s="420"/>
    </row>
    <row r="4" spans="1:32" ht="15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</row>
    <row r="5" spans="1:32" s="51" customFormat="1" ht="12.75" customHeight="1" x14ac:dyDescent="0.2">
      <c r="A5" s="47"/>
      <c r="B5" s="47"/>
      <c r="C5" s="440" t="s">
        <v>108</v>
      </c>
      <c r="D5" s="47"/>
      <c r="E5" s="47"/>
      <c r="F5" s="47"/>
      <c r="G5" s="48" t="s">
        <v>22</v>
      </c>
      <c r="H5" s="48" t="s">
        <v>5</v>
      </c>
      <c r="I5" s="443" t="s">
        <v>1</v>
      </c>
      <c r="J5" s="444"/>
      <c r="K5" s="445"/>
      <c r="L5" s="49" t="s">
        <v>25</v>
      </c>
      <c r="M5" s="50"/>
      <c r="N5" s="446" t="s">
        <v>8</v>
      </c>
      <c r="O5" s="447"/>
      <c r="P5" s="447"/>
      <c r="Q5" s="447"/>
      <c r="R5" s="447"/>
      <c r="S5" s="448"/>
      <c r="T5" s="49" t="s">
        <v>29</v>
      </c>
      <c r="U5" s="49" t="s">
        <v>9</v>
      </c>
      <c r="V5" s="48" t="s">
        <v>52</v>
      </c>
      <c r="W5" s="449" t="s">
        <v>2</v>
      </c>
      <c r="X5" s="450"/>
      <c r="Y5" s="48" t="s">
        <v>0</v>
      </c>
      <c r="Z5" s="47"/>
    </row>
    <row r="6" spans="1:32" s="51" customFormat="1" ht="24" x14ac:dyDescent="0.2">
      <c r="A6" s="52" t="s">
        <v>20</v>
      </c>
      <c r="B6" s="46" t="s">
        <v>95</v>
      </c>
      <c r="C6" s="441"/>
      <c r="D6" s="52" t="s">
        <v>21</v>
      </c>
      <c r="E6" s="52"/>
      <c r="F6" s="52"/>
      <c r="G6" s="53" t="s">
        <v>23</v>
      </c>
      <c r="H6" s="52" t="s">
        <v>24</v>
      </c>
      <c r="I6" s="48" t="s">
        <v>5</v>
      </c>
      <c r="J6" s="48" t="s">
        <v>57</v>
      </c>
      <c r="K6" s="48" t="s">
        <v>27</v>
      </c>
      <c r="L6" s="54" t="s">
        <v>26</v>
      </c>
      <c r="M6" s="50" t="s">
        <v>31</v>
      </c>
      <c r="N6" s="50" t="s">
        <v>11</v>
      </c>
      <c r="O6" s="50" t="s">
        <v>33</v>
      </c>
      <c r="P6" s="50" t="s">
        <v>35</v>
      </c>
      <c r="Q6" s="50" t="s">
        <v>36</v>
      </c>
      <c r="R6" s="50" t="s">
        <v>13</v>
      </c>
      <c r="S6" s="50" t="s">
        <v>9</v>
      </c>
      <c r="T6" s="54" t="s">
        <v>39</v>
      </c>
      <c r="U6" s="54" t="s">
        <v>40</v>
      </c>
      <c r="V6" s="52" t="s">
        <v>30</v>
      </c>
      <c r="W6" s="48" t="s">
        <v>192</v>
      </c>
      <c r="X6" s="48" t="s">
        <v>6</v>
      </c>
      <c r="Y6" s="52" t="s">
        <v>3</v>
      </c>
      <c r="Z6" s="52" t="s">
        <v>56</v>
      </c>
    </row>
    <row r="7" spans="1:32" s="51" customFormat="1" ht="12" x14ac:dyDescent="0.2">
      <c r="A7" s="60"/>
      <c r="B7" s="60"/>
      <c r="C7" s="442"/>
      <c r="D7" s="60"/>
      <c r="E7" s="60"/>
      <c r="F7" s="60"/>
      <c r="G7" s="60"/>
      <c r="H7" s="60"/>
      <c r="I7" s="60" t="s">
        <v>46</v>
      </c>
      <c r="J7" s="60" t="s">
        <v>58</v>
      </c>
      <c r="K7" s="60" t="s">
        <v>28</v>
      </c>
      <c r="L7" s="61" t="s">
        <v>42</v>
      </c>
      <c r="M7" s="49" t="s">
        <v>32</v>
      </c>
      <c r="N7" s="49" t="s">
        <v>12</v>
      </c>
      <c r="O7" s="49" t="s">
        <v>34</v>
      </c>
      <c r="P7" s="49" t="s">
        <v>34</v>
      </c>
      <c r="Q7" s="49" t="s">
        <v>37</v>
      </c>
      <c r="R7" s="49" t="s">
        <v>14</v>
      </c>
      <c r="S7" s="49" t="s">
        <v>38</v>
      </c>
      <c r="T7" s="54" t="s">
        <v>18</v>
      </c>
      <c r="U7" s="55" t="s">
        <v>114</v>
      </c>
      <c r="V7" s="60" t="s">
        <v>51</v>
      </c>
      <c r="W7" s="60"/>
      <c r="X7" s="60" t="s">
        <v>43</v>
      </c>
      <c r="Y7" s="60" t="s">
        <v>4</v>
      </c>
      <c r="Z7" s="57"/>
    </row>
    <row r="8" spans="1:32" s="51" customFormat="1" ht="35.25" customHeight="1" x14ac:dyDescent="0.25">
      <c r="A8" s="62"/>
      <c r="B8" s="124"/>
      <c r="C8" s="124"/>
      <c r="D8" s="123" t="s">
        <v>67</v>
      </c>
      <c r="E8" s="122" t="s">
        <v>198</v>
      </c>
      <c r="F8" s="124" t="s">
        <v>60</v>
      </c>
      <c r="G8" s="124"/>
      <c r="H8" s="124"/>
      <c r="I8" s="124"/>
      <c r="J8" s="124"/>
      <c r="K8" s="124"/>
      <c r="L8" s="124"/>
      <c r="M8" s="124"/>
      <c r="N8" s="124"/>
      <c r="O8" s="124"/>
      <c r="P8" s="124"/>
      <c r="Q8" s="124"/>
      <c r="R8" s="124"/>
      <c r="S8" s="124"/>
      <c r="T8" s="124"/>
      <c r="U8" s="125"/>
      <c r="V8" s="124"/>
      <c r="W8" s="124"/>
      <c r="X8" s="124"/>
      <c r="Y8" s="124"/>
      <c r="Z8" s="63"/>
    </row>
    <row r="9" spans="1:32" s="265" customFormat="1" ht="217.5" customHeight="1" x14ac:dyDescent="0.2">
      <c r="A9" s="251" t="s">
        <v>83</v>
      </c>
      <c r="B9" s="252" t="s">
        <v>298</v>
      </c>
      <c r="C9" s="253" t="s">
        <v>107</v>
      </c>
      <c r="D9" s="254" t="s">
        <v>269</v>
      </c>
      <c r="E9" s="256">
        <v>45566</v>
      </c>
      <c r="F9" s="257" t="s">
        <v>330</v>
      </c>
      <c r="G9" s="258">
        <v>15</v>
      </c>
      <c r="H9" s="259">
        <f t="shared" ref="H9:H12" si="0">I9/G9</f>
        <v>803.4</v>
      </c>
      <c r="I9" s="260">
        <v>12051</v>
      </c>
      <c r="J9" s="261">
        <v>0</v>
      </c>
      <c r="K9" s="262">
        <f>SUM(I9:J9)</f>
        <v>12051</v>
      </c>
      <c r="L9" s="282">
        <f t="shared" ref="L9:L12" si="1">IF(I9/15&lt;=SMG,0,J9/2)</f>
        <v>0</v>
      </c>
      <c r="M9" s="301">
        <f t="shared" ref="M9:M12" si="2">(I9+L9)/G9*30.4</f>
        <v>24423.359999999997</v>
      </c>
      <c r="N9" s="301">
        <f t="shared" ref="N9:N12" si="3">VLOOKUP(M9,Tarifa,1)</f>
        <v>15487.72</v>
      </c>
      <c r="O9" s="282">
        <f t="shared" ref="O9:O12" si="4">M9-N9</f>
        <v>8935.6399999999976</v>
      </c>
      <c r="P9" s="283">
        <f t="shared" ref="P9:P12" si="5">VLOOKUP(M9,Tarifa,3)</f>
        <v>0.21360000000000001</v>
      </c>
      <c r="Q9" s="282">
        <f t="shared" ref="Q9:Q12" si="6">O9*P9</f>
        <v>1908.6527039999996</v>
      </c>
      <c r="R9" s="284">
        <f t="shared" ref="R9:R12" si="7">VLOOKUP(M9,Tarifa,2)</f>
        <v>1640.18</v>
      </c>
      <c r="S9" s="282">
        <f t="shared" ref="S9:S12" si="8">Q9+R9</f>
        <v>3548.8327039999995</v>
      </c>
      <c r="T9" s="282">
        <f t="shared" ref="T9:T12" si="9">VLOOKUP(M9,Credito,2)</f>
        <v>0</v>
      </c>
      <c r="U9" s="282">
        <f t="shared" ref="U9:U12" si="10">ROUND((S9-T9)/30.4*G9,2)</f>
        <v>1751.07</v>
      </c>
      <c r="V9" s="262">
        <f>-IF(U9&gt;0,0,0)</f>
        <v>0</v>
      </c>
      <c r="W9" s="262">
        <f t="shared" ref="W9" si="11">IF(I9/15&lt;=SMG,0,IF(U9&lt;0,0,U9))</f>
        <v>1751.07</v>
      </c>
      <c r="X9" s="262">
        <f t="shared" ref="X9:X14" si="12">SUM(W9:W9)</f>
        <v>1751.07</v>
      </c>
      <c r="Y9" s="262">
        <f t="shared" ref="Y9:Y14" si="13">K9+V9-X9</f>
        <v>10299.93</v>
      </c>
      <c r="Z9" s="263"/>
      <c r="AA9" s="264"/>
      <c r="AF9" s="266"/>
    </row>
    <row r="10" spans="1:32" s="265" customFormat="1" ht="217.5" customHeight="1" x14ac:dyDescent="0.2">
      <c r="A10" s="251"/>
      <c r="B10" s="252" t="s">
        <v>317</v>
      </c>
      <c r="C10" s="253" t="s">
        <v>107</v>
      </c>
      <c r="D10" s="254" t="s">
        <v>318</v>
      </c>
      <c r="E10" s="256">
        <v>45581</v>
      </c>
      <c r="F10" s="257" t="s">
        <v>334</v>
      </c>
      <c r="G10" s="258">
        <v>15</v>
      </c>
      <c r="H10" s="259">
        <f t="shared" si="0"/>
        <v>803.4</v>
      </c>
      <c r="I10" s="260">
        <v>12051</v>
      </c>
      <c r="J10" s="261">
        <v>0</v>
      </c>
      <c r="K10" s="262">
        <f>SUM(I10:J10)</f>
        <v>12051</v>
      </c>
      <c r="L10" s="282">
        <f t="shared" si="1"/>
        <v>0</v>
      </c>
      <c r="M10" s="301">
        <f t="shared" si="2"/>
        <v>24423.359999999997</v>
      </c>
      <c r="N10" s="301">
        <f t="shared" si="3"/>
        <v>15487.72</v>
      </c>
      <c r="O10" s="282">
        <f t="shared" si="4"/>
        <v>8935.6399999999976</v>
      </c>
      <c r="P10" s="283">
        <f t="shared" si="5"/>
        <v>0.21360000000000001</v>
      </c>
      <c r="Q10" s="282">
        <f t="shared" si="6"/>
        <v>1908.6527039999996</v>
      </c>
      <c r="R10" s="284">
        <f t="shared" si="7"/>
        <v>1640.18</v>
      </c>
      <c r="S10" s="282">
        <f t="shared" si="8"/>
        <v>3548.8327039999995</v>
      </c>
      <c r="T10" s="282">
        <f t="shared" si="9"/>
        <v>0</v>
      </c>
      <c r="U10" s="282">
        <f t="shared" si="10"/>
        <v>1751.07</v>
      </c>
      <c r="V10" s="262">
        <f>-IF(U10&gt;0,0,0)</f>
        <v>0</v>
      </c>
      <c r="W10" s="262">
        <f t="shared" ref="W10" si="14">IF(I10/15&lt;=SMG,0,IF(U10&lt;0,0,U10))</f>
        <v>1751.07</v>
      </c>
      <c r="X10" s="262">
        <f t="shared" si="12"/>
        <v>1751.07</v>
      </c>
      <c r="Y10" s="262">
        <f t="shared" si="13"/>
        <v>10299.93</v>
      </c>
      <c r="Z10" s="263"/>
      <c r="AA10" s="264"/>
      <c r="AF10" s="266"/>
    </row>
    <row r="11" spans="1:32" s="265" customFormat="1" ht="217.5" customHeight="1" x14ac:dyDescent="0.2">
      <c r="A11" s="251"/>
      <c r="B11" s="252" t="s">
        <v>209</v>
      </c>
      <c r="C11" s="253" t="s">
        <v>107</v>
      </c>
      <c r="D11" s="254" t="s">
        <v>216</v>
      </c>
      <c r="E11" s="256">
        <v>45139</v>
      </c>
      <c r="F11" s="257" t="s">
        <v>217</v>
      </c>
      <c r="G11" s="258">
        <v>15</v>
      </c>
      <c r="H11" s="259">
        <f t="shared" si="0"/>
        <v>309.60000000000002</v>
      </c>
      <c r="I11" s="260">
        <v>4644</v>
      </c>
      <c r="J11" s="261">
        <v>0</v>
      </c>
      <c r="K11" s="262">
        <f>SUM(I11:J11)</f>
        <v>4644</v>
      </c>
      <c r="L11" s="282">
        <f t="shared" si="1"/>
        <v>0</v>
      </c>
      <c r="M11" s="301">
        <f t="shared" si="2"/>
        <v>9411.84</v>
      </c>
      <c r="N11" s="301">
        <f t="shared" si="3"/>
        <v>6332.06</v>
      </c>
      <c r="O11" s="282">
        <f t="shared" si="4"/>
        <v>3079.7799999999997</v>
      </c>
      <c r="P11" s="283">
        <f t="shared" si="5"/>
        <v>0.10879999999999999</v>
      </c>
      <c r="Q11" s="282">
        <f t="shared" si="6"/>
        <v>335.08006399999994</v>
      </c>
      <c r="R11" s="284">
        <f t="shared" si="7"/>
        <v>371.83</v>
      </c>
      <c r="S11" s="282">
        <f t="shared" si="8"/>
        <v>706.91006399999992</v>
      </c>
      <c r="T11" s="282">
        <f t="shared" si="9"/>
        <v>475</v>
      </c>
      <c r="U11" s="282">
        <f t="shared" si="10"/>
        <v>114.43</v>
      </c>
      <c r="V11" s="262">
        <f t="shared" ref="V11:V12" si="15">-IF(U11&gt;0,0,0)</f>
        <v>0</v>
      </c>
      <c r="W11" s="262">
        <f>IF(I11/15&lt;=SMG,0,IF(U11&lt;0,0,U11))</f>
        <v>114.43</v>
      </c>
      <c r="X11" s="262">
        <f t="shared" si="12"/>
        <v>114.43</v>
      </c>
      <c r="Y11" s="262">
        <f t="shared" si="13"/>
        <v>4529.57</v>
      </c>
      <c r="Z11" s="263"/>
      <c r="AA11" s="264"/>
      <c r="AF11" s="266"/>
    </row>
    <row r="12" spans="1:32" s="265" customFormat="1" ht="217.5" customHeight="1" x14ac:dyDescent="0.2">
      <c r="A12" s="251"/>
      <c r="B12" s="253" t="s">
        <v>155</v>
      </c>
      <c r="C12" s="253" t="s">
        <v>107</v>
      </c>
      <c r="D12" s="254" t="s">
        <v>156</v>
      </c>
      <c r="E12" s="256">
        <v>43983</v>
      </c>
      <c r="F12" s="257" t="s">
        <v>331</v>
      </c>
      <c r="G12" s="258">
        <v>15</v>
      </c>
      <c r="H12" s="259">
        <f t="shared" si="0"/>
        <v>803.4</v>
      </c>
      <c r="I12" s="260">
        <v>12051</v>
      </c>
      <c r="J12" s="261">
        <v>0</v>
      </c>
      <c r="K12" s="262">
        <f>SUM(I12:J12)</f>
        <v>12051</v>
      </c>
      <c r="L12" s="282">
        <f t="shared" si="1"/>
        <v>0</v>
      </c>
      <c r="M12" s="301">
        <f t="shared" si="2"/>
        <v>24423.359999999997</v>
      </c>
      <c r="N12" s="301">
        <f t="shared" si="3"/>
        <v>15487.72</v>
      </c>
      <c r="O12" s="282">
        <f t="shared" si="4"/>
        <v>8935.6399999999976</v>
      </c>
      <c r="P12" s="283">
        <f t="shared" si="5"/>
        <v>0.21360000000000001</v>
      </c>
      <c r="Q12" s="282">
        <f t="shared" si="6"/>
        <v>1908.6527039999996</v>
      </c>
      <c r="R12" s="284">
        <f t="shared" si="7"/>
        <v>1640.18</v>
      </c>
      <c r="S12" s="282">
        <f t="shared" si="8"/>
        <v>3548.8327039999995</v>
      </c>
      <c r="T12" s="282">
        <f t="shared" si="9"/>
        <v>0</v>
      </c>
      <c r="U12" s="282">
        <f t="shared" si="10"/>
        <v>1751.07</v>
      </c>
      <c r="V12" s="262">
        <f t="shared" si="15"/>
        <v>0</v>
      </c>
      <c r="W12" s="262">
        <f t="shared" ref="W12" si="16">IF(I12/15&lt;=SMG,0,IF(U12&lt;0,0,U12))</f>
        <v>1751.07</v>
      </c>
      <c r="X12" s="262">
        <f t="shared" si="12"/>
        <v>1751.07</v>
      </c>
      <c r="Y12" s="262">
        <f t="shared" si="13"/>
        <v>10299.93</v>
      </c>
      <c r="Z12" s="263"/>
      <c r="AA12" s="264"/>
      <c r="AF12" s="266"/>
    </row>
    <row r="13" spans="1:32" s="265" customFormat="1" ht="221.25" customHeight="1" x14ac:dyDescent="0.2">
      <c r="A13" s="251"/>
      <c r="B13" s="274" t="s">
        <v>194</v>
      </c>
      <c r="C13" s="268" t="s">
        <v>107</v>
      </c>
      <c r="D13" s="275" t="s">
        <v>193</v>
      </c>
      <c r="E13" s="277">
        <v>44958</v>
      </c>
      <c r="F13" s="271" t="s">
        <v>128</v>
      </c>
      <c r="G13" s="272">
        <v>15</v>
      </c>
      <c r="H13" s="259">
        <f t="shared" ref="H13:H14" si="17">I13/G13</f>
        <v>380.43333333333334</v>
      </c>
      <c r="I13" s="260">
        <v>5706.5</v>
      </c>
      <c r="J13" s="261">
        <v>0</v>
      </c>
      <c r="K13" s="262">
        <f>SUM(I13:J13)</f>
        <v>5706.5</v>
      </c>
      <c r="L13" s="282">
        <f t="shared" ref="L13:L14" si="18">IF(I13/15&lt;=SMG,0,J13/2)</f>
        <v>0</v>
      </c>
      <c r="M13" s="301">
        <f t="shared" ref="M13:M14" si="19">(I13+L13)/G13*30.4</f>
        <v>11565.173333333332</v>
      </c>
      <c r="N13" s="301">
        <f t="shared" ref="N13:N14" si="20">VLOOKUP(M13,Tarifa,1)</f>
        <v>11128.02</v>
      </c>
      <c r="O13" s="282">
        <f t="shared" ref="O13:O14" si="21">M13-N13</f>
        <v>437.15333333333183</v>
      </c>
      <c r="P13" s="283">
        <f t="shared" ref="P13:P14" si="22">VLOOKUP(M13,Tarifa,3)</f>
        <v>0.16</v>
      </c>
      <c r="Q13" s="282">
        <f t="shared" ref="Q13:Q14" si="23">O13*P13</f>
        <v>69.944533333333098</v>
      </c>
      <c r="R13" s="284">
        <f t="shared" ref="R13:R14" si="24">VLOOKUP(M13,Tarifa,2)</f>
        <v>893.63</v>
      </c>
      <c r="S13" s="282">
        <f t="shared" ref="S13:S14" si="25">Q13+R13</f>
        <v>963.57453333333308</v>
      </c>
      <c r="T13" s="282">
        <f t="shared" ref="T13:T14" si="26">VLOOKUP(M13,Credito,2)</f>
        <v>0</v>
      </c>
      <c r="U13" s="282">
        <f t="shared" ref="U13:U14" si="27">ROUND((S13-T13)/30.4*G13,2)</f>
        <v>475.45</v>
      </c>
      <c r="V13" s="262">
        <f>-IF(U13&gt;0,0,0)</f>
        <v>0</v>
      </c>
      <c r="W13" s="262">
        <f>IF(I13/15&lt;=SMG,0,IF(U13&lt;0,0,U13))</f>
        <v>475.45</v>
      </c>
      <c r="X13" s="262">
        <f t="shared" si="12"/>
        <v>475.45</v>
      </c>
      <c r="Y13" s="262">
        <f t="shared" si="13"/>
        <v>5231.05</v>
      </c>
      <c r="Z13" s="273"/>
      <c r="AA13" s="264"/>
      <c r="AF13" s="266"/>
    </row>
    <row r="14" spans="1:32" s="265" customFormat="1" ht="223.5" customHeight="1" x14ac:dyDescent="0.2">
      <c r="A14" s="251"/>
      <c r="B14" s="252" t="s">
        <v>358</v>
      </c>
      <c r="C14" s="252" t="s">
        <v>107</v>
      </c>
      <c r="D14" s="275" t="s">
        <v>356</v>
      </c>
      <c r="E14" s="311">
        <v>45698</v>
      </c>
      <c r="F14" s="257" t="s">
        <v>66</v>
      </c>
      <c r="G14" s="272">
        <v>15</v>
      </c>
      <c r="H14" s="259">
        <f t="shared" si="17"/>
        <v>506.81133333333332</v>
      </c>
      <c r="I14" s="260">
        <v>7602.17</v>
      </c>
      <c r="J14" s="261">
        <v>4476.75</v>
      </c>
      <c r="K14" s="262">
        <f t="shared" ref="K14" si="28">SUM(I14:J14)</f>
        <v>12078.92</v>
      </c>
      <c r="L14" s="282">
        <f t="shared" si="18"/>
        <v>2238.375</v>
      </c>
      <c r="M14" s="301">
        <f t="shared" si="19"/>
        <v>19943.504533333333</v>
      </c>
      <c r="N14" s="301">
        <f t="shared" si="20"/>
        <v>15487.72</v>
      </c>
      <c r="O14" s="282">
        <f t="shared" si="21"/>
        <v>4455.7845333333335</v>
      </c>
      <c r="P14" s="283">
        <f t="shared" si="22"/>
        <v>0.21360000000000001</v>
      </c>
      <c r="Q14" s="282">
        <f t="shared" si="23"/>
        <v>951.75557632000005</v>
      </c>
      <c r="R14" s="284">
        <f t="shared" si="24"/>
        <v>1640.18</v>
      </c>
      <c r="S14" s="282">
        <f t="shared" si="25"/>
        <v>2591.9355763200001</v>
      </c>
      <c r="T14" s="282">
        <f t="shared" si="26"/>
        <v>0</v>
      </c>
      <c r="U14" s="282">
        <f t="shared" si="27"/>
        <v>1278.92</v>
      </c>
      <c r="V14" s="262">
        <f t="shared" ref="V14" si="29">-IF(U14&gt;0,0,0)</f>
        <v>0</v>
      </c>
      <c r="W14" s="262">
        <f t="shared" ref="W14" si="30">IF(I14/15&lt;=SMG,0,IF(U14&lt;0,0,U14))</f>
        <v>1278.92</v>
      </c>
      <c r="X14" s="262">
        <f t="shared" si="12"/>
        <v>1278.92</v>
      </c>
      <c r="Y14" s="262">
        <f t="shared" si="13"/>
        <v>10800</v>
      </c>
      <c r="Z14" s="273"/>
      <c r="AA14" s="264"/>
      <c r="AF14" s="266"/>
    </row>
    <row r="15" spans="1:32" s="89" customFormat="1" ht="42.75" customHeight="1" x14ac:dyDescent="0.3">
      <c r="A15" s="138"/>
      <c r="B15" s="232"/>
      <c r="C15" s="204"/>
      <c r="D15" s="205"/>
      <c r="E15" s="231"/>
      <c r="F15" s="144"/>
      <c r="G15" s="145"/>
      <c r="H15" s="146"/>
      <c r="I15" s="210"/>
      <c r="J15" s="211"/>
      <c r="K15" s="212"/>
      <c r="L15" s="213"/>
      <c r="M15" s="213"/>
      <c r="N15" s="213"/>
      <c r="O15" s="213"/>
      <c r="P15" s="214"/>
      <c r="Q15" s="213"/>
      <c r="R15" s="215"/>
      <c r="S15" s="213"/>
      <c r="T15" s="213"/>
      <c r="U15" s="213"/>
      <c r="V15" s="212"/>
      <c r="W15" s="212"/>
      <c r="X15" s="212"/>
      <c r="Y15" s="212"/>
      <c r="AA15" s="90"/>
      <c r="AF15" s="91"/>
    </row>
    <row r="16" spans="1:32" s="89" customFormat="1" ht="42.75" customHeight="1" x14ac:dyDescent="0.3">
      <c r="A16" s="138"/>
      <c r="B16" s="232"/>
      <c r="C16" s="204"/>
      <c r="D16" s="205"/>
      <c r="E16" s="231"/>
      <c r="F16" s="144"/>
      <c r="G16" s="145"/>
      <c r="H16" s="146"/>
      <c r="I16" s="210"/>
      <c r="J16" s="211"/>
      <c r="K16" s="212"/>
      <c r="L16" s="213"/>
      <c r="M16" s="213"/>
      <c r="N16" s="213"/>
      <c r="O16" s="213"/>
      <c r="P16" s="214"/>
      <c r="Q16" s="213"/>
      <c r="R16" s="215"/>
      <c r="S16" s="213"/>
      <c r="T16" s="213"/>
      <c r="U16" s="213"/>
      <c r="V16" s="212"/>
      <c r="W16" s="212"/>
      <c r="X16" s="212"/>
      <c r="Y16" s="212"/>
      <c r="AA16" s="90"/>
      <c r="AF16" s="91"/>
    </row>
    <row r="17" spans="1:32" s="89" customFormat="1" ht="32.25" customHeight="1" x14ac:dyDescent="0.25">
      <c r="A17" s="138"/>
      <c r="B17" s="419" t="s">
        <v>76</v>
      </c>
      <c r="C17" s="419"/>
      <c r="D17" s="419"/>
      <c r="E17" s="419"/>
      <c r="F17" s="419"/>
      <c r="G17" s="419"/>
      <c r="H17" s="419"/>
      <c r="I17" s="419"/>
      <c r="J17" s="419"/>
      <c r="K17" s="419"/>
      <c r="L17" s="419"/>
      <c r="M17" s="419"/>
      <c r="N17" s="419"/>
      <c r="O17" s="419"/>
      <c r="P17" s="419"/>
      <c r="Q17" s="419"/>
      <c r="R17" s="419"/>
      <c r="S17" s="419"/>
      <c r="T17" s="419"/>
      <c r="U17" s="419"/>
      <c r="V17" s="419"/>
      <c r="W17" s="419"/>
      <c r="X17" s="419"/>
      <c r="Y17" s="419"/>
      <c r="Z17" s="419"/>
      <c r="AA17" s="419"/>
      <c r="AF17" s="91"/>
    </row>
    <row r="18" spans="1:32" s="89" customFormat="1" ht="24" customHeight="1" x14ac:dyDescent="0.25">
      <c r="A18" s="138"/>
      <c r="B18" s="419" t="s">
        <v>63</v>
      </c>
      <c r="C18" s="419"/>
      <c r="D18" s="419"/>
      <c r="E18" s="419"/>
      <c r="F18" s="419"/>
      <c r="G18" s="419"/>
      <c r="H18" s="419"/>
      <c r="I18" s="419"/>
      <c r="J18" s="419"/>
      <c r="K18" s="419"/>
      <c r="L18" s="419"/>
      <c r="M18" s="419"/>
      <c r="N18" s="419"/>
      <c r="O18" s="419"/>
      <c r="P18" s="419"/>
      <c r="Q18" s="419"/>
      <c r="R18" s="419"/>
      <c r="S18" s="419"/>
      <c r="T18" s="419"/>
      <c r="U18" s="419"/>
      <c r="V18" s="419"/>
      <c r="W18" s="419"/>
      <c r="X18" s="419"/>
      <c r="Y18" s="419"/>
      <c r="Z18" s="419"/>
      <c r="AA18" s="419"/>
      <c r="AF18" s="91"/>
    </row>
    <row r="19" spans="1:32" s="89" customFormat="1" ht="27.75" customHeight="1" x14ac:dyDescent="0.3">
      <c r="A19" s="138"/>
      <c r="B19" s="438" t="str">
        <f>PRESIDENCIA!A3</f>
        <v>SUELDO  DEL 01 AL 15 DE ABRIL DE 2025</v>
      </c>
      <c r="C19" s="438"/>
      <c r="D19" s="438"/>
      <c r="E19" s="438"/>
      <c r="F19" s="438"/>
      <c r="G19" s="438"/>
      <c r="H19" s="438"/>
      <c r="I19" s="438"/>
      <c r="J19" s="438"/>
      <c r="K19" s="438"/>
      <c r="L19" s="438"/>
      <c r="M19" s="438"/>
      <c r="N19" s="438"/>
      <c r="O19" s="438"/>
      <c r="P19" s="438"/>
      <c r="Q19" s="438"/>
      <c r="R19" s="438"/>
      <c r="S19" s="438"/>
      <c r="T19" s="438"/>
      <c r="U19" s="438"/>
      <c r="V19" s="438"/>
      <c r="W19" s="438"/>
      <c r="X19" s="438"/>
      <c r="Y19" s="438"/>
      <c r="Z19" s="438"/>
      <c r="AA19" s="90"/>
      <c r="AF19" s="91"/>
    </row>
    <row r="20" spans="1:32" s="89" customFormat="1" ht="26.25" customHeight="1" x14ac:dyDescent="0.3">
      <c r="A20" s="138"/>
      <c r="B20" s="232"/>
      <c r="C20" s="204"/>
      <c r="D20" s="205"/>
      <c r="E20" s="231"/>
      <c r="F20" s="144"/>
      <c r="G20" s="145"/>
      <c r="H20" s="146"/>
      <c r="I20" s="210"/>
      <c r="J20" s="211"/>
      <c r="K20" s="212"/>
      <c r="L20" s="213"/>
      <c r="M20" s="213"/>
      <c r="N20" s="213"/>
      <c r="O20" s="213"/>
      <c r="P20" s="214"/>
      <c r="Q20" s="213"/>
      <c r="R20" s="215"/>
      <c r="S20" s="213"/>
      <c r="T20" s="213"/>
      <c r="U20" s="213"/>
      <c r="V20" s="212"/>
      <c r="W20" s="212"/>
      <c r="X20" s="212"/>
      <c r="Y20" s="212"/>
      <c r="AA20" s="90"/>
      <c r="AF20" s="91"/>
    </row>
    <row r="21" spans="1:32" s="265" customFormat="1" ht="232.5" customHeight="1" x14ac:dyDescent="0.2">
      <c r="A21" s="251"/>
      <c r="B21" s="252" t="s">
        <v>202</v>
      </c>
      <c r="C21" s="252" t="s">
        <v>107</v>
      </c>
      <c r="D21" s="275" t="s">
        <v>201</v>
      </c>
      <c r="E21" s="311">
        <v>45042</v>
      </c>
      <c r="F21" s="257" t="s">
        <v>333</v>
      </c>
      <c r="G21" s="272">
        <v>15</v>
      </c>
      <c r="H21" s="259">
        <f t="shared" ref="H21:H26" si="31">I21/G21</f>
        <v>604.86666666666667</v>
      </c>
      <c r="I21" s="260">
        <v>9073</v>
      </c>
      <c r="J21" s="261">
        <v>0</v>
      </c>
      <c r="K21" s="262">
        <f t="shared" ref="K21:K26" si="32">SUM(I21:J21)</f>
        <v>9073</v>
      </c>
      <c r="L21" s="282">
        <f t="shared" ref="L21:L26" si="33">IF(I21/15&lt;=SMG,0,J21/2)</f>
        <v>0</v>
      </c>
      <c r="M21" s="301">
        <f t="shared" ref="M21:M26" si="34">(I21+L21)/G21*30.4</f>
        <v>18387.946666666667</v>
      </c>
      <c r="N21" s="301">
        <f t="shared" ref="N21:N26" si="35">VLOOKUP(M21,Tarifa,1)</f>
        <v>15487.72</v>
      </c>
      <c r="O21" s="282">
        <f t="shared" ref="O21:O26" si="36">M21-N21</f>
        <v>2900.2266666666674</v>
      </c>
      <c r="P21" s="283">
        <f t="shared" ref="P21:P26" si="37">VLOOKUP(M21,Tarifa,3)</f>
        <v>0.21360000000000001</v>
      </c>
      <c r="Q21" s="282">
        <f t="shared" ref="Q21:Q26" si="38">O21*P21</f>
        <v>619.48841600000014</v>
      </c>
      <c r="R21" s="284">
        <f t="shared" ref="R21:R26" si="39">VLOOKUP(M21,Tarifa,2)</f>
        <v>1640.18</v>
      </c>
      <c r="S21" s="282">
        <f t="shared" ref="S21:S26" si="40">Q21+R21</f>
        <v>2259.6684160000004</v>
      </c>
      <c r="T21" s="282">
        <f t="shared" ref="T21:T26" si="41">VLOOKUP(M21,Credito,2)</f>
        <v>0</v>
      </c>
      <c r="U21" s="282">
        <f t="shared" ref="U21:U26" si="42">ROUND((S21-T21)/30.4*G21,2)</f>
        <v>1114.97</v>
      </c>
      <c r="V21" s="262">
        <f t="shared" ref="V21:V26" si="43">-IF(U21&gt;0,0,0)</f>
        <v>0</v>
      </c>
      <c r="W21" s="262">
        <f t="shared" ref="W21:W26" si="44">IF(I21/15&lt;=SMG,0,IF(U21&lt;0,0,U21))</f>
        <v>1114.97</v>
      </c>
      <c r="X21" s="262">
        <f t="shared" ref="X21:X26" si="45">SUM(W21:W21)</f>
        <v>1114.97</v>
      </c>
      <c r="Y21" s="262">
        <f t="shared" ref="Y21:Y26" si="46">K21+V21-X21</f>
        <v>7958.03</v>
      </c>
      <c r="Z21" s="263"/>
      <c r="AA21" s="264"/>
      <c r="AF21" s="266"/>
    </row>
    <row r="22" spans="1:32" s="265" customFormat="1" ht="232.5" customHeight="1" x14ac:dyDescent="0.2">
      <c r="A22" s="251"/>
      <c r="B22" s="252" t="s">
        <v>203</v>
      </c>
      <c r="C22" s="252" t="s">
        <v>107</v>
      </c>
      <c r="D22" s="275" t="s">
        <v>204</v>
      </c>
      <c r="E22" s="311">
        <v>45078</v>
      </c>
      <c r="F22" s="257" t="s">
        <v>332</v>
      </c>
      <c r="G22" s="272">
        <v>15</v>
      </c>
      <c r="H22" s="259">
        <f t="shared" si="31"/>
        <v>604.86666666666667</v>
      </c>
      <c r="I22" s="260">
        <v>9073</v>
      </c>
      <c r="J22" s="261">
        <v>0</v>
      </c>
      <c r="K22" s="262">
        <f t="shared" si="32"/>
        <v>9073</v>
      </c>
      <c r="L22" s="282">
        <f t="shared" si="33"/>
        <v>0</v>
      </c>
      <c r="M22" s="301">
        <f t="shared" si="34"/>
        <v>18387.946666666667</v>
      </c>
      <c r="N22" s="301">
        <f t="shared" si="35"/>
        <v>15487.72</v>
      </c>
      <c r="O22" s="282">
        <f t="shared" si="36"/>
        <v>2900.2266666666674</v>
      </c>
      <c r="P22" s="283">
        <f t="shared" si="37"/>
        <v>0.21360000000000001</v>
      </c>
      <c r="Q22" s="282">
        <f t="shared" si="38"/>
        <v>619.48841600000014</v>
      </c>
      <c r="R22" s="284">
        <f t="shared" si="39"/>
        <v>1640.18</v>
      </c>
      <c r="S22" s="282">
        <f t="shared" si="40"/>
        <v>2259.6684160000004</v>
      </c>
      <c r="T22" s="282">
        <f t="shared" si="41"/>
        <v>0</v>
      </c>
      <c r="U22" s="282">
        <f t="shared" si="42"/>
        <v>1114.97</v>
      </c>
      <c r="V22" s="262">
        <f t="shared" si="43"/>
        <v>0</v>
      </c>
      <c r="W22" s="262">
        <f t="shared" si="44"/>
        <v>1114.97</v>
      </c>
      <c r="X22" s="262">
        <f t="shared" si="45"/>
        <v>1114.97</v>
      </c>
      <c r="Y22" s="262">
        <f t="shared" si="46"/>
        <v>7958.03</v>
      </c>
      <c r="Z22" s="263"/>
      <c r="AA22" s="264"/>
      <c r="AF22" s="266"/>
    </row>
    <row r="23" spans="1:32" s="265" customFormat="1" ht="232.5" customHeight="1" x14ac:dyDescent="0.2">
      <c r="A23" s="251"/>
      <c r="B23" s="253" t="s">
        <v>345</v>
      </c>
      <c r="C23" s="253" t="s">
        <v>107</v>
      </c>
      <c r="D23" s="313" t="s">
        <v>139</v>
      </c>
      <c r="E23" s="201">
        <v>43512</v>
      </c>
      <c r="F23" s="257" t="s">
        <v>333</v>
      </c>
      <c r="G23" s="272">
        <v>15</v>
      </c>
      <c r="H23" s="259">
        <f t="shared" si="31"/>
        <v>604.86666666666667</v>
      </c>
      <c r="I23" s="260">
        <v>9073</v>
      </c>
      <c r="J23" s="261">
        <v>604.86</v>
      </c>
      <c r="K23" s="262">
        <f t="shared" si="32"/>
        <v>9677.86</v>
      </c>
      <c r="L23" s="282">
        <f t="shared" si="33"/>
        <v>302.43</v>
      </c>
      <c r="M23" s="301">
        <f t="shared" si="34"/>
        <v>19000.871466666667</v>
      </c>
      <c r="N23" s="301">
        <f t="shared" si="35"/>
        <v>15487.72</v>
      </c>
      <c r="O23" s="282">
        <f t="shared" si="36"/>
        <v>3513.1514666666681</v>
      </c>
      <c r="P23" s="283">
        <f t="shared" si="37"/>
        <v>0.21360000000000001</v>
      </c>
      <c r="Q23" s="282">
        <f t="shared" si="38"/>
        <v>750.4091532800004</v>
      </c>
      <c r="R23" s="284">
        <f t="shared" si="39"/>
        <v>1640.18</v>
      </c>
      <c r="S23" s="282">
        <f t="shared" si="40"/>
        <v>2390.5891532800006</v>
      </c>
      <c r="T23" s="282">
        <f t="shared" si="41"/>
        <v>0</v>
      </c>
      <c r="U23" s="282">
        <f t="shared" si="42"/>
        <v>1179.57</v>
      </c>
      <c r="V23" s="262">
        <f t="shared" si="43"/>
        <v>0</v>
      </c>
      <c r="W23" s="262">
        <f t="shared" si="44"/>
        <v>1179.57</v>
      </c>
      <c r="X23" s="262">
        <f t="shared" si="45"/>
        <v>1179.57</v>
      </c>
      <c r="Y23" s="262">
        <f t="shared" si="46"/>
        <v>8498.2900000000009</v>
      </c>
      <c r="Z23" s="263"/>
      <c r="AF23" s="266"/>
    </row>
    <row r="24" spans="1:32" s="265" customFormat="1" ht="232.5" customHeight="1" x14ac:dyDescent="0.2">
      <c r="A24" s="312"/>
      <c r="B24" s="253" t="s">
        <v>182</v>
      </c>
      <c r="C24" s="253" t="s">
        <v>107</v>
      </c>
      <c r="D24" s="313" t="s">
        <v>183</v>
      </c>
      <c r="E24" s="201">
        <v>44728</v>
      </c>
      <c r="F24" s="257" t="s">
        <v>333</v>
      </c>
      <c r="G24" s="272">
        <v>15</v>
      </c>
      <c r="H24" s="259">
        <f t="shared" si="31"/>
        <v>604.86666666666667</v>
      </c>
      <c r="I24" s="260">
        <v>9073</v>
      </c>
      <c r="J24" s="261">
        <v>0</v>
      </c>
      <c r="K24" s="262">
        <f t="shared" si="32"/>
        <v>9073</v>
      </c>
      <c r="L24" s="282">
        <f t="shared" si="33"/>
        <v>0</v>
      </c>
      <c r="M24" s="301">
        <f t="shared" si="34"/>
        <v>18387.946666666667</v>
      </c>
      <c r="N24" s="301">
        <f t="shared" si="35"/>
        <v>15487.72</v>
      </c>
      <c r="O24" s="282">
        <f t="shared" si="36"/>
        <v>2900.2266666666674</v>
      </c>
      <c r="P24" s="283">
        <f t="shared" si="37"/>
        <v>0.21360000000000001</v>
      </c>
      <c r="Q24" s="282">
        <f t="shared" si="38"/>
        <v>619.48841600000014</v>
      </c>
      <c r="R24" s="284">
        <f t="shared" si="39"/>
        <v>1640.18</v>
      </c>
      <c r="S24" s="282">
        <f t="shared" si="40"/>
        <v>2259.6684160000004</v>
      </c>
      <c r="T24" s="282">
        <f t="shared" si="41"/>
        <v>0</v>
      </c>
      <c r="U24" s="282">
        <f t="shared" si="42"/>
        <v>1114.97</v>
      </c>
      <c r="V24" s="262">
        <f t="shared" si="43"/>
        <v>0</v>
      </c>
      <c r="W24" s="262">
        <f t="shared" si="44"/>
        <v>1114.97</v>
      </c>
      <c r="X24" s="262">
        <f t="shared" si="45"/>
        <v>1114.97</v>
      </c>
      <c r="Y24" s="262">
        <f t="shared" si="46"/>
        <v>7958.03</v>
      </c>
      <c r="Z24" s="263"/>
      <c r="AF24" s="266"/>
    </row>
    <row r="25" spans="1:32" s="265" customFormat="1" ht="232.5" customHeight="1" x14ac:dyDescent="0.2">
      <c r="A25" s="312"/>
      <c r="B25" s="253" t="s">
        <v>233</v>
      </c>
      <c r="C25" s="253" t="s">
        <v>107</v>
      </c>
      <c r="D25" s="254" t="s">
        <v>234</v>
      </c>
      <c r="E25" s="315">
        <v>45475</v>
      </c>
      <c r="F25" s="257" t="s">
        <v>333</v>
      </c>
      <c r="G25" s="272">
        <v>15</v>
      </c>
      <c r="H25" s="259">
        <f t="shared" si="31"/>
        <v>483.93333333333334</v>
      </c>
      <c r="I25" s="260">
        <v>7259</v>
      </c>
      <c r="J25" s="261">
        <v>0</v>
      </c>
      <c r="K25" s="262">
        <f t="shared" si="32"/>
        <v>7259</v>
      </c>
      <c r="L25" s="282">
        <f t="shared" si="33"/>
        <v>0</v>
      </c>
      <c r="M25" s="301">
        <f t="shared" si="34"/>
        <v>14711.573333333332</v>
      </c>
      <c r="N25" s="301">
        <f t="shared" si="35"/>
        <v>12935.83</v>
      </c>
      <c r="O25" s="282">
        <f t="shared" si="36"/>
        <v>1775.743333333332</v>
      </c>
      <c r="P25" s="283">
        <f t="shared" si="37"/>
        <v>0.1792</v>
      </c>
      <c r="Q25" s="282">
        <f t="shared" si="38"/>
        <v>318.21320533333306</v>
      </c>
      <c r="R25" s="284">
        <f t="shared" si="39"/>
        <v>1182.8800000000001</v>
      </c>
      <c r="S25" s="282">
        <f t="shared" si="40"/>
        <v>1501.0932053333331</v>
      </c>
      <c r="T25" s="282">
        <f t="shared" si="41"/>
        <v>0</v>
      </c>
      <c r="U25" s="282">
        <f t="shared" si="42"/>
        <v>740.67</v>
      </c>
      <c r="V25" s="262">
        <f t="shared" si="43"/>
        <v>0</v>
      </c>
      <c r="W25" s="262">
        <f t="shared" si="44"/>
        <v>740.67</v>
      </c>
      <c r="X25" s="262">
        <f t="shared" si="45"/>
        <v>740.67</v>
      </c>
      <c r="Y25" s="262">
        <f t="shared" si="46"/>
        <v>6518.33</v>
      </c>
      <c r="Z25" s="263"/>
      <c r="AA25" s="314"/>
      <c r="AF25" s="266"/>
    </row>
    <row r="26" spans="1:32" s="265" customFormat="1" ht="232.5" customHeight="1" x14ac:dyDescent="0.2">
      <c r="A26" s="312"/>
      <c r="B26" s="253" t="s">
        <v>366</v>
      </c>
      <c r="C26" s="253"/>
      <c r="D26" s="254" t="s">
        <v>363</v>
      </c>
      <c r="E26" s="315">
        <v>45720</v>
      </c>
      <c r="F26" s="257" t="s">
        <v>364</v>
      </c>
      <c r="G26" s="272">
        <v>15</v>
      </c>
      <c r="H26" s="259">
        <f t="shared" si="31"/>
        <v>604.86666666666667</v>
      </c>
      <c r="I26" s="260">
        <v>9073</v>
      </c>
      <c r="J26" s="261">
        <v>5261.98</v>
      </c>
      <c r="K26" s="262">
        <f t="shared" si="32"/>
        <v>14334.98</v>
      </c>
      <c r="L26" s="282">
        <f t="shared" si="33"/>
        <v>2630.99</v>
      </c>
      <c r="M26" s="301">
        <f t="shared" si="34"/>
        <v>23720.086399999997</v>
      </c>
      <c r="N26" s="301">
        <f t="shared" si="35"/>
        <v>15487.72</v>
      </c>
      <c r="O26" s="282">
        <f t="shared" si="36"/>
        <v>8232.3663999999972</v>
      </c>
      <c r="P26" s="283">
        <f t="shared" si="37"/>
        <v>0.21360000000000001</v>
      </c>
      <c r="Q26" s="282">
        <f t="shared" si="38"/>
        <v>1758.4334630399994</v>
      </c>
      <c r="R26" s="284">
        <f t="shared" si="39"/>
        <v>1640.18</v>
      </c>
      <c r="S26" s="282">
        <f t="shared" si="40"/>
        <v>3398.6134630399993</v>
      </c>
      <c r="T26" s="282">
        <f t="shared" si="41"/>
        <v>0</v>
      </c>
      <c r="U26" s="282">
        <f t="shared" si="42"/>
        <v>1676.95</v>
      </c>
      <c r="V26" s="262">
        <f t="shared" si="43"/>
        <v>0</v>
      </c>
      <c r="W26" s="262">
        <f t="shared" si="44"/>
        <v>1676.95</v>
      </c>
      <c r="X26" s="262">
        <f t="shared" si="45"/>
        <v>1676.95</v>
      </c>
      <c r="Y26" s="262">
        <f t="shared" si="46"/>
        <v>12658.029999999999</v>
      </c>
      <c r="Z26" s="263"/>
      <c r="AA26" s="314"/>
      <c r="AF26" s="266"/>
    </row>
    <row r="27" spans="1:32" s="89" customFormat="1" ht="16.5" customHeight="1" x14ac:dyDescent="0.35">
      <c r="A27" s="138"/>
      <c r="B27" s="140"/>
      <c r="C27" s="140"/>
      <c r="D27" s="234"/>
      <c r="E27" s="235"/>
      <c r="F27" s="198"/>
      <c r="G27" s="208"/>
      <c r="H27" s="209"/>
      <c r="I27" s="210"/>
      <c r="J27" s="211"/>
      <c r="K27" s="212"/>
      <c r="L27" s="213"/>
      <c r="M27" s="213"/>
      <c r="N27" s="213"/>
      <c r="O27" s="213"/>
      <c r="P27" s="214"/>
      <c r="Q27" s="213"/>
      <c r="R27" s="215"/>
      <c r="S27" s="213"/>
      <c r="T27" s="213"/>
      <c r="U27" s="213"/>
      <c r="V27" s="212"/>
      <c r="W27" s="212"/>
      <c r="X27" s="212"/>
      <c r="Y27" s="212"/>
      <c r="Z27" s="105"/>
      <c r="AF27" s="91"/>
    </row>
    <row r="28" spans="1:32" s="89" customFormat="1" ht="16.5" customHeight="1" x14ac:dyDescent="0.35">
      <c r="A28" s="138"/>
      <c r="B28" s="140"/>
      <c r="C28" s="140"/>
      <c r="D28" s="234"/>
      <c r="E28" s="235"/>
      <c r="F28" s="198"/>
      <c r="G28" s="208"/>
      <c r="H28" s="209"/>
      <c r="I28" s="210"/>
      <c r="J28" s="211"/>
      <c r="K28" s="212"/>
      <c r="L28" s="213"/>
      <c r="M28" s="213"/>
      <c r="N28" s="213"/>
      <c r="O28" s="213"/>
      <c r="P28" s="214"/>
      <c r="Q28" s="213"/>
      <c r="R28" s="215"/>
      <c r="S28" s="213"/>
      <c r="T28" s="213"/>
      <c r="U28" s="213"/>
      <c r="V28" s="212"/>
      <c r="W28" s="212"/>
      <c r="X28" s="212"/>
      <c r="Y28" s="212"/>
      <c r="Z28" s="105"/>
      <c r="AF28" s="91"/>
    </row>
    <row r="29" spans="1:32" s="89" customFormat="1" ht="27.75" customHeight="1" x14ac:dyDescent="0.25">
      <c r="A29" s="138"/>
      <c r="B29" s="419" t="s">
        <v>76</v>
      </c>
      <c r="C29" s="419"/>
      <c r="D29" s="419"/>
      <c r="E29" s="419"/>
      <c r="F29" s="419"/>
      <c r="G29" s="419"/>
      <c r="H29" s="419"/>
      <c r="I29" s="419"/>
      <c r="J29" s="419"/>
      <c r="K29" s="419"/>
      <c r="L29" s="419"/>
      <c r="M29" s="419"/>
      <c r="N29" s="419"/>
      <c r="O29" s="419"/>
      <c r="P29" s="419"/>
      <c r="Q29" s="419"/>
      <c r="R29" s="419"/>
      <c r="S29" s="419"/>
      <c r="T29" s="419"/>
      <c r="U29" s="419"/>
      <c r="V29" s="419"/>
      <c r="W29" s="419"/>
      <c r="X29" s="419"/>
      <c r="Y29" s="419"/>
      <c r="Z29" s="419"/>
      <c r="AA29" s="419"/>
      <c r="AF29" s="91"/>
    </row>
    <row r="30" spans="1:32" s="89" customFormat="1" ht="27.75" customHeight="1" x14ac:dyDescent="0.25">
      <c r="A30" s="138"/>
      <c r="B30" s="419" t="s">
        <v>63</v>
      </c>
      <c r="C30" s="419"/>
      <c r="D30" s="419"/>
      <c r="E30" s="419"/>
      <c r="F30" s="419"/>
      <c r="G30" s="419"/>
      <c r="H30" s="419"/>
      <c r="I30" s="419"/>
      <c r="J30" s="419"/>
      <c r="K30" s="419"/>
      <c r="L30" s="419"/>
      <c r="M30" s="419"/>
      <c r="N30" s="419"/>
      <c r="O30" s="419"/>
      <c r="P30" s="419"/>
      <c r="Q30" s="419"/>
      <c r="R30" s="419"/>
      <c r="S30" s="419"/>
      <c r="T30" s="419"/>
      <c r="U30" s="419"/>
      <c r="V30" s="419"/>
      <c r="W30" s="419"/>
      <c r="X30" s="419"/>
      <c r="Y30" s="419"/>
      <c r="Z30" s="419"/>
      <c r="AA30" s="419"/>
      <c r="AF30" s="91"/>
    </row>
    <row r="31" spans="1:32" s="89" customFormat="1" ht="27.75" customHeight="1" x14ac:dyDescent="0.3">
      <c r="A31" s="138"/>
      <c r="B31" s="439" t="str">
        <f>PRESIDENCIA!A3</f>
        <v>SUELDO  DEL 01 AL 15 DE ABRIL DE 2025</v>
      </c>
      <c r="C31" s="439"/>
      <c r="D31" s="439"/>
      <c r="E31" s="439"/>
      <c r="F31" s="439"/>
      <c r="G31" s="439"/>
      <c r="H31" s="439"/>
      <c r="I31" s="439"/>
      <c r="J31" s="439"/>
      <c r="K31" s="439"/>
      <c r="L31" s="439"/>
      <c r="M31" s="439"/>
      <c r="N31" s="439"/>
      <c r="O31" s="439"/>
      <c r="P31" s="439"/>
      <c r="Q31" s="439"/>
      <c r="R31" s="439"/>
      <c r="S31" s="439"/>
      <c r="T31" s="439"/>
      <c r="U31" s="439"/>
      <c r="V31" s="439"/>
      <c r="W31" s="439"/>
      <c r="X31" s="439"/>
      <c r="Y31" s="439"/>
      <c r="Z31" s="439"/>
      <c r="AF31" s="91"/>
    </row>
    <row r="32" spans="1:32" s="89" customFormat="1" ht="30.75" customHeight="1" x14ac:dyDescent="0.35">
      <c r="A32" s="138"/>
      <c r="B32" s="140"/>
      <c r="C32" s="140"/>
      <c r="D32" s="234"/>
      <c r="E32" s="235"/>
      <c r="F32" s="198"/>
      <c r="G32" s="208"/>
      <c r="H32" s="209"/>
      <c r="I32" s="210"/>
      <c r="J32" s="211"/>
      <c r="K32" s="212"/>
      <c r="L32" s="213"/>
      <c r="M32" s="213"/>
      <c r="N32" s="213"/>
      <c r="O32" s="213"/>
      <c r="P32" s="214"/>
      <c r="Q32" s="213"/>
      <c r="R32" s="215"/>
      <c r="S32" s="213"/>
      <c r="T32" s="213"/>
      <c r="U32" s="213"/>
      <c r="V32" s="212"/>
      <c r="W32" s="212"/>
      <c r="X32" s="212"/>
      <c r="Y32" s="212"/>
      <c r="Z32" s="105"/>
      <c r="AF32" s="91"/>
    </row>
    <row r="33" spans="1:32" s="265" customFormat="1" ht="176.25" customHeight="1" x14ac:dyDescent="0.2">
      <c r="A33" s="251"/>
      <c r="B33" s="253" t="s">
        <v>288</v>
      </c>
      <c r="C33" s="253" t="s">
        <v>107</v>
      </c>
      <c r="D33" s="254" t="s">
        <v>289</v>
      </c>
      <c r="E33" s="315">
        <v>45566</v>
      </c>
      <c r="F33" s="257" t="s">
        <v>335</v>
      </c>
      <c r="G33" s="272">
        <v>15</v>
      </c>
      <c r="H33" s="259">
        <f t="shared" ref="H33:H35" si="47">I33/G33</f>
        <v>455.06666666666666</v>
      </c>
      <c r="I33" s="260">
        <v>6826</v>
      </c>
      <c r="J33" s="261">
        <v>0</v>
      </c>
      <c r="K33" s="262">
        <f t="shared" ref="K33:K35" si="48">SUM(I33:J33)</f>
        <v>6826</v>
      </c>
      <c r="L33" s="282">
        <f t="shared" ref="L33:L35" si="49">IF(I33/15&lt;=SMG,0,J33/2)</f>
        <v>0</v>
      </c>
      <c r="M33" s="301">
        <f t="shared" ref="M33:M35" si="50">(I33+L33)/G33*30.4</f>
        <v>13834.026666666667</v>
      </c>
      <c r="N33" s="301">
        <f t="shared" ref="N33:N35" si="51">VLOOKUP(M33,Tarifa,1)</f>
        <v>12935.83</v>
      </c>
      <c r="O33" s="282">
        <f t="shared" ref="O33:O35" si="52">M33-N33</f>
        <v>898.19666666666672</v>
      </c>
      <c r="P33" s="283">
        <f t="shared" ref="P33:P35" si="53">VLOOKUP(M33,Tarifa,3)</f>
        <v>0.1792</v>
      </c>
      <c r="Q33" s="282">
        <f t="shared" ref="Q33:Q35" si="54">O33*P33</f>
        <v>160.95684266666666</v>
      </c>
      <c r="R33" s="284">
        <f t="shared" ref="R33:R35" si="55">VLOOKUP(M33,Tarifa,2)</f>
        <v>1182.8800000000001</v>
      </c>
      <c r="S33" s="282">
        <f t="shared" ref="S33:S35" si="56">Q33+R33</f>
        <v>1343.8368426666668</v>
      </c>
      <c r="T33" s="282">
        <f t="shared" ref="T33:T35" si="57">VLOOKUP(M33,Credito,2)</f>
        <v>0</v>
      </c>
      <c r="U33" s="282">
        <f t="shared" ref="U33:U35" si="58">ROUND((S33-T33)/30.4*G33,2)</f>
        <v>663.08</v>
      </c>
      <c r="V33" s="262">
        <f t="shared" ref="V33:V36" si="59">-IF(U33&gt;0,0,0)</f>
        <v>0</v>
      </c>
      <c r="W33" s="262">
        <f t="shared" ref="W33:W36" si="60">IF(I33/15&lt;=SMG,0,IF(U33&lt;0,0,U33))</f>
        <v>663.08</v>
      </c>
      <c r="X33" s="262">
        <f>SUM(W33:W33)</f>
        <v>663.08</v>
      </c>
      <c r="Y33" s="262">
        <f>K33+V33-X33</f>
        <v>6162.92</v>
      </c>
      <c r="Z33" s="263"/>
      <c r="AF33" s="266"/>
    </row>
    <row r="34" spans="1:32" s="265" customFormat="1" ht="176.25" customHeight="1" x14ac:dyDescent="0.2">
      <c r="A34" s="251"/>
      <c r="B34" s="274" t="s">
        <v>253</v>
      </c>
      <c r="C34" s="268" t="s">
        <v>107</v>
      </c>
      <c r="D34" s="254" t="s">
        <v>254</v>
      </c>
      <c r="E34" s="256">
        <v>45459</v>
      </c>
      <c r="F34" s="257" t="s">
        <v>336</v>
      </c>
      <c r="G34" s="272">
        <v>15</v>
      </c>
      <c r="H34" s="259">
        <f t="shared" si="47"/>
        <v>373.2</v>
      </c>
      <c r="I34" s="260">
        <v>5598</v>
      </c>
      <c r="J34" s="261">
        <v>0</v>
      </c>
      <c r="K34" s="262">
        <f t="shared" si="48"/>
        <v>5598</v>
      </c>
      <c r="L34" s="282">
        <f t="shared" si="49"/>
        <v>0</v>
      </c>
      <c r="M34" s="301">
        <f t="shared" si="50"/>
        <v>11345.279999999999</v>
      </c>
      <c r="N34" s="301">
        <f t="shared" si="51"/>
        <v>11128.02</v>
      </c>
      <c r="O34" s="282">
        <f t="shared" si="52"/>
        <v>217.2599999999984</v>
      </c>
      <c r="P34" s="283">
        <f t="shared" si="53"/>
        <v>0.16</v>
      </c>
      <c r="Q34" s="282">
        <f t="shared" si="54"/>
        <v>34.761599999999746</v>
      </c>
      <c r="R34" s="284">
        <f t="shared" si="55"/>
        <v>893.63</v>
      </c>
      <c r="S34" s="282">
        <f t="shared" si="56"/>
        <v>928.3915999999997</v>
      </c>
      <c r="T34" s="282">
        <f t="shared" si="57"/>
        <v>0</v>
      </c>
      <c r="U34" s="282">
        <f t="shared" si="58"/>
        <v>458.09</v>
      </c>
      <c r="V34" s="262">
        <f t="shared" si="59"/>
        <v>0</v>
      </c>
      <c r="W34" s="262">
        <f t="shared" si="60"/>
        <v>458.09</v>
      </c>
      <c r="X34" s="262">
        <f>SUM(W34:W34)</f>
        <v>458.09</v>
      </c>
      <c r="Y34" s="262">
        <f>K34+V34-X34</f>
        <v>5139.91</v>
      </c>
      <c r="Z34" s="263"/>
      <c r="AF34" s="266"/>
    </row>
    <row r="35" spans="1:32" s="265" customFormat="1" ht="176.25" customHeight="1" x14ac:dyDescent="0.2">
      <c r="A35" s="251"/>
      <c r="B35" s="268" t="s">
        <v>255</v>
      </c>
      <c r="C35" s="268" t="s">
        <v>107</v>
      </c>
      <c r="D35" s="250" t="s">
        <v>256</v>
      </c>
      <c r="E35" s="154">
        <v>45459</v>
      </c>
      <c r="F35" s="257" t="s">
        <v>336</v>
      </c>
      <c r="G35" s="272">
        <v>15</v>
      </c>
      <c r="H35" s="259">
        <f t="shared" si="47"/>
        <v>373.2</v>
      </c>
      <c r="I35" s="260">
        <v>5598</v>
      </c>
      <c r="J35" s="261">
        <v>0</v>
      </c>
      <c r="K35" s="262">
        <f t="shared" si="48"/>
        <v>5598</v>
      </c>
      <c r="L35" s="282">
        <f t="shared" si="49"/>
        <v>0</v>
      </c>
      <c r="M35" s="301">
        <f t="shared" si="50"/>
        <v>11345.279999999999</v>
      </c>
      <c r="N35" s="301">
        <f t="shared" si="51"/>
        <v>11128.02</v>
      </c>
      <c r="O35" s="282">
        <f t="shared" si="52"/>
        <v>217.2599999999984</v>
      </c>
      <c r="P35" s="283">
        <f t="shared" si="53"/>
        <v>0.16</v>
      </c>
      <c r="Q35" s="282">
        <f t="shared" si="54"/>
        <v>34.761599999999746</v>
      </c>
      <c r="R35" s="284">
        <f t="shared" si="55"/>
        <v>893.63</v>
      </c>
      <c r="S35" s="282">
        <f t="shared" si="56"/>
        <v>928.3915999999997</v>
      </c>
      <c r="T35" s="282">
        <f t="shared" si="57"/>
        <v>0</v>
      </c>
      <c r="U35" s="282">
        <f t="shared" si="58"/>
        <v>458.09</v>
      </c>
      <c r="V35" s="262">
        <f t="shared" si="59"/>
        <v>0</v>
      </c>
      <c r="W35" s="262">
        <f t="shared" si="60"/>
        <v>458.09</v>
      </c>
      <c r="X35" s="262">
        <f>SUM(W35:W35)</f>
        <v>458.09</v>
      </c>
      <c r="Y35" s="262">
        <f>K35+V35-X35</f>
        <v>5139.91</v>
      </c>
      <c r="Z35" s="273"/>
      <c r="AF35" s="266"/>
    </row>
    <row r="36" spans="1:32" s="265" customFormat="1" ht="176.25" customHeight="1" x14ac:dyDescent="0.2">
      <c r="A36" s="251"/>
      <c r="B36" s="253" t="s">
        <v>186</v>
      </c>
      <c r="C36" s="253" t="s">
        <v>107</v>
      </c>
      <c r="D36" s="313" t="s">
        <v>184</v>
      </c>
      <c r="E36" s="256">
        <v>44728</v>
      </c>
      <c r="F36" s="257" t="s">
        <v>185</v>
      </c>
      <c r="G36" s="272">
        <v>15</v>
      </c>
      <c r="H36" s="259">
        <f>I36/G36</f>
        <v>442.26666666666665</v>
      </c>
      <c r="I36" s="260">
        <v>6634</v>
      </c>
      <c r="J36" s="261">
        <v>0</v>
      </c>
      <c r="K36" s="260">
        <f>I36</f>
        <v>6634</v>
      </c>
      <c r="L36" s="282">
        <f>IF(I36/15&lt;=SMG,0,J36/2)</f>
        <v>0</v>
      </c>
      <c r="M36" s="301">
        <f>(I36+L36)/G36*30.4</f>
        <v>13444.906666666666</v>
      </c>
      <c r="N36" s="301">
        <f>VLOOKUP(M36,Tarifa,1)</f>
        <v>12935.83</v>
      </c>
      <c r="O36" s="282">
        <f>M36-N36</f>
        <v>509.07666666666591</v>
      </c>
      <c r="P36" s="283">
        <f>VLOOKUP(M36,Tarifa,3)</f>
        <v>0.1792</v>
      </c>
      <c r="Q36" s="282">
        <f>O36*P36</f>
        <v>91.226538666666528</v>
      </c>
      <c r="R36" s="284">
        <f>VLOOKUP(M36,Tarifa,2)</f>
        <v>1182.8800000000001</v>
      </c>
      <c r="S36" s="282">
        <f>Q36+R36</f>
        <v>1274.1065386666667</v>
      </c>
      <c r="T36" s="282">
        <f>VLOOKUP(M36,Credito,2)</f>
        <v>0</v>
      </c>
      <c r="U36" s="282">
        <f>ROUND((S36-T36)/30.4*G36,2)</f>
        <v>628.66999999999996</v>
      </c>
      <c r="V36" s="262">
        <f t="shared" si="59"/>
        <v>0</v>
      </c>
      <c r="W36" s="262">
        <f t="shared" si="60"/>
        <v>628.66999999999996</v>
      </c>
      <c r="X36" s="262">
        <f>SUM(W36:W36)</f>
        <v>628.66999999999996</v>
      </c>
      <c r="Y36" s="262">
        <f>K36+V36-X36+J36</f>
        <v>6005.33</v>
      </c>
      <c r="Z36" s="270"/>
      <c r="AF36" s="266"/>
    </row>
    <row r="37" spans="1:32" s="265" customFormat="1" ht="176.25" customHeight="1" x14ac:dyDescent="0.2">
      <c r="A37" s="251"/>
      <c r="B37" s="268" t="s">
        <v>206</v>
      </c>
      <c r="C37" s="268" t="s">
        <v>107</v>
      </c>
      <c r="D37" s="275" t="s">
        <v>207</v>
      </c>
      <c r="E37" s="316">
        <v>45078</v>
      </c>
      <c r="F37" s="257" t="s">
        <v>339</v>
      </c>
      <c r="G37" s="272">
        <v>15</v>
      </c>
      <c r="H37" s="259">
        <f>I37/G37</f>
        <v>317.46666666666664</v>
      </c>
      <c r="I37" s="260">
        <v>4762</v>
      </c>
      <c r="J37" s="261">
        <v>0</v>
      </c>
      <c r="K37" s="262">
        <f t="shared" ref="K37" si="61">SUM(I37:J37)</f>
        <v>4762</v>
      </c>
      <c r="L37" s="282">
        <f>IF(I37/15&lt;=SMG,0,J37/2)</f>
        <v>0</v>
      </c>
      <c r="M37" s="301">
        <f>(I37+L37)/G37*30.4</f>
        <v>9650.9866666666658</v>
      </c>
      <c r="N37" s="301">
        <f>VLOOKUP(M37,Tarifa,1)</f>
        <v>6332.06</v>
      </c>
      <c r="O37" s="282">
        <f>M37-N37</f>
        <v>3318.9266666666654</v>
      </c>
      <c r="P37" s="283">
        <f>VLOOKUP(M37,Tarifa,3)</f>
        <v>0.10879999999999999</v>
      </c>
      <c r="Q37" s="282">
        <f>O37*P37</f>
        <v>361.09922133333316</v>
      </c>
      <c r="R37" s="284">
        <f>VLOOKUP(M37,Tarifa,2)</f>
        <v>371.83</v>
      </c>
      <c r="S37" s="282">
        <f>Q37+R37</f>
        <v>732.92922133333309</v>
      </c>
      <c r="T37" s="282">
        <f>VLOOKUP(M37,Credito,2)</f>
        <v>475</v>
      </c>
      <c r="U37" s="282">
        <f>ROUND((S37-T37)/30.4*G37,2)</f>
        <v>127.27</v>
      </c>
      <c r="V37" s="262">
        <f>-IF(U37&gt;0,0,0)</f>
        <v>0</v>
      </c>
      <c r="W37" s="262">
        <f>IF(I37/15&lt;=SMG,0,IF(U37&lt;0,0,U37))</f>
        <v>127.27</v>
      </c>
      <c r="X37" s="262">
        <f>SUM(W37:W37)</f>
        <v>127.27</v>
      </c>
      <c r="Y37" s="262">
        <f>K37+V37-X37</f>
        <v>4634.7299999999996</v>
      </c>
      <c r="Z37" s="270"/>
      <c r="AF37" s="266"/>
    </row>
    <row r="38" spans="1:32" s="51" customFormat="1" ht="39" customHeight="1" thickBot="1" x14ac:dyDescent="0.35">
      <c r="A38" s="416" t="s">
        <v>44</v>
      </c>
      <c r="B38" s="417"/>
      <c r="C38" s="417"/>
      <c r="D38" s="417"/>
      <c r="E38" s="417"/>
      <c r="F38" s="417"/>
      <c r="G38" s="417"/>
      <c r="H38" s="418"/>
      <c r="I38" s="199">
        <f t="shared" ref="I38:Y38" si="62">SUM(I9:I37)</f>
        <v>136147.66999999998</v>
      </c>
      <c r="J38" s="199">
        <f t="shared" si="62"/>
        <v>10343.59</v>
      </c>
      <c r="K38" s="199">
        <f t="shared" si="62"/>
        <v>146491.26</v>
      </c>
      <c r="L38" s="200">
        <f t="shared" si="62"/>
        <v>5171.7950000000001</v>
      </c>
      <c r="M38" s="200">
        <f t="shared" si="62"/>
        <v>286407.44906666665</v>
      </c>
      <c r="N38" s="200">
        <f t="shared" si="62"/>
        <v>224245.14999999994</v>
      </c>
      <c r="O38" s="200">
        <f t="shared" si="62"/>
        <v>62162.299066666652</v>
      </c>
      <c r="P38" s="200">
        <f t="shared" si="62"/>
        <v>3.1576</v>
      </c>
      <c r="Q38" s="200">
        <f t="shared" si="62"/>
        <v>12451.065157973331</v>
      </c>
      <c r="R38" s="200">
        <f t="shared" si="62"/>
        <v>21734.810000000009</v>
      </c>
      <c r="S38" s="200">
        <f t="shared" si="62"/>
        <v>34185.875157973329</v>
      </c>
      <c r="T38" s="200">
        <f t="shared" si="62"/>
        <v>950</v>
      </c>
      <c r="U38" s="200">
        <f t="shared" si="62"/>
        <v>16399.309999999998</v>
      </c>
      <c r="V38" s="199">
        <f t="shared" si="62"/>
        <v>0</v>
      </c>
      <c r="W38" s="199">
        <f t="shared" si="62"/>
        <v>16399.309999999998</v>
      </c>
      <c r="X38" s="199">
        <f t="shared" si="62"/>
        <v>16399.309999999998</v>
      </c>
      <c r="Y38" s="199">
        <f t="shared" si="62"/>
        <v>130091.95000000001</v>
      </c>
      <c r="Z38" s="105"/>
    </row>
    <row r="39" spans="1:32" s="51" customFormat="1" ht="26.25" customHeight="1" thickTop="1" x14ac:dyDescent="0.25">
      <c r="A39" s="100"/>
      <c r="B39" s="100"/>
      <c r="C39" s="100"/>
      <c r="D39" s="100"/>
      <c r="E39" s="100"/>
      <c r="F39" s="100"/>
      <c r="G39" s="100"/>
      <c r="H39" s="100"/>
      <c r="I39" s="101"/>
      <c r="J39" s="101"/>
      <c r="K39" s="101"/>
      <c r="L39" s="102"/>
      <c r="M39" s="102"/>
      <c r="N39" s="102"/>
      <c r="O39" s="102"/>
      <c r="P39" s="102"/>
      <c r="Q39" s="102"/>
      <c r="R39" s="102"/>
      <c r="S39" s="102"/>
      <c r="T39" s="102"/>
      <c r="U39" s="102"/>
      <c r="V39" s="101"/>
      <c r="W39" s="101"/>
      <c r="X39" s="101"/>
      <c r="Y39" s="101"/>
    </row>
    <row r="40" spans="1:32" s="51" customFormat="1" ht="26.25" customHeight="1" x14ac:dyDescent="0.25">
      <c r="A40" s="100"/>
      <c r="B40" s="100"/>
      <c r="C40" s="100"/>
      <c r="D40" s="100"/>
      <c r="E40" s="100"/>
      <c r="F40" s="100"/>
      <c r="G40" s="100"/>
      <c r="H40" s="100"/>
      <c r="I40" s="101"/>
      <c r="J40" s="101"/>
      <c r="K40" s="101"/>
      <c r="L40" s="102"/>
      <c r="M40" s="102"/>
      <c r="N40" s="102"/>
      <c r="O40" s="102"/>
      <c r="P40" s="102"/>
      <c r="Q40" s="102"/>
      <c r="R40" s="102"/>
      <c r="S40" s="102"/>
      <c r="T40" s="102"/>
      <c r="U40" s="102"/>
      <c r="V40" s="101"/>
      <c r="W40" s="101"/>
      <c r="X40" s="101"/>
      <c r="Y40" s="101"/>
    </row>
    <row r="41" spans="1:32" s="51" customFormat="1" ht="26.25" customHeight="1" x14ac:dyDescent="0.25">
      <c r="A41" s="100"/>
      <c r="B41" s="100"/>
      <c r="C41" s="100"/>
      <c r="D41" s="100"/>
      <c r="E41" s="100"/>
      <c r="F41" s="100"/>
      <c r="G41" s="100"/>
      <c r="H41" s="100"/>
      <c r="I41" s="101"/>
      <c r="J41" s="101"/>
      <c r="K41" s="101"/>
      <c r="L41" s="102"/>
      <c r="M41" s="102"/>
      <c r="N41" s="102"/>
      <c r="O41" s="102"/>
      <c r="P41" s="102"/>
      <c r="Q41" s="102"/>
      <c r="R41" s="102"/>
      <c r="S41" s="102"/>
      <c r="T41" s="102"/>
      <c r="U41" s="102"/>
      <c r="V41" s="101"/>
      <c r="W41" s="101"/>
      <c r="X41" s="101"/>
      <c r="Y41" s="101"/>
    </row>
    <row r="42" spans="1:32" s="51" customFormat="1" ht="26.25" customHeight="1" x14ac:dyDescent="0.25">
      <c r="A42" s="100"/>
      <c r="B42" s="100"/>
      <c r="C42" s="100"/>
      <c r="D42" s="100"/>
      <c r="E42" s="100"/>
      <c r="F42" s="100"/>
      <c r="G42" s="100"/>
      <c r="H42" s="100"/>
      <c r="I42" s="101"/>
      <c r="J42" s="101"/>
      <c r="K42" s="101"/>
      <c r="L42" s="102"/>
      <c r="M42" s="102"/>
      <c r="N42" s="102"/>
      <c r="O42" s="102"/>
      <c r="P42" s="102"/>
      <c r="Q42" s="102"/>
      <c r="R42" s="102"/>
      <c r="S42" s="102"/>
      <c r="T42" s="102"/>
      <c r="U42" s="102"/>
      <c r="V42" s="101"/>
      <c r="W42" s="101"/>
      <c r="X42" s="101"/>
      <c r="Y42" s="101"/>
    </row>
    <row r="43" spans="1:32" s="51" customFormat="1" ht="26.25" customHeight="1" x14ac:dyDescent="0.25">
      <c r="A43" s="100"/>
      <c r="B43" s="100"/>
      <c r="C43" s="100"/>
      <c r="D43" s="100"/>
      <c r="E43" s="100"/>
      <c r="F43" s="100"/>
      <c r="G43" s="100"/>
      <c r="H43" s="100"/>
      <c r="I43" s="101"/>
      <c r="J43" s="101"/>
      <c r="K43" s="101"/>
      <c r="L43" s="102"/>
      <c r="M43" s="102"/>
      <c r="N43" s="102"/>
      <c r="O43" s="102"/>
      <c r="P43" s="102"/>
      <c r="Q43" s="102"/>
      <c r="R43" s="102"/>
      <c r="S43" s="102"/>
      <c r="T43" s="102"/>
      <c r="U43" s="102"/>
      <c r="V43" s="101"/>
      <c r="W43" s="101"/>
      <c r="X43" s="101"/>
      <c r="Y43" s="101"/>
    </row>
    <row r="44" spans="1:32" s="51" customFormat="1" ht="26.25" customHeight="1" x14ac:dyDescent="0.25">
      <c r="A44" s="100"/>
      <c r="B44" s="100"/>
      <c r="C44" s="100"/>
      <c r="D44" s="100"/>
      <c r="E44" s="100"/>
      <c r="F44" s="100"/>
      <c r="G44" s="100"/>
      <c r="H44" s="100"/>
      <c r="I44" s="101"/>
      <c r="J44" s="101"/>
      <c r="K44" s="101"/>
      <c r="L44" s="102"/>
      <c r="M44" s="102"/>
      <c r="N44" s="102"/>
      <c r="O44" s="102"/>
      <c r="P44" s="102"/>
      <c r="Q44" s="102"/>
      <c r="R44" s="102"/>
      <c r="S44" s="102"/>
      <c r="T44" s="102"/>
      <c r="U44" s="102"/>
      <c r="V44" s="101"/>
      <c r="W44" s="101"/>
      <c r="X44" s="101"/>
      <c r="Y44" s="101"/>
    </row>
    <row r="45" spans="1:32" s="51" customFormat="1" ht="26.25" customHeight="1" x14ac:dyDescent="0.25">
      <c r="A45" s="100"/>
      <c r="B45" s="100"/>
      <c r="C45" s="100"/>
      <c r="D45" s="100"/>
      <c r="E45" s="100"/>
      <c r="F45" s="100"/>
      <c r="G45" s="100"/>
      <c r="H45" s="100"/>
      <c r="I45" s="101"/>
      <c r="J45" s="101"/>
      <c r="K45" s="101"/>
      <c r="L45" s="102"/>
      <c r="M45" s="102"/>
      <c r="N45" s="102"/>
      <c r="O45" s="102"/>
      <c r="P45" s="102"/>
      <c r="Q45" s="102"/>
      <c r="R45" s="102"/>
      <c r="S45" s="102"/>
      <c r="T45" s="102"/>
      <c r="U45" s="102"/>
      <c r="V45" s="101"/>
      <c r="W45" s="101"/>
      <c r="X45" s="101"/>
      <c r="Y45" s="101"/>
    </row>
    <row r="46" spans="1:32" s="51" customFormat="1" ht="26.25" customHeight="1" x14ac:dyDescent="0.25">
      <c r="A46" s="100"/>
      <c r="B46" s="100"/>
      <c r="C46" s="100"/>
      <c r="D46" s="100"/>
      <c r="E46" s="100"/>
      <c r="F46" s="100"/>
      <c r="G46" s="100"/>
      <c r="H46" s="100"/>
      <c r="I46" s="101"/>
      <c r="J46" s="101"/>
      <c r="K46" s="101"/>
      <c r="L46" s="102"/>
      <c r="M46" s="102"/>
      <c r="N46" s="102"/>
      <c r="O46" s="102"/>
      <c r="P46" s="102"/>
      <c r="Q46" s="102"/>
      <c r="R46" s="102"/>
      <c r="S46" s="102"/>
      <c r="T46" s="102"/>
      <c r="U46" s="102"/>
      <c r="V46" s="101"/>
      <c r="W46" s="101"/>
      <c r="X46" s="101"/>
      <c r="Y46" s="101"/>
    </row>
  </sheetData>
  <mergeCells count="14">
    <mergeCell ref="A1:Z1"/>
    <mergeCell ref="A2:Z2"/>
    <mergeCell ref="A3:Z3"/>
    <mergeCell ref="I5:K5"/>
    <mergeCell ref="N5:S5"/>
    <mergeCell ref="W5:X5"/>
    <mergeCell ref="B18:AA18"/>
    <mergeCell ref="B19:Z19"/>
    <mergeCell ref="B31:Z31"/>
    <mergeCell ref="A38:H38"/>
    <mergeCell ref="C5:C7"/>
    <mergeCell ref="B29:AA29"/>
    <mergeCell ref="B30:AA30"/>
    <mergeCell ref="B17:AA17"/>
  </mergeCells>
  <phoneticPr fontId="34" type="noConversion"/>
  <dataValidations count="1">
    <dataValidation allowBlank="1" showInputMessage="1" showErrorMessage="1" prompt="Captura el nombre asignado o el nombre como se le identifica a la plaza (ejem. Jefe de Ingresos, Secretario Particular, Oficial Mayor, etc.)" sqref="D36:D37 D25:D26 D33:D34 D23:E24 D32:E32 D35:E35 D27:E28" xr:uid="{00000000-0002-0000-0300-000000000000}"/>
  </dataValidations>
  <pageMargins left="0.27559055118110237" right="0.27559055118110237" top="0.74803149606299213" bottom="0.15748031496062992" header="0.31496062992125984" footer="0.31496062992125984"/>
  <pageSetup scale="36" orientation="landscape" horizontalDpi="4294967293" verticalDpi="36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F42"/>
  <sheetViews>
    <sheetView topLeftCell="B1" zoomScale="69" zoomScaleNormal="69" workbookViewId="0">
      <selection activeCell="I11" sqref="I11"/>
    </sheetView>
  </sheetViews>
  <sheetFormatPr baseColWidth="10" defaultColWidth="11.42578125" defaultRowHeight="12.75" x14ac:dyDescent="0.2"/>
  <cols>
    <col min="1" max="1" width="5.5703125" hidden="1" customWidth="1"/>
    <col min="2" max="2" width="13.140625" customWidth="1"/>
    <col min="3" max="3" width="10" customWidth="1"/>
    <col min="4" max="4" width="32" customWidth="1"/>
    <col min="5" max="5" width="16.42578125" customWidth="1"/>
    <col min="6" max="6" width="20.140625" customWidth="1"/>
    <col min="7" max="7" width="7.28515625" hidden="1" customWidth="1"/>
    <col min="8" max="8" width="17.85546875" hidden="1" customWidth="1"/>
    <col min="9" max="9" width="17.85546875" customWidth="1"/>
    <col min="10" max="10" width="14.5703125" customWidth="1"/>
    <col min="11" max="11" width="15.140625" customWidth="1"/>
    <col min="12" max="12" width="13.140625" hidden="1" customWidth="1"/>
    <col min="13" max="14" width="13" hidden="1" customWidth="1"/>
    <col min="15" max="15" width="14.5703125" hidden="1" customWidth="1"/>
    <col min="16" max="17" width="13.140625" hidden="1" customWidth="1"/>
    <col min="18" max="18" width="10.5703125" hidden="1" customWidth="1"/>
    <col min="19" max="19" width="10.42578125" hidden="1" customWidth="1"/>
    <col min="20" max="20" width="13.140625" hidden="1" customWidth="1"/>
    <col min="21" max="21" width="11.5703125" hidden="1" customWidth="1"/>
    <col min="22" max="22" width="9.7109375" customWidth="1"/>
    <col min="23" max="23" width="13.42578125" customWidth="1"/>
    <col min="24" max="24" width="14.7109375" customWidth="1"/>
    <col min="25" max="25" width="16.28515625" customWidth="1"/>
    <col min="26" max="26" width="55.5703125" customWidth="1"/>
  </cols>
  <sheetData>
    <row r="1" spans="1:27" ht="18" x14ac:dyDescent="0.25">
      <c r="A1" s="429" t="s">
        <v>76</v>
      </c>
      <c r="B1" s="429"/>
      <c r="C1" s="429"/>
      <c r="D1" s="429"/>
      <c r="E1" s="429"/>
      <c r="F1" s="429"/>
      <c r="G1" s="429"/>
      <c r="H1" s="429"/>
      <c r="I1" s="429"/>
      <c r="J1" s="429"/>
      <c r="K1" s="429"/>
      <c r="L1" s="429"/>
      <c r="M1" s="429"/>
      <c r="N1" s="429"/>
      <c r="O1" s="429"/>
      <c r="P1" s="429"/>
      <c r="Q1" s="429"/>
      <c r="R1" s="429"/>
      <c r="S1" s="429"/>
      <c r="T1" s="429"/>
      <c r="U1" s="429"/>
      <c r="V1" s="429"/>
      <c r="W1" s="429"/>
      <c r="X1" s="429"/>
      <c r="Y1" s="429"/>
      <c r="Z1" s="429"/>
    </row>
    <row r="2" spans="1:27" ht="18" x14ac:dyDescent="0.25">
      <c r="A2" s="429" t="s">
        <v>63</v>
      </c>
      <c r="B2" s="429"/>
      <c r="C2" s="429"/>
      <c r="D2" s="429"/>
      <c r="E2" s="429"/>
      <c r="F2" s="429"/>
      <c r="G2" s="429"/>
      <c r="H2" s="429"/>
      <c r="I2" s="429"/>
      <c r="J2" s="429"/>
      <c r="K2" s="429"/>
      <c r="L2" s="429"/>
      <c r="M2" s="429"/>
      <c r="N2" s="429"/>
      <c r="O2" s="429"/>
      <c r="P2" s="429"/>
      <c r="Q2" s="429"/>
      <c r="R2" s="429"/>
      <c r="S2" s="429"/>
      <c r="T2" s="429"/>
      <c r="U2" s="429"/>
      <c r="V2" s="429"/>
      <c r="W2" s="429"/>
      <c r="X2" s="429"/>
      <c r="Y2" s="429"/>
      <c r="Z2" s="429"/>
    </row>
    <row r="3" spans="1:27" ht="19.5" x14ac:dyDescent="0.25">
      <c r="A3" s="420" t="str">
        <f>PRESIDENCIA!A3</f>
        <v>SUELDO  DEL 01 AL 15 DE ABRIL DE 2025</v>
      </c>
      <c r="B3" s="420"/>
      <c r="C3" s="420"/>
      <c r="D3" s="420"/>
      <c r="E3" s="420"/>
      <c r="F3" s="420"/>
      <c r="G3" s="420"/>
      <c r="H3" s="420"/>
      <c r="I3" s="420"/>
      <c r="J3" s="420"/>
      <c r="K3" s="420"/>
      <c r="L3" s="420"/>
      <c r="M3" s="420"/>
      <c r="N3" s="420"/>
      <c r="O3" s="420"/>
      <c r="P3" s="420"/>
      <c r="Q3" s="420"/>
      <c r="R3" s="420"/>
      <c r="S3" s="420"/>
      <c r="T3" s="420"/>
      <c r="U3" s="420"/>
      <c r="V3" s="420"/>
      <c r="W3" s="420"/>
      <c r="X3" s="420"/>
      <c r="Y3" s="420"/>
      <c r="Z3" s="420"/>
    </row>
    <row r="4" spans="1:27" ht="24.75" customHeight="1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</row>
    <row r="5" spans="1:27" s="51" customFormat="1" ht="12" x14ac:dyDescent="0.2">
      <c r="A5" s="47"/>
      <c r="B5" s="47"/>
      <c r="C5" s="47"/>
      <c r="D5" s="47"/>
      <c r="E5" s="47"/>
      <c r="F5" s="47"/>
      <c r="G5" s="48" t="s">
        <v>22</v>
      </c>
      <c r="H5" s="48" t="s">
        <v>5</v>
      </c>
      <c r="I5" s="443" t="s">
        <v>1</v>
      </c>
      <c r="J5" s="444"/>
      <c r="K5" s="445"/>
      <c r="L5" s="49" t="s">
        <v>25</v>
      </c>
      <c r="M5" s="50"/>
      <c r="N5" s="446" t="s">
        <v>8</v>
      </c>
      <c r="O5" s="447"/>
      <c r="P5" s="447"/>
      <c r="Q5" s="447"/>
      <c r="R5" s="447"/>
      <c r="S5" s="448"/>
      <c r="T5" s="49" t="s">
        <v>29</v>
      </c>
      <c r="U5" s="49" t="s">
        <v>9</v>
      </c>
      <c r="V5" s="48" t="s">
        <v>52</v>
      </c>
      <c r="W5" s="449" t="s">
        <v>2</v>
      </c>
      <c r="X5" s="450"/>
      <c r="Y5" s="48" t="s">
        <v>0</v>
      </c>
      <c r="Z5" s="47"/>
    </row>
    <row r="6" spans="1:27" s="51" customFormat="1" ht="24" x14ac:dyDescent="0.2">
      <c r="A6" s="52" t="s">
        <v>100</v>
      </c>
      <c r="B6" s="46" t="s">
        <v>95</v>
      </c>
      <c r="C6" s="46" t="s">
        <v>113</v>
      </c>
      <c r="D6" s="52" t="s">
        <v>21</v>
      </c>
      <c r="E6" s="52"/>
      <c r="F6" s="52"/>
      <c r="G6" s="53" t="s">
        <v>23</v>
      </c>
      <c r="H6" s="52" t="s">
        <v>24</v>
      </c>
      <c r="I6" s="48" t="s">
        <v>5</v>
      </c>
      <c r="J6" s="48" t="s">
        <v>57</v>
      </c>
      <c r="K6" s="48" t="s">
        <v>27</v>
      </c>
      <c r="L6" s="54" t="s">
        <v>26</v>
      </c>
      <c r="M6" s="50" t="s">
        <v>31</v>
      </c>
      <c r="N6" s="50" t="s">
        <v>11</v>
      </c>
      <c r="O6" s="50" t="s">
        <v>33</v>
      </c>
      <c r="P6" s="50" t="s">
        <v>35</v>
      </c>
      <c r="Q6" s="50" t="s">
        <v>36</v>
      </c>
      <c r="R6" s="84" t="s">
        <v>13</v>
      </c>
      <c r="S6" s="50" t="s">
        <v>9</v>
      </c>
      <c r="T6" s="54" t="s">
        <v>39</v>
      </c>
      <c r="U6" s="54" t="s">
        <v>40</v>
      </c>
      <c r="V6" s="52" t="s">
        <v>30</v>
      </c>
      <c r="W6" s="48" t="s">
        <v>192</v>
      </c>
      <c r="X6" s="48" t="s">
        <v>6</v>
      </c>
      <c r="Y6" s="52" t="s">
        <v>3</v>
      </c>
      <c r="Z6" s="52" t="s">
        <v>56</v>
      </c>
    </row>
    <row r="7" spans="1:27" s="51" customFormat="1" ht="12" x14ac:dyDescent="0.2">
      <c r="A7" s="52"/>
      <c r="B7" s="52"/>
      <c r="C7" s="52"/>
      <c r="D7" s="52"/>
      <c r="E7" s="52"/>
      <c r="F7" s="52"/>
      <c r="G7" s="52"/>
      <c r="H7" s="52"/>
      <c r="I7" s="52" t="s">
        <v>46</v>
      </c>
      <c r="J7" s="52" t="s">
        <v>58</v>
      </c>
      <c r="K7" s="52" t="s">
        <v>28</v>
      </c>
      <c r="L7" s="54" t="s">
        <v>42</v>
      </c>
      <c r="M7" s="49" t="s">
        <v>32</v>
      </c>
      <c r="N7" s="49" t="s">
        <v>12</v>
      </c>
      <c r="O7" s="49" t="s">
        <v>34</v>
      </c>
      <c r="P7" s="49" t="s">
        <v>34</v>
      </c>
      <c r="Q7" s="49" t="s">
        <v>37</v>
      </c>
      <c r="R7" s="85" t="s">
        <v>14</v>
      </c>
      <c r="S7" s="49" t="s">
        <v>38</v>
      </c>
      <c r="T7" s="54" t="s">
        <v>18</v>
      </c>
      <c r="U7" s="55" t="s">
        <v>114</v>
      </c>
      <c r="V7" s="52" t="s">
        <v>51</v>
      </c>
      <c r="W7" s="52"/>
      <c r="X7" s="52" t="s">
        <v>43</v>
      </c>
      <c r="Y7" s="52" t="s">
        <v>4</v>
      </c>
      <c r="Z7" s="56"/>
    </row>
    <row r="8" spans="1:27" s="4" customFormat="1" ht="39.75" customHeight="1" x14ac:dyDescent="0.25">
      <c r="A8" s="92"/>
      <c r="B8" s="109"/>
      <c r="C8" s="109"/>
      <c r="D8" s="172" t="s">
        <v>68</v>
      </c>
      <c r="E8" s="142" t="s">
        <v>198</v>
      </c>
      <c r="F8" s="172" t="s">
        <v>60</v>
      </c>
      <c r="G8" s="172"/>
      <c r="H8" s="172"/>
      <c r="I8" s="173">
        <f>SUM(I9:I26)</f>
        <v>59027.28</v>
      </c>
      <c r="J8" s="173">
        <f>SUM(J9:J26)</f>
        <v>1302.55</v>
      </c>
      <c r="K8" s="173">
        <f>SUM(K9:K26)</f>
        <v>60329.829999999994</v>
      </c>
      <c r="L8" s="172"/>
      <c r="M8" s="172"/>
      <c r="N8" s="172"/>
      <c r="O8" s="172"/>
      <c r="P8" s="172"/>
      <c r="Q8" s="172"/>
      <c r="R8" s="175"/>
      <c r="S8" s="172"/>
      <c r="T8" s="172"/>
      <c r="U8" s="172"/>
      <c r="V8" s="173">
        <f>SUM(V9:V26)</f>
        <v>0</v>
      </c>
      <c r="W8" s="173">
        <f>SUM(W9:W26)</f>
        <v>3496.07</v>
      </c>
      <c r="X8" s="173">
        <f>SUM(X9:X26)</f>
        <v>3496.07</v>
      </c>
      <c r="Y8" s="173">
        <f>SUM(Y9:Y26)</f>
        <v>56833.760000000009</v>
      </c>
      <c r="Z8" s="93"/>
    </row>
    <row r="9" spans="1:27" s="319" customFormat="1" ht="220.5" customHeight="1" x14ac:dyDescent="0.2">
      <c r="A9" s="317"/>
      <c r="B9" s="268" t="s">
        <v>144</v>
      </c>
      <c r="C9" s="268" t="s">
        <v>107</v>
      </c>
      <c r="D9" s="254" t="s">
        <v>143</v>
      </c>
      <c r="E9" s="256">
        <v>43512</v>
      </c>
      <c r="F9" s="257" t="s">
        <v>142</v>
      </c>
      <c r="G9" s="258">
        <v>15</v>
      </c>
      <c r="H9" s="259">
        <f>I9/G9</f>
        <v>362.33333333333331</v>
      </c>
      <c r="I9" s="260">
        <v>5435</v>
      </c>
      <c r="J9" s="261">
        <v>362.33</v>
      </c>
      <c r="K9" s="262">
        <f>SUM(I9:J9)</f>
        <v>5797.33</v>
      </c>
      <c r="L9" s="282">
        <f>IF(I9/15&lt;=SMG,0,J9/2)</f>
        <v>181.16499999999999</v>
      </c>
      <c r="M9" s="301">
        <f>(I9+L9)/G9*30.4</f>
        <v>11382.0944</v>
      </c>
      <c r="N9" s="301">
        <f>VLOOKUP(M9,Tarifa,1)</f>
        <v>11128.02</v>
      </c>
      <c r="O9" s="282">
        <f>M9-N9</f>
        <v>254.07439999999951</v>
      </c>
      <c r="P9" s="283">
        <f>VLOOKUP(M9,Tarifa,3)</f>
        <v>0.16</v>
      </c>
      <c r="Q9" s="282">
        <f>O9*P9</f>
        <v>40.651903999999924</v>
      </c>
      <c r="R9" s="284">
        <f>VLOOKUP(M9,Tarifa,2)</f>
        <v>893.63</v>
      </c>
      <c r="S9" s="282">
        <f>Q9+R9</f>
        <v>934.28190399999994</v>
      </c>
      <c r="T9" s="282">
        <f>VLOOKUP(M9,Credito,2)</f>
        <v>0</v>
      </c>
      <c r="U9" s="282">
        <f>ROUND((S9-T9)/30.4*G9,2)</f>
        <v>460.99</v>
      </c>
      <c r="V9" s="262">
        <f>-IF(U9&gt;0,0,0)</f>
        <v>0</v>
      </c>
      <c r="W9" s="262">
        <f>IF(I9/15&lt;=SMG,0,IF(U9&lt;0,0,U9))</f>
        <v>460.99</v>
      </c>
      <c r="X9" s="262">
        <f>SUM(W9:W9)</f>
        <v>460.99</v>
      </c>
      <c r="Y9" s="262">
        <f>K9+V9-X9</f>
        <v>5336.34</v>
      </c>
      <c r="Z9" s="318"/>
    </row>
    <row r="10" spans="1:27" s="319" customFormat="1" ht="220.5" customHeight="1" x14ac:dyDescent="0.2">
      <c r="A10" s="317"/>
      <c r="B10" s="268" t="s">
        <v>187</v>
      </c>
      <c r="C10" s="268" t="s">
        <v>107</v>
      </c>
      <c r="D10" s="254" t="s">
        <v>190</v>
      </c>
      <c r="E10" s="311">
        <v>44743</v>
      </c>
      <c r="F10" s="257" t="s">
        <v>142</v>
      </c>
      <c r="G10" s="258">
        <v>15</v>
      </c>
      <c r="H10" s="259">
        <f>I10/G10</f>
        <v>362.33333333333331</v>
      </c>
      <c r="I10" s="260">
        <v>5435</v>
      </c>
      <c r="J10" s="261">
        <v>0</v>
      </c>
      <c r="K10" s="262">
        <f>SUM(I10:J10)</f>
        <v>5435</v>
      </c>
      <c r="L10" s="282">
        <f>IF(I10/15&lt;=SMG,0,J10/2)</f>
        <v>0</v>
      </c>
      <c r="M10" s="301">
        <f>(I10+L10)/G10*30.4</f>
        <v>11014.933333333332</v>
      </c>
      <c r="N10" s="301">
        <f>VLOOKUP(M10,Tarifa,1)</f>
        <v>6332.06</v>
      </c>
      <c r="O10" s="282">
        <f>M10-N10</f>
        <v>4682.8733333333321</v>
      </c>
      <c r="P10" s="283">
        <f>VLOOKUP(M10,Tarifa,3)</f>
        <v>0.10879999999999999</v>
      </c>
      <c r="Q10" s="282">
        <f>O10*P10</f>
        <v>509.49661866666651</v>
      </c>
      <c r="R10" s="284">
        <f>VLOOKUP(M10,Tarifa,2)</f>
        <v>371.83</v>
      </c>
      <c r="S10" s="282">
        <f>Q10+R10</f>
        <v>881.32661866666649</v>
      </c>
      <c r="T10" s="282">
        <f>VLOOKUP(M10,Credito,2)</f>
        <v>0</v>
      </c>
      <c r="U10" s="282">
        <f>ROUND((S10-T10)/30.4*G10,2)</f>
        <v>434.87</v>
      </c>
      <c r="V10" s="262">
        <f t="shared" ref="V10" si="0">-IF(U10&gt;0,0,0)</f>
        <v>0</v>
      </c>
      <c r="W10" s="262">
        <f>IF(I10/15&lt;=SMG,0,IF(U10&lt;0,0,U10))</f>
        <v>434.87</v>
      </c>
      <c r="X10" s="262">
        <f>SUM(W10:W10)</f>
        <v>434.87</v>
      </c>
      <c r="Y10" s="262">
        <f>K10+V10-X10</f>
        <v>5000.13</v>
      </c>
      <c r="Z10" s="318"/>
    </row>
    <row r="11" spans="1:27" s="319" customFormat="1" ht="220.5" customHeight="1" x14ac:dyDescent="0.2">
      <c r="A11" s="317"/>
      <c r="B11" s="268" t="s">
        <v>97</v>
      </c>
      <c r="C11" s="268" t="s">
        <v>107</v>
      </c>
      <c r="D11" s="254" t="s">
        <v>69</v>
      </c>
      <c r="E11" s="256">
        <v>39448</v>
      </c>
      <c r="F11" s="257" t="s">
        <v>337</v>
      </c>
      <c r="G11" s="258">
        <v>15</v>
      </c>
      <c r="H11" s="259">
        <f>I11/G11</f>
        <v>362.33333333333331</v>
      </c>
      <c r="I11" s="260">
        <v>5435</v>
      </c>
      <c r="J11" s="261">
        <v>0</v>
      </c>
      <c r="K11" s="262">
        <f>SUM(I11:J11)</f>
        <v>5435</v>
      </c>
      <c r="L11" s="282">
        <f>IF(I11/15&lt;=SMG,0,J11/2)</f>
        <v>0</v>
      </c>
      <c r="M11" s="301">
        <f>(I11+L11)/G11*30.4</f>
        <v>11014.933333333332</v>
      </c>
      <c r="N11" s="301">
        <f>VLOOKUP(M11,Tarifa,1)</f>
        <v>6332.06</v>
      </c>
      <c r="O11" s="282">
        <f>M11-N11</f>
        <v>4682.8733333333321</v>
      </c>
      <c r="P11" s="283">
        <f>VLOOKUP(M11,Tarifa,3)</f>
        <v>0.10879999999999999</v>
      </c>
      <c r="Q11" s="282">
        <f>O11*P11</f>
        <v>509.49661866666651</v>
      </c>
      <c r="R11" s="284">
        <f>VLOOKUP(M11,Tarifa,2)</f>
        <v>371.83</v>
      </c>
      <c r="S11" s="282">
        <f>Q11+R11</f>
        <v>881.32661866666649</v>
      </c>
      <c r="T11" s="282">
        <f>VLOOKUP(M11,Credito,2)</f>
        <v>0</v>
      </c>
      <c r="U11" s="282">
        <f>ROUND((S11-T11)/30.4*G11,2)</f>
        <v>434.87</v>
      </c>
      <c r="V11" s="262">
        <f t="shared" ref="V11:V36" si="1">-IF(U11&gt;0,0,0)</f>
        <v>0</v>
      </c>
      <c r="W11" s="262">
        <f>IF(I11/15&lt;=SMG,0,IF(U11&lt;0,0,U11))</f>
        <v>434.87</v>
      </c>
      <c r="X11" s="262">
        <f>SUM(W11:W11)</f>
        <v>434.87</v>
      </c>
      <c r="Y11" s="262">
        <f>K11+V11-X11</f>
        <v>5000.13</v>
      </c>
      <c r="Z11" s="318"/>
    </row>
    <row r="12" spans="1:27" s="319" customFormat="1" ht="220.5" customHeight="1" x14ac:dyDescent="0.2">
      <c r="A12" s="317"/>
      <c r="B12" s="274" t="s">
        <v>149</v>
      </c>
      <c r="C12" s="268" t="s">
        <v>107</v>
      </c>
      <c r="D12" s="275" t="s">
        <v>148</v>
      </c>
      <c r="E12" s="277">
        <v>43617</v>
      </c>
      <c r="F12" s="257" t="s">
        <v>337</v>
      </c>
      <c r="G12" s="258">
        <v>15</v>
      </c>
      <c r="H12" s="259">
        <f>I12/G12</f>
        <v>362.33333333333331</v>
      </c>
      <c r="I12" s="260">
        <v>5435</v>
      </c>
      <c r="J12" s="261">
        <v>362.23</v>
      </c>
      <c r="K12" s="262">
        <f>SUM(I12:J12)</f>
        <v>5797.23</v>
      </c>
      <c r="L12" s="282">
        <f>IF(I12/15&lt;=SMG,0,J12/2)</f>
        <v>181.11500000000001</v>
      </c>
      <c r="M12" s="301">
        <f>(I12+L12)/G12*30.4</f>
        <v>11381.993066666666</v>
      </c>
      <c r="N12" s="301">
        <f>VLOOKUP(M12,Tarifa,1)</f>
        <v>11128.02</v>
      </c>
      <c r="O12" s="282">
        <f>M12-N12</f>
        <v>253.97306666666555</v>
      </c>
      <c r="P12" s="283">
        <f>VLOOKUP(M12,Tarifa,3)</f>
        <v>0.16</v>
      </c>
      <c r="Q12" s="282">
        <f>O12*P12</f>
        <v>40.635690666666491</v>
      </c>
      <c r="R12" s="284">
        <f>VLOOKUP(M12,Tarifa,2)</f>
        <v>893.63</v>
      </c>
      <c r="S12" s="282">
        <f>Q12+R12</f>
        <v>934.2656906666665</v>
      </c>
      <c r="T12" s="282">
        <f>VLOOKUP(M12,Credito,2)</f>
        <v>0</v>
      </c>
      <c r="U12" s="282">
        <f>ROUND((S12-T12)/30.4*G12,2)</f>
        <v>460.99</v>
      </c>
      <c r="V12" s="262">
        <f t="shared" ref="V12" si="2">-IF(U12&gt;0,0,0)</f>
        <v>0</v>
      </c>
      <c r="W12" s="262">
        <f>IF(I12/15&lt;=SMG,0,IF(U12&lt;0,0,U12))</f>
        <v>460.99</v>
      </c>
      <c r="X12" s="262">
        <f>SUM(W12:W12)</f>
        <v>460.99</v>
      </c>
      <c r="Y12" s="262">
        <f>K12+V12-X12</f>
        <v>5336.24</v>
      </c>
      <c r="Z12" s="318"/>
    </row>
    <row r="13" spans="1:27" s="319" customFormat="1" ht="220.5" customHeight="1" x14ac:dyDescent="0.2">
      <c r="A13" s="317"/>
      <c r="B13" s="268" t="s">
        <v>119</v>
      </c>
      <c r="C13" s="268" t="s">
        <v>107</v>
      </c>
      <c r="D13" s="275" t="s">
        <v>118</v>
      </c>
      <c r="E13" s="316">
        <v>42948</v>
      </c>
      <c r="F13" s="257" t="s">
        <v>338</v>
      </c>
      <c r="G13" s="258">
        <v>15</v>
      </c>
      <c r="H13" s="259">
        <f>I13/G13</f>
        <v>373.2</v>
      </c>
      <c r="I13" s="260">
        <v>5598</v>
      </c>
      <c r="J13" s="261">
        <v>0</v>
      </c>
      <c r="K13" s="262">
        <f>SUM(I13:J13)</f>
        <v>5598</v>
      </c>
      <c r="L13" s="282">
        <f>IF(I13/15&lt;=SMG,0,J13/2)</f>
        <v>0</v>
      </c>
      <c r="M13" s="301">
        <f>(I13+L13)/G13*30.4</f>
        <v>11345.279999999999</v>
      </c>
      <c r="N13" s="301">
        <f>VLOOKUP(M13,Tarifa,1)</f>
        <v>11128.02</v>
      </c>
      <c r="O13" s="282">
        <f>M13-N13</f>
        <v>217.2599999999984</v>
      </c>
      <c r="P13" s="283">
        <f>VLOOKUP(M13,Tarifa,3)</f>
        <v>0.16</v>
      </c>
      <c r="Q13" s="282">
        <f>O13*P13</f>
        <v>34.761599999999746</v>
      </c>
      <c r="R13" s="284">
        <f>VLOOKUP(M13,Tarifa,2)</f>
        <v>893.63</v>
      </c>
      <c r="S13" s="282">
        <f>Q13+R13</f>
        <v>928.3915999999997</v>
      </c>
      <c r="T13" s="282">
        <f>VLOOKUP(M13,Credito,2)</f>
        <v>0</v>
      </c>
      <c r="U13" s="282">
        <f>ROUND((S13-T13)/30.4*G13,2)</f>
        <v>458.09</v>
      </c>
      <c r="V13" s="262">
        <f>-IF(U13&gt;0,0,0)</f>
        <v>0</v>
      </c>
      <c r="W13" s="262">
        <f>IF(I13/15&lt;=SMG,0,IF(U13&lt;0,0,U13))</f>
        <v>458.09</v>
      </c>
      <c r="X13" s="262">
        <f>SUM(W13:W13)</f>
        <v>458.09</v>
      </c>
      <c r="Y13" s="262">
        <f>K13+V13-X13</f>
        <v>5139.91</v>
      </c>
      <c r="Z13" s="318"/>
    </row>
    <row r="14" spans="1:27" s="4" customFormat="1" ht="12.75" customHeight="1" x14ac:dyDescent="0.3">
      <c r="A14" s="196"/>
      <c r="B14" s="204"/>
      <c r="C14" s="204"/>
      <c r="D14" s="205"/>
      <c r="E14" s="207"/>
      <c r="F14" s="198"/>
      <c r="G14" s="208"/>
      <c r="H14" s="209"/>
      <c r="I14" s="210"/>
      <c r="J14" s="211"/>
      <c r="K14" s="212"/>
      <c r="L14" s="213"/>
      <c r="M14" s="213"/>
      <c r="N14" s="213"/>
      <c r="O14" s="213"/>
      <c r="P14" s="214"/>
      <c r="Q14" s="213"/>
      <c r="R14" s="215"/>
      <c r="S14" s="213"/>
      <c r="T14" s="213"/>
      <c r="U14" s="213"/>
      <c r="V14" s="212"/>
      <c r="W14" s="212"/>
      <c r="X14" s="212"/>
      <c r="Y14" s="212"/>
    </row>
    <row r="15" spans="1:27" s="4" customFormat="1" ht="12.75" customHeight="1" x14ac:dyDescent="0.3">
      <c r="A15" s="196"/>
      <c r="B15" s="204"/>
      <c r="C15" s="204"/>
      <c r="D15" s="205"/>
      <c r="E15" s="207"/>
      <c r="F15" s="198"/>
      <c r="G15" s="208"/>
      <c r="H15" s="209"/>
      <c r="I15" s="210"/>
      <c r="J15" s="211"/>
      <c r="K15" s="212"/>
      <c r="L15" s="213"/>
      <c r="M15" s="213"/>
      <c r="N15" s="213"/>
      <c r="O15" s="213"/>
      <c r="P15" s="214"/>
      <c r="Q15" s="213"/>
      <c r="R15" s="215"/>
      <c r="S15" s="213"/>
      <c r="T15" s="213"/>
      <c r="U15" s="213"/>
      <c r="V15" s="212"/>
      <c r="W15" s="212"/>
      <c r="X15" s="212"/>
      <c r="Y15" s="212"/>
    </row>
    <row r="16" spans="1:27" s="4" customFormat="1" ht="27" customHeight="1" x14ac:dyDescent="0.25">
      <c r="A16" s="196"/>
      <c r="B16" s="429" t="s">
        <v>76</v>
      </c>
      <c r="C16" s="429"/>
      <c r="D16" s="429"/>
      <c r="E16" s="429"/>
      <c r="F16" s="429"/>
      <c r="G16" s="429"/>
      <c r="H16" s="429"/>
      <c r="I16" s="429"/>
      <c r="J16" s="429"/>
      <c r="K16" s="429"/>
      <c r="L16" s="429"/>
      <c r="M16" s="429"/>
      <c r="N16" s="429"/>
      <c r="O16" s="429"/>
      <c r="P16" s="429"/>
      <c r="Q16" s="429"/>
      <c r="R16" s="429"/>
      <c r="S16" s="429"/>
      <c r="T16" s="429"/>
      <c r="U16" s="429"/>
      <c r="V16" s="429"/>
      <c r="W16" s="429"/>
      <c r="X16" s="429"/>
      <c r="Y16" s="429"/>
      <c r="Z16" s="429"/>
      <c r="AA16" s="429"/>
    </row>
    <row r="17" spans="1:27" s="4" customFormat="1" ht="27" customHeight="1" x14ac:dyDescent="0.25">
      <c r="A17" s="196"/>
      <c r="B17" s="429" t="s">
        <v>63</v>
      </c>
      <c r="C17" s="429"/>
      <c r="D17" s="429"/>
      <c r="E17" s="429"/>
      <c r="F17" s="429"/>
      <c r="G17" s="429"/>
      <c r="H17" s="429"/>
      <c r="I17" s="429"/>
      <c r="J17" s="429"/>
      <c r="K17" s="429"/>
      <c r="L17" s="429"/>
      <c r="M17" s="429"/>
      <c r="N17" s="429"/>
      <c r="O17" s="429"/>
      <c r="P17" s="429"/>
      <c r="Q17" s="429"/>
      <c r="R17" s="429"/>
      <c r="S17" s="429"/>
      <c r="T17" s="429"/>
      <c r="U17" s="429"/>
      <c r="V17" s="429"/>
      <c r="W17" s="429"/>
      <c r="X17" s="429"/>
      <c r="Y17" s="429"/>
      <c r="Z17" s="429"/>
      <c r="AA17" s="429"/>
    </row>
    <row r="18" spans="1:27" s="4" customFormat="1" ht="27" customHeight="1" x14ac:dyDescent="0.3">
      <c r="A18" s="196"/>
      <c r="B18" s="451" t="str">
        <f>PRESIDENCIA!A3</f>
        <v>SUELDO  DEL 01 AL 15 DE ABRIL DE 2025</v>
      </c>
      <c r="C18" s="451"/>
      <c r="D18" s="451"/>
      <c r="E18" s="451"/>
      <c r="F18" s="451"/>
      <c r="G18" s="451"/>
      <c r="H18" s="451"/>
      <c r="I18" s="451"/>
      <c r="J18" s="451"/>
      <c r="K18" s="451"/>
      <c r="L18" s="451"/>
      <c r="M18" s="451"/>
      <c r="N18" s="451"/>
      <c r="O18" s="451"/>
      <c r="P18" s="451"/>
      <c r="Q18" s="451"/>
      <c r="R18" s="451"/>
      <c r="S18" s="451"/>
      <c r="T18" s="451"/>
      <c r="U18" s="451"/>
      <c r="V18" s="451"/>
      <c r="W18" s="451"/>
      <c r="X18" s="451"/>
      <c r="Y18" s="451"/>
      <c r="Z18" s="451"/>
    </row>
    <row r="19" spans="1:27" s="4" customFormat="1" ht="18.75" customHeight="1" x14ac:dyDescent="0.3">
      <c r="A19" s="196"/>
      <c r="B19" s="204"/>
      <c r="C19" s="204"/>
      <c r="D19" s="205"/>
      <c r="E19" s="207"/>
      <c r="F19" s="198"/>
      <c r="G19" s="208"/>
      <c r="H19" s="209"/>
      <c r="I19" s="210"/>
      <c r="J19" s="211"/>
      <c r="K19" s="212"/>
      <c r="L19" s="213"/>
      <c r="M19" s="213"/>
      <c r="N19" s="213"/>
      <c r="O19" s="213"/>
      <c r="P19" s="214"/>
      <c r="Q19" s="213"/>
      <c r="R19" s="215"/>
      <c r="S19" s="213"/>
      <c r="T19" s="213"/>
      <c r="U19" s="213"/>
      <c r="V19" s="212"/>
      <c r="W19" s="212"/>
      <c r="X19" s="212"/>
      <c r="Y19" s="212"/>
    </row>
    <row r="20" spans="1:27" s="319" customFormat="1" ht="160.5" customHeight="1" x14ac:dyDescent="0.2">
      <c r="A20" s="320"/>
      <c r="B20" s="321" t="s">
        <v>282</v>
      </c>
      <c r="C20" s="321" t="s">
        <v>107</v>
      </c>
      <c r="D20" s="322" t="s">
        <v>276</v>
      </c>
      <c r="E20" s="323">
        <v>45566</v>
      </c>
      <c r="F20" s="324" t="s">
        <v>96</v>
      </c>
      <c r="G20" s="258">
        <v>15</v>
      </c>
      <c r="H20" s="259">
        <f t="shared" ref="H20:H26" si="3">I20/G20</f>
        <v>317.46666666666664</v>
      </c>
      <c r="I20" s="325">
        <v>4762</v>
      </c>
      <c r="J20" s="326">
        <v>0</v>
      </c>
      <c r="K20" s="327">
        <f t="shared" ref="K20" si="4">SUM(I20:J20)</f>
        <v>4762</v>
      </c>
      <c r="L20" s="282">
        <f>IF(I20/15&lt;=SMG,0,J20/2)</f>
        <v>0</v>
      </c>
      <c r="M20" s="301">
        <f>(I20+L20)/G20*30.4</f>
        <v>9650.9866666666658</v>
      </c>
      <c r="N20" s="301">
        <f>VLOOKUP(M20,Tarifa,1)</f>
        <v>6332.06</v>
      </c>
      <c r="O20" s="282">
        <f>M20-N20</f>
        <v>3318.9266666666654</v>
      </c>
      <c r="P20" s="283">
        <f>VLOOKUP(M20,Tarifa,3)</f>
        <v>0.10879999999999999</v>
      </c>
      <c r="Q20" s="282">
        <f>O20*P20</f>
        <v>361.09922133333316</v>
      </c>
      <c r="R20" s="284">
        <f>VLOOKUP(M20,Tarifa,2)</f>
        <v>371.83</v>
      </c>
      <c r="S20" s="282">
        <f>Q20+R20</f>
        <v>732.92922133333309</v>
      </c>
      <c r="T20" s="282">
        <f>VLOOKUP(M20,Credito,2)</f>
        <v>475</v>
      </c>
      <c r="U20" s="282">
        <f>ROUND((S20-T20)/30.4*G20,2)</f>
        <v>127.27</v>
      </c>
      <c r="V20" s="327">
        <f t="shared" ref="V20:V21" si="5">-IF(U20&gt;0,0,0)</f>
        <v>0</v>
      </c>
      <c r="W20" s="327">
        <f t="shared" ref="W20:W21" si="6">IF(I20/15&lt;=SMG,0,IF(U20&lt;0,0,U20))</f>
        <v>127.27</v>
      </c>
      <c r="X20" s="327">
        <f t="shared" ref="X20:X26" si="7">SUM(W20:W20)</f>
        <v>127.27</v>
      </c>
      <c r="Y20" s="327">
        <f t="shared" ref="Y20:Y26" si="8">K20+V20-X20</f>
        <v>4634.7299999999996</v>
      </c>
      <c r="Z20" s="328"/>
    </row>
    <row r="21" spans="1:27" s="319" customFormat="1" ht="160.5" customHeight="1" x14ac:dyDescent="0.2">
      <c r="A21" s="320"/>
      <c r="B21" s="268" t="s">
        <v>215</v>
      </c>
      <c r="C21" s="268" t="s">
        <v>107</v>
      </c>
      <c r="D21" s="275" t="s">
        <v>214</v>
      </c>
      <c r="E21" s="316">
        <v>45123</v>
      </c>
      <c r="F21" s="257" t="s">
        <v>213</v>
      </c>
      <c r="G21" s="258">
        <v>15</v>
      </c>
      <c r="H21" s="259">
        <f t="shared" si="3"/>
        <v>305.06666666666666</v>
      </c>
      <c r="I21" s="260">
        <v>4576</v>
      </c>
      <c r="J21" s="261">
        <v>305.06</v>
      </c>
      <c r="K21" s="262">
        <f>SUM(I21:J21)</f>
        <v>4881.0600000000004</v>
      </c>
      <c r="L21" s="282">
        <f>IF(I21/15&lt;=SMG,0,J21/2)</f>
        <v>152.53</v>
      </c>
      <c r="M21" s="301">
        <f>(I21+L21)/G21*30.4</f>
        <v>9583.1541333333316</v>
      </c>
      <c r="N21" s="301">
        <f>VLOOKUP(M21,Tarifa,1)</f>
        <v>6332.06</v>
      </c>
      <c r="O21" s="282">
        <f>M21-N21</f>
        <v>3251.0941333333312</v>
      </c>
      <c r="P21" s="283">
        <f>VLOOKUP(M21,Tarifa,3)</f>
        <v>0.10879999999999999</v>
      </c>
      <c r="Q21" s="282">
        <f>O21*P21</f>
        <v>353.71904170666642</v>
      </c>
      <c r="R21" s="284">
        <f>VLOOKUP(M21,Tarifa,2)</f>
        <v>371.83</v>
      </c>
      <c r="S21" s="282">
        <f>Q21+R21</f>
        <v>725.54904170666646</v>
      </c>
      <c r="T21" s="282">
        <f>VLOOKUP(M21,Credito,2)</f>
        <v>475</v>
      </c>
      <c r="U21" s="282">
        <f>ROUND((S21-T21)/30.4*G21,2)</f>
        <v>123.63</v>
      </c>
      <c r="V21" s="262">
        <f t="shared" si="5"/>
        <v>0</v>
      </c>
      <c r="W21" s="262">
        <f t="shared" si="6"/>
        <v>123.63</v>
      </c>
      <c r="X21" s="262">
        <f t="shared" si="7"/>
        <v>123.63</v>
      </c>
      <c r="Y21" s="262">
        <f t="shared" si="8"/>
        <v>4757.43</v>
      </c>
      <c r="Z21" s="328"/>
    </row>
    <row r="22" spans="1:27" s="319" customFormat="1" ht="160.5" customHeight="1" x14ac:dyDescent="0.2">
      <c r="A22" s="317"/>
      <c r="B22" s="268" t="s">
        <v>150</v>
      </c>
      <c r="C22" s="268" t="s">
        <v>107</v>
      </c>
      <c r="D22" s="275" t="s">
        <v>151</v>
      </c>
      <c r="E22" s="316">
        <v>43709</v>
      </c>
      <c r="F22" s="257" t="s">
        <v>176</v>
      </c>
      <c r="G22" s="258">
        <v>15</v>
      </c>
      <c r="H22" s="259">
        <f t="shared" si="3"/>
        <v>288</v>
      </c>
      <c r="I22" s="260">
        <v>4320</v>
      </c>
      <c r="J22" s="261">
        <v>0</v>
      </c>
      <c r="K22" s="262">
        <f>SUM(I22:J22)</f>
        <v>4320</v>
      </c>
      <c r="L22" s="282">
        <f>IF(I22/15&lt;=SMG,0,J22/2)</f>
        <v>0</v>
      </c>
      <c r="M22" s="301">
        <f>(I22+L22)/G22*30.4</f>
        <v>8755.1999999999989</v>
      </c>
      <c r="N22" s="301">
        <f>VLOOKUP(M22,Tarifa,1)</f>
        <v>6332.06</v>
      </c>
      <c r="O22" s="282">
        <f>M22-N22</f>
        <v>2423.1399999999985</v>
      </c>
      <c r="P22" s="283">
        <f>VLOOKUP(M22,Tarifa,3)</f>
        <v>0.10879999999999999</v>
      </c>
      <c r="Q22" s="282">
        <f>O22*P22</f>
        <v>263.63763199999983</v>
      </c>
      <c r="R22" s="284">
        <f>VLOOKUP(M22,Tarifa,2)</f>
        <v>371.83</v>
      </c>
      <c r="S22" s="282">
        <f>Q22+R22</f>
        <v>635.46763199999987</v>
      </c>
      <c r="T22" s="282">
        <f>VLOOKUP(M22,Credito,2)</f>
        <v>475</v>
      </c>
      <c r="U22" s="282">
        <f>ROUND((S22-T22)/30.4*G22,2)</f>
        <v>79.180000000000007</v>
      </c>
      <c r="V22" s="262">
        <f t="shared" si="1"/>
        <v>0</v>
      </c>
      <c r="W22" s="262">
        <f>IF(I22/15&lt;=SMG,0,IF(U22&lt;0,0,U22))</f>
        <v>79.180000000000007</v>
      </c>
      <c r="X22" s="262">
        <f t="shared" si="7"/>
        <v>79.180000000000007</v>
      </c>
      <c r="Y22" s="262">
        <f t="shared" si="8"/>
        <v>4240.82</v>
      </c>
      <c r="Z22" s="318"/>
    </row>
    <row r="23" spans="1:27" s="319" customFormat="1" ht="160.5" customHeight="1" x14ac:dyDescent="0.2">
      <c r="A23" s="317"/>
      <c r="B23" s="274" t="s">
        <v>177</v>
      </c>
      <c r="C23" s="268" t="s">
        <v>107</v>
      </c>
      <c r="D23" s="254" t="s">
        <v>172</v>
      </c>
      <c r="E23" s="256">
        <v>44473</v>
      </c>
      <c r="F23" s="257" t="s">
        <v>275</v>
      </c>
      <c r="G23" s="258">
        <v>15</v>
      </c>
      <c r="H23" s="259">
        <f t="shared" si="3"/>
        <v>272.93333333333334</v>
      </c>
      <c r="I23" s="260">
        <v>4094</v>
      </c>
      <c r="J23" s="261">
        <v>272.93</v>
      </c>
      <c r="K23" s="262">
        <f>SUM(I23:J23)</f>
        <v>4366.93</v>
      </c>
      <c r="L23" s="282">
        <f>IF(I23/15&lt;=SMG,0,J23/2)</f>
        <v>0</v>
      </c>
      <c r="M23" s="301">
        <f>(I23+L23)/G23*30.4</f>
        <v>8297.1733333333323</v>
      </c>
      <c r="N23" s="301">
        <f>VLOOKUP(M23,Tarifa,1)</f>
        <v>6332.06</v>
      </c>
      <c r="O23" s="282">
        <f>M23-N23</f>
        <v>1965.1133333333319</v>
      </c>
      <c r="P23" s="283">
        <f>VLOOKUP(M23,Tarifa,3)</f>
        <v>0.10879999999999999</v>
      </c>
      <c r="Q23" s="282">
        <f>O23*P23</f>
        <v>213.80433066666649</v>
      </c>
      <c r="R23" s="284">
        <f>VLOOKUP(M23,Tarifa,2)</f>
        <v>371.83</v>
      </c>
      <c r="S23" s="282">
        <f>Q23+R23</f>
        <v>585.63433066666653</v>
      </c>
      <c r="T23" s="282">
        <f>VLOOKUP(M23,Credito,2)</f>
        <v>475</v>
      </c>
      <c r="U23" s="282">
        <f>ROUND((S23-T23)/30.4*G23,2)</f>
        <v>54.59</v>
      </c>
      <c r="V23" s="262">
        <f>-IF(U23&gt;0,0,0)</f>
        <v>0</v>
      </c>
      <c r="W23" s="262">
        <f t="shared" ref="W23:W26" si="9">IF(I23/15&lt;=SMG,0,IF(U23&lt;0,0,U23))</f>
        <v>0</v>
      </c>
      <c r="X23" s="262">
        <f t="shared" si="7"/>
        <v>0</v>
      </c>
      <c r="Y23" s="262">
        <f t="shared" si="8"/>
        <v>4366.93</v>
      </c>
      <c r="Z23" s="318"/>
    </row>
    <row r="24" spans="1:27" s="319" customFormat="1" ht="160.5" customHeight="1" x14ac:dyDescent="0.2">
      <c r="A24" s="317"/>
      <c r="B24" s="274" t="s">
        <v>347</v>
      </c>
      <c r="C24" s="268" t="s">
        <v>107</v>
      </c>
      <c r="D24" s="254" t="s">
        <v>349</v>
      </c>
      <c r="E24" s="256">
        <v>45673</v>
      </c>
      <c r="F24" s="257" t="s">
        <v>257</v>
      </c>
      <c r="G24" s="258">
        <v>15</v>
      </c>
      <c r="H24" s="259">
        <f t="shared" si="3"/>
        <v>373.2</v>
      </c>
      <c r="I24" s="260">
        <v>5598</v>
      </c>
      <c r="J24" s="261">
        <v>0</v>
      </c>
      <c r="K24" s="262">
        <f t="shared" ref="K24:K26" si="10">SUM(I24:J24)</f>
        <v>5598</v>
      </c>
      <c r="L24" s="282">
        <f t="shared" ref="L24:L26" si="11">IF(I24/15&lt;=SMG,0,J24/2)</f>
        <v>0</v>
      </c>
      <c r="M24" s="301">
        <f t="shared" ref="M24:M26" si="12">(I24+L24)/G24*30.4</f>
        <v>11345.279999999999</v>
      </c>
      <c r="N24" s="301">
        <f t="shared" ref="N24:N26" si="13">VLOOKUP(M24,Tarifa,1)</f>
        <v>11128.02</v>
      </c>
      <c r="O24" s="282">
        <f t="shared" ref="O24:O26" si="14">M24-N24</f>
        <v>217.2599999999984</v>
      </c>
      <c r="P24" s="283">
        <f t="shared" ref="P24:P26" si="15">VLOOKUP(M24,Tarifa,3)</f>
        <v>0.16</v>
      </c>
      <c r="Q24" s="282">
        <f t="shared" ref="Q24:Q26" si="16">O24*P24</f>
        <v>34.761599999999746</v>
      </c>
      <c r="R24" s="284">
        <f t="shared" ref="R24:R26" si="17">VLOOKUP(M24,Tarifa,2)</f>
        <v>893.63</v>
      </c>
      <c r="S24" s="282">
        <f t="shared" ref="S24:S26" si="18">Q24+R24</f>
        <v>928.3915999999997</v>
      </c>
      <c r="T24" s="282">
        <f t="shared" ref="T24:T26" si="19">VLOOKUP(M24,Credito,2)</f>
        <v>0</v>
      </c>
      <c r="U24" s="282">
        <f t="shared" ref="U24:U26" si="20">ROUND((S24-T24)/30.4*G24,2)</f>
        <v>458.09</v>
      </c>
      <c r="V24" s="262">
        <f t="shared" ref="V24:V26" si="21">-IF(U24&gt;0,0,0)</f>
        <v>0</v>
      </c>
      <c r="W24" s="262">
        <f t="shared" si="9"/>
        <v>458.09</v>
      </c>
      <c r="X24" s="262">
        <f t="shared" si="7"/>
        <v>458.09</v>
      </c>
      <c r="Y24" s="262">
        <f t="shared" si="8"/>
        <v>5139.91</v>
      </c>
      <c r="Z24" s="318"/>
    </row>
    <row r="25" spans="1:27" s="319" customFormat="1" ht="160.5" customHeight="1" x14ac:dyDescent="0.2">
      <c r="A25" s="317"/>
      <c r="B25" s="274" t="s">
        <v>348</v>
      </c>
      <c r="C25" s="268" t="s">
        <v>107</v>
      </c>
      <c r="D25" s="254" t="s">
        <v>350</v>
      </c>
      <c r="E25" s="256">
        <v>45673</v>
      </c>
      <c r="F25" s="257" t="s">
        <v>257</v>
      </c>
      <c r="G25" s="258">
        <v>15</v>
      </c>
      <c r="H25" s="259">
        <f t="shared" ref="H25" si="22">I25/G25</f>
        <v>373.2</v>
      </c>
      <c r="I25" s="260">
        <v>5598</v>
      </c>
      <c r="J25" s="261">
        <v>0</v>
      </c>
      <c r="K25" s="262">
        <f t="shared" ref="K25" si="23">SUM(I25:J25)</f>
        <v>5598</v>
      </c>
      <c r="L25" s="282">
        <f t="shared" ref="L25" si="24">IF(I25/15&lt;=SMG,0,J25/2)</f>
        <v>0</v>
      </c>
      <c r="M25" s="301">
        <f t="shared" ref="M25" si="25">(I25+L25)/G25*30.4</f>
        <v>11345.279999999999</v>
      </c>
      <c r="N25" s="301">
        <f t="shared" ref="N25" si="26">VLOOKUP(M25,Tarifa,1)</f>
        <v>11128.02</v>
      </c>
      <c r="O25" s="282">
        <f t="shared" ref="O25" si="27">M25-N25</f>
        <v>217.2599999999984</v>
      </c>
      <c r="P25" s="283">
        <f t="shared" ref="P25" si="28">VLOOKUP(M25,Tarifa,3)</f>
        <v>0.16</v>
      </c>
      <c r="Q25" s="282">
        <f t="shared" ref="Q25" si="29">O25*P25</f>
        <v>34.761599999999746</v>
      </c>
      <c r="R25" s="284">
        <f t="shared" ref="R25" si="30">VLOOKUP(M25,Tarifa,2)</f>
        <v>893.63</v>
      </c>
      <c r="S25" s="282">
        <f t="shared" ref="S25" si="31">Q25+R25</f>
        <v>928.3915999999997</v>
      </c>
      <c r="T25" s="282">
        <f t="shared" ref="T25" si="32">VLOOKUP(M25,Credito,2)</f>
        <v>0</v>
      </c>
      <c r="U25" s="282">
        <f t="shared" ref="U25" si="33">ROUND((S25-T25)/30.4*G25,2)</f>
        <v>458.09</v>
      </c>
      <c r="V25" s="262">
        <f t="shared" ref="V25" si="34">-IF(U25&gt;0,0,0)</f>
        <v>0</v>
      </c>
      <c r="W25" s="262">
        <f t="shared" ref="W25" si="35">IF(I25/15&lt;=SMG,0,IF(U25&lt;0,0,U25))</f>
        <v>458.09</v>
      </c>
      <c r="X25" s="262">
        <f t="shared" si="7"/>
        <v>458.09</v>
      </c>
      <c r="Y25" s="262">
        <f t="shared" si="8"/>
        <v>5139.91</v>
      </c>
      <c r="Z25" s="318"/>
    </row>
    <row r="26" spans="1:27" s="319" customFormat="1" ht="160.5" customHeight="1" x14ac:dyDescent="0.2">
      <c r="A26" s="317"/>
      <c r="B26" s="274" t="s">
        <v>388</v>
      </c>
      <c r="C26" s="268" t="s">
        <v>107</v>
      </c>
      <c r="D26" s="254" t="s">
        <v>389</v>
      </c>
      <c r="E26" s="256">
        <v>45754</v>
      </c>
      <c r="F26" s="257" t="s">
        <v>257</v>
      </c>
      <c r="G26" s="258">
        <v>15</v>
      </c>
      <c r="H26" s="259">
        <f t="shared" si="3"/>
        <v>182.75200000000001</v>
      </c>
      <c r="I26" s="260">
        <v>2741.28</v>
      </c>
      <c r="J26" s="261">
        <v>0</v>
      </c>
      <c r="K26" s="262">
        <f t="shared" si="10"/>
        <v>2741.28</v>
      </c>
      <c r="L26" s="282">
        <f t="shared" si="11"/>
        <v>0</v>
      </c>
      <c r="M26" s="301">
        <f t="shared" si="12"/>
        <v>5555.6607999999997</v>
      </c>
      <c r="N26" s="301">
        <f t="shared" si="13"/>
        <v>746.05</v>
      </c>
      <c r="O26" s="282">
        <f t="shared" si="14"/>
        <v>4809.6107999999995</v>
      </c>
      <c r="P26" s="283">
        <f t="shared" si="15"/>
        <v>6.4000000000000001E-2</v>
      </c>
      <c r="Q26" s="282">
        <f t="shared" si="16"/>
        <v>307.81509119999998</v>
      </c>
      <c r="R26" s="284">
        <f t="shared" si="17"/>
        <v>14.32</v>
      </c>
      <c r="S26" s="282">
        <f t="shared" si="18"/>
        <v>322.13509119999998</v>
      </c>
      <c r="T26" s="282">
        <f t="shared" si="19"/>
        <v>475</v>
      </c>
      <c r="U26" s="282">
        <f t="shared" si="20"/>
        <v>-75.430000000000007</v>
      </c>
      <c r="V26" s="262">
        <f t="shared" si="21"/>
        <v>0</v>
      </c>
      <c r="W26" s="262">
        <f t="shared" si="9"/>
        <v>0</v>
      </c>
      <c r="X26" s="262">
        <f t="shared" si="7"/>
        <v>0</v>
      </c>
      <c r="Y26" s="262">
        <f t="shared" si="8"/>
        <v>2741.28</v>
      </c>
      <c r="Z26" s="318"/>
    </row>
    <row r="27" spans="1:27" s="319" customFormat="1" ht="56.25" customHeight="1" x14ac:dyDescent="0.2">
      <c r="A27" s="399"/>
      <c r="B27" s="388"/>
      <c r="C27" s="389"/>
      <c r="D27" s="390"/>
      <c r="E27" s="391"/>
      <c r="F27" s="392"/>
      <c r="G27" s="393"/>
      <c r="H27" s="394"/>
      <c r="I27" s="395"/>
      <c r="J27" s="396"/>
      <c r="K27" s="397"/>
      <c r="L27" s="371"/>
      <c r="M27" s="372"/>
      <c r="N27" s="372"/>
      <c r="O27" s="371"/>
      <c r="P27" s="373"/>
      <c r="Q27" s="371"/>
      <c r="R27" s="374"/>
      <c r="S27" s="371"/>
      <c r="T27" s="371"/>
      <c r="U27" s="371"/>
      <c r="V27" s="397"/>
      <c r="W27" s="397"/>
      <c r="X27" s="397"/>
      <c r="Y27" s="397"/>
      <c r="Z27" s="400"/>
    </row>
    <row r="28" spans="1:27" s="4" customFormat="1" ht="29.25" customHeight="1" x14ac:dyDescent="0.25">
      <c r="A28" s="236"/>
      <c r="B28" s="429" t="s">
        <v>76</v>
      </c>
      <c r="C28" s="429"/>
      <c r="D28" s="429"/>
      <c r="E28" s="429"/>
      <c r="F28" s="429"/>
      <c r="G28" s="429"/>
      <c r="H28" s="429"/>
      <c r="I28" s="429"/>
      <c r="J28" s="429"/>
      <c r="K28" s="429"/>
      <c r="L28" s="429"/>
      <c r="M28" s="429"/>
      <c r="N28" s="429"/>
      <c r="O28" s="429"/>
      <c r="P28" s="429"/>
      <c r="Q28" s="429"/>
      <c r="R28" s="429"/>
      <c r="S28" s="429"/>
      <c r="T28" s="429"/>
      <c r="U28" s="429"/>
      <c r="V28" s="429"/>
      <c r="W28" s="429"/>
      <c r="X28" s="429"/>
      <c r="Y28" s="429"/>
      <c r="Z28" s="429"/>
      <c r="AA28" s="429"/>
    </row>
    <row r="29" spans="1:27" s="4" customFormat="1" ht="27" customHeight="1" x14ac:dyDescent="0.25">
      <c r="A29" s="236"/>
      <c r="B29" s="429" t="s">
        <v>63</v>
      </c>
      <c r="C29" s="429"/>
      <c r="D29" s="429"/>
      <c r="E29" s="429"/>
      <c r="F29" s="429"/>
      <c r="G29" s="429"/>
      <c r="H29" s="429"/>
      <c r="I29" s="429"/>
      <c r="J29" s="429"/>
      <c r="K29" s="429"/>
      <c r="L29" s="429"/>
      <c r="M29" s="429"/>
      <c r="N29" s="429"/>
      <c r="O29" s="429"/>
      <c r="P29" s="429"/>
      <c r="Q29" s="429"/>
      <c r="R29" s="429"/>
      <c r="S29" s="429"/>
      <c r="T29" s="429"/>
      <c r="U29" s="429"/>
      <c r="V29" s="429"/>
      <c r="W29" s="429"/>
      <c r="X29" s="429"/>
      <c r="Y29" s="429"/>
      <c r="Z29" s="429"/>
      <c r="AA29" s="429"/>
    </row>
    <row r="30" spans="1:27" s="4" customFormat="1" ht="24" customHeight="1" x14ac:dyDescent="0.25">
      <c r="A30" s="236"/>
      <c r="B30" s="420" t="str">
        <f>PRESIDENCIA!A3</f>
        <v>SUELDO  DEL 01 AL 15 DE ABRIL DE 2025</v>
      </c>
      <c r="C30" s="420"/>
      <c r="D30" s="420"/>
      <c r="E30" s="420"/>
      <c r="F30" s="420"/>
      <c r="G30" s="420"/>
      <c r="H30" s="420"/>
      <c r="I30" s="420"/>
      <c r="J30" s="420"/>
      <c r="K30" s="420"/>
      <c r="L30" s="420"/>
      <c r="M30" s="420"/>
      <c r="N30" s="420"/>
      <c r="O30" s="420"/>
      <c r="P30" s="420"/>
      <c r="Q30" s="420"/>
      <c r="R30" s="420"/>
      <c r="S30" s="420"/>
      <c r="T30" s="420"/>
      <c r="U30" s="420"/>
      <c r="V30" s="420"/>
      <c r="W30" s="420"/>
      <c r="X30" s="420"/>
      <c r="Y30" s="420"/>
      <c r="Z30" s="420"/>
      <c r="AA30" s="420"/>
    </row>
    <row r="31" spans="1:27" s="4" customFormat="1" ht="23.25" customHeight="1" x14ac:dyDescent="0.3">
      <c r="A31" s="236"/>
      <c r="B31" s="232"/>
      <c r="C31" s="204"/>
      <c r="D31" s="198"/>
      <c r="E31" s="240"/>
      <c r="F31" s="198"/>
      <c r="G31" s="208"/>
      <c r="H31" s="209"/>
      <c r="I31" s="210"/>
      <c r="J31" s="211"/>
      <c r="K31" s="212"/>
      <c r="L31" s="213"/>
      <c r="M31" s="213"/>
      <c r="N31" s="213"/>
      <c r="O31" s="213"/>
      <c r="P31" s="214"/>
      <c r="Q31" s="213"/>
      <c r="R31" s="215"/>
      <c r="S31" s="213"/>
      <c r="T31" s="213"/>
      <c r="U31" s="213"/>
      <c r="V31" s="212"/>
      <c r="W31" s="212"/>
      <c r="X31" s="212"/>
      <c r="Y31" s="212"/>
    </row>
    <row r="32" spans="1:27" s="4" customFormat="1" ht="48.75" customHeight="1" x14ac:dyDescent="0.25">
      <c r="A32" s="236"/>
      <c r="B32" s="108" t="s">
        <v>95</v>
      </c>
      <c r="C32" s="108" t="s">
        <v>113</v>
      </c>
      <c r="D32" s="172" t="s">
        <v>112</v>
      </c>
      <c r="E32" s="142" t="s">
        <v>198</v>
      </c>
      <c r="F32" s="172" t="s">
        <v>60</v>
      </c>
      <c r="G32" s="172"/>
      <c r="H32" s="172"/>
      <c r="I32" s="173">
        <f>SUM(I33:I33)</f>
        <v>7078</v>
      </c>
      <c r="J32" s="173">
        <f>SUM(J33:J33)</f>
        <v>0</v>
      </c>
      <c r="K32" s="173">
        <f>SUM(K33:K33)</f>
        <v>7078</v>
      </c>
      <c r="L32" s="172"/>
      <c r="M32" s="172"/>
      <c r="N32" s="172"/>
      <c r="O32" s="172"/>
      <c r="P32" s="172"/>
      <c r="Q32" s="172"/>
      <c r="R32" s="175"/>
      <c r="S32" s="172"/>
      <c r="T32" s="172"/>
      <c r="U32" s="172"/>
      <c r="V32" s="173">
        <f>SUM(V33:V33)</f>
        <v>0</v>
      </c>
      <c r="W32" s="173">
        <f>SUM(W33:W33)</f>
        <v>708.24</v>
      </c>
      <c r="X32" s="173">
        <f>SUM(X33:X33)</f>
        <v>708.24</v>
      </c>
      <c r="Y32" s="173">
        <f>SUM(Y33:Y33)</f>
        <v>6369.76</v>
      </c>
      <c r="Z32" s="93"/>
    </row>
    <row r="33" spans="1:32" s="4" customFormat="1" ht="209.25" customHeight="1" x14ac:dyDescent="0.2">
      <c r="A33" s="236"/>
      <c r="B33" s="274" t="s">
        <v>145</v>
      </c>
      <c r="C33" s="268" t="s">
        <v>107</v>
      </c>
      <c r="D33" s="254" t="s">
        <v>140</v>
      </c>
      <c r="E33" s="256">
        <v>43512</v>
      </c>
      <c r="F33" s="257" t="s">
        <v>340</v>
      </c>
      <c r="G33" s="258">
        <v>15</v>
      </c>
      <c r="H33" s="259">
        <f>I33/G33</f>
        <v>471.86666666666667</v>
      </c>
      <c r="I33" s="260">
        <v>7078</v>
      </c>
      <c r="J33" s="261">
        <v>0</v>
      </c>
      <c r="K33" s="262">
        <f>SUM(I33:J33)</f>
        <v>7078</v>
      </c>
      <c r="L33" s="282">
        <f>IF(I33/15&lt;=SMG,0,J33/2)</f>
        <v>0</v>
      </c>
      <c r="M33" s="301">
        <f>(I33+L33)/G33*30.4</f>
        <v>14344.746666666666</v>
      </c>
      <c r="N33" s="301">
        <f>VLOOKUP(M33,Tarifa,1)</f>
        <v>12935.83</v>
      </c>
      <c r="O33" s="282">
        <f>M33-N33</f>
        <v>1408.9166666666661</v>
      </c>
      <c r="P33" s="283">
        <f>VLOOKUP(M33,Tarifa,3)</f>
        <v>0.1792</v>
      </c>
      <c r="Q33" s="282">
        <f>O33*P33</f>
        <v>252.47786666666656</v>
      </c>
      <c r="R33" s="284">
        <f>VLOOKUP(M33,Tarifa,2)</f>
        <v>1182.8800000000001</v>
      </c>
      <c r="S33" s="282">
        <f>Q33+R33</f>
        <v>1435.3578666666667</v>
      </c>
      <c r="T33" s="282">
        <f>VLOOKUP(M33,Credito,2)</f>
        <v>0</v>
      </c>
      <c r="U33" s="282">
        <f>ROUND((S33-T33)/30.4*G33,2)</f>
        <v>708.24</v>
      </c>
      <c r="V33" s="262">
        <f>-IF(U33&gt;0,0,0)</f>
        <v>0</v>
      </c>
      <c r="W33" s="262">
        <f>IF(I33/15&lt;=SMG,0,IF(U33&lt;0,0,U33))</f>
        <v>708.24</v>
      </c>
      <c r="X33" s="262">
        <f>SUM(W33:W33)</f>
        <v>708.24</v>
      </c>
      <c r="Y33" s="262">
        <f>K33+V33-X33</f>
        <v>6369.76</v>
      </c>
      <c r="Z33" s="318"/>
    </row>
    <row r="34" spans="1:32" s="4" customFormat="1" ht="48.75" customHeight="1" x14ac:dyDescent="0.25">
      <c r="A34" s="43"/>
      <c r="B34" s="108" t="s">
        <v>95</v>
      </c>
      <c r="C34" s="108" t="s">
        <v>113</v>
      </c>
      <c r="D34" s="172" t="s">
        <v>68</v>
      </c>
      <c r="E34" s="142" t="s">
        <v>198</v>
      </c>
      <c r="F34" s="172" t="s">
        <v>60</v>
      </c>
      <c r="G34" s="172"/>
      <c r="H34" s="172"/>
      <c r="I34" s="173">
        <f>SUM(I35:I36)</f>
        <v>13353.5</v>
      </c>
      <c r="J34" s="173">
        <f>SUM(J35:J36)</f>
        <v>0</v>
      </c>
      <c r="K34" s="173">
        <f>SUM(K35:K36)</f>
        <v>13353.5</v>
      </c>
      <c r="L34" s="172"/>
      <c r="M34" s="172"/>
      <c r="N34" s="172"/>
      <c r="O34" s="172"/>
      <c r="P34" s="172"/>
      <c r="Q34" s="172"/>
      <c r="R34" s="175"/>
      <c r="S34" s="172"/>
      <c r="T34" s="172"/>
      <c r="U34" s="172"/>
      <c r="V34" s="173">
        <f>SUM(V35:V36)</f>
        <v>0</v>
      </c>
      <c r="W34" s="173">
        <f>SUM(W35:W36)</f>
        <v>1303.24</v>
      </c>
      <c r="X34" s="173">
        <f>SUM(X35:X36)</f>
        <v>1303.24</v>
      </c>
      <c r="Y34" s="173">
        <f>SUM(Y35:Y36)</f>
        <v>12050.26</v>
      </c>
      <c r="Z34" s="93"/>
    </row>
    <row r="35" spans="1:32" s="319" customFormat="1" ht="210" customHeight="1" x14ac:dyDescent="0.2">
      <c r="A35" s="317"/>
      <c r="B35" s="274" t="s">
        <v>170</v>
      </c>
      <c r="C35" s="268" t="s">
        <v>107</v>
      </c>
      <c r="D35" s="254" t="s">
        <v>173</v>
      </c>
      <c r="E35" s="256">
        <v>44470</v>
      </c>
      <c r="F35" s="307" t="s">
        <v>70</v>
      </c>
      <c r="G35" s="258">
        <v>15</v>
      </c>
      <c r="H35" s="259">
        <f>I35/G35</f>
        <v>527.9</v>
      </c>
      <c r="I35" s="260">
        <v>7918.5</v>
      </c>
      <c r="J35" s="261">
        <v>0</v>
      </c>
      <c r="K35" s="262">
        <f t="shared" ref="K35" si="36">SUM(I35:J35)</f>
        <v>7918.5</v>
      </c>
      <c r="L35" s="282">
        <f>IF(I35/15&lt;=SMG,0,J35/2)</f>
        <v>0</v>
      </c>
      <c r="M35" s="301">
        <f>(I35+L35)/G35*30.4</f>
        <v>16048.159999999998</v>
      </c>
      <c r="N35" s="301">
        <f>VLOOKUP(M35,Tarifa,1)</f>
        <v>15487.72</v>
      </c>
      <c r="O35" s="282">
        <f>M35-N35</f>
        <v>560.43999999999869</v>
      </c>
      <c r="P35" s="283">
        <f>VLOOKUP(M35,Tarifa,3)</f>
        <v>0.21360000000000001</v>
      </c>
      <c r="Q35" s="282">
        <f>O35*P35</f>
        <v>119.70998399999972</v>
      </c>
      <c r="R35" s="284">
        <f>VLOOKUP(M35,Tarifa,2)</f>
        <v>1640.18</v>
      </c>
      <c r="S35" s="282">
        <f>Q35+R35</f>
        <v>1759.8899839999997</v>
      </c>
      <c r="T35" s="282">
        <f>VLOOKUP(M35,Credito,2)</f>
        <v>0</v>
      </c>
      <c r="U35" s="282">
        <f>ROUND((S35-T35)/30.4*G35,2)</f>
        <v>868.37</v>
      </c>
      <c r="V35" s="262">
        <f t="shared" si="1"/>
        <v>0</v>
      </c>
      <c r="W35" s="262">
        <f t="shared" ref="W35" si="37">IF(I35/15&lt;=SMG,0,IF(U35&lt;0,0,U35))</f>
        <v>868.37</v>
      </c>
      <c r="X35" s="262">
        <f>SUM(W35:W35)</f>
        <v>868.37</v>
      </c>
      <c r="Y35" s="262">
        <f>K35+V35-X35</f>
        <v>7050.13</v>
      </c>
      <c r="Z35" s="318"/>
    </row>
    <row r="36" spans="1:32" s="319" customFormat="1" ht="210" customHeight="1" x14ac:dyDescent="0.2">
      <c r="A36" s="317"/>
      <c r="B36" s="274" t="s">
        <v>219</v>
      </c>
      <c r="C36" s="268" t="s">
        <v>107</v>
      </c>
      <c r="D36" s="254" t="s">
        <v>220</v>
      </c>
      <c r="E36" s="256">
        <v>45173</v>
      </c>
      <c r="F36" s="257" t="s">
        <v>141</v>
      </c>
      <c r="G36" s="258">
        <v>15</v>
      </c>
      <c r="H36" s="259">
        <f>I36/G36</f>
        <v>362.33333333333331</v>
      </c>
      <c r="I36" s="260">
        <v>5435</v>
      </c>
      <c r="J36" s="261">
        <v>0</v>
      </c>
      <c r="K36" s="262">
        <f>SUM(I36:J36)</f>
        <v>5435</v>
      </c>
      <c r="L36" s="282">
        <f>IF(I36/15&lt;=SMG,0,J36/2)</f>
        <v>0</v>
      </c>
      <c r="M36" s="301">
        <f>(I36+L36)/G36*30.4</f>
        <v>11014.933333333332</v>
      </c>
      <c r="N36" s="301">
        <f>VLOOKUP(M36,Tarifa,1)</f>
        <v>6332.06</v>
      </c>
      <c r="O36" s="282">
        <f>M36-N36</f>
        <v>4682.8733333333321</v>
      </c>
      <c r="P36" s="283">
        <f>VLOOKUP(M36,Tarifa,3)</f>
        <v>0.10879999999999999</v>
      </c>
      <c r="Q36" s="282">
        <f>O36*P36</f>
        <v>509.49661866666651</v>
      </c>
      <c r="R36" s="284">
        <f>VLOOKUP(M36,Tarifa,2)</f>
        <v>371.83</v>
      </c>
      <c r="S36" s="282">
        <f>Q36+R36</f>
        <v>881.32661866666649</v>
      </c>
      <c r="T36" s="282">
        <f>VLOOKUP(M36,Credito,2)</f>
        <v>0</v>
      </c>
      <c r="U36" s="282">
        <f>ROUND((S36-T36)/30.4*G36,2)</f>
        <v>434.87</v>
      </c>
      <c r="V36" s="262">
        <f t="shared" si="1"/>
        <v>0</v>
      </c>
      <c r="W36" s="262">
        <f t="shared" ref="W36" si="38">IF(I36/15&lt;=SMG,0,IF(U36&lt;0,0,U36))</f>
        <v>434.87</v>
      </c>
      <c r="X36" s="262">
        <f>SUM(W36:W36)</f>
        <v>434.87</v>
      </c>
      <c r="Y36" s="262">
        <f>K36+V36-X36</f>
        <v>5000.13</v>
      </c>
      <c r="Z36" s="318"/>
    </row>
    <row r="37" spans="1:32" s="4" customFormat="1" ht="50.25" customHeight="1" x14ac:dyDescent="0.25">
      <c r="A37" s="103"/>
      <c r="B37" s="108" t="s">
        <v>95</v>
      </c>
      <c r="C37" s="108" t="s">
        <v>113</v>
      </c>
      <c r="D37" s="172" t="s">
        <v>112</v>
      </c>
      <c r="E37" s="142" t="s">
        <v>198</v>
      </c>
      <c r="F37" s="172" t="s">
        <v>60</v>
      </c>
      <c r="G37" s="172"/>
      <c r="H37" s="172"/>
      <c r="I37" s="173">
        <f>SUM(I38:I38)</f>
        <v>6826.5</v>
      </c>
      <c r="J37" s="173">
        <f>SUM(J38:J38)</f>
        <v>455.1</v>
      </c>
      <c r="K37" s="173">
        <f>SUM(K38:K38)</f>
        <v>7281.6</v>
      </c>
      <c r="L37" s="172"/>
      <c r="M37" s="172"/>
      <c r="N37" s="172"/>
      <c r="O37" s="172"/>
      <c r="P37" s="172"/>
      <c r="Q37" s="172"/>
      <c r="R37" s="175"/>
      <c r="S37" s="172"/>
      <c r="T37" s="172"/>
      <c r="U37" s="172"/>
      <c r="V37" s="173">
        <f>SUM(V38:V38)</f>
        <v>0</v>
      </c>
      <c r="W37" s="173">
        <f>SUM(W38:W38)</f>
        <v>703.94</v>
      </c>
      <c r="X37" s="173">
        <f>SUM(X38:X38)</f>
        <v>703.94</v>
      </c>
      <c r="Y37" s="173">
        <f>SUM(Y38:Y38)</f>
        <v>6577.66</v>
      </c>
      <c r="Z37" s="93"/>
    </row>
    <row r="38" spans="1:32" s="319" customFormat="1" ht="192.75" customHeight="1" x14ac:dyDescent="0.2">
      <c r="A38" s="251" t="s">
        <v>82</v>
      </c>
      <c r="B38" s="274" t="s">
        <v>135</v>
      </c>
      <c r="C38" s="268" t="s">
        <v>107</v>
      </c>
      <c r="D38" s="254" t="s">
        <v>127</v>
      </c>
      <c r="E38" s="256">
        <v>43374</v>
      </c>
      <c r="F38" s="257" t="s">
        <v>126</v>
      </c>
      <c r="G38" s="258">
        <v>15</v>
      </c>
      <c r="H38" s="259">
        <f>I38/G38</f>
        <v>455.1</v>
      </c>
      <c r="I38" s="260">
        <v>6826.5</v>
      </c>
      <c r="J38" s="261">
        <v>455.1</v>
      </c>
      <c r="K38" s="262">
        <f>SUM(I38:J38)</f>
        <v>7281.6</v>
      </c>
      <c r="L38" s="282">
        <f>IF(I38/15&lt;=SMG,0,J38/2)</f>
        <v>227.55</v>
      </c>
      <c r="M38" s="301">
        <f>(I38+L38)/G38*30.4</f>
        <v>14296.208000000001</v>
      </c>
      <c r="N38" s="301">
        <f>VLOOKUP(M38,Tarifa,1)</f>
        <v>12935.83</v>
      </c>
      <c r="O38" s="282">
        <f>M38-N38</f>
        <v>1360.3780000000006</v>
      </c>
      <c r="P38" s="283">
        <f>VLOOKUP(M38,Tarifa,3)</f>
        <v>0.1792</v>
      </c>
      <c r="Q38" s="282">
        <f>O38*P38</f>
        <v>243.77973760000012</v>
      </c>
      <c r="R38" s="284">
        <f>VLOOKUP(M38,Tarifa,2)</f>
        <v>1182.8800000000001</v>
      </c>
      <c r="S38" s="282">
        <f>Q38+R38</f>
        <v>1426.6597376000002</v>
      </c>
      <c r="T38" s="282">
        <f>VLOOKUP(M38,Credito,2)</f>
        <v>0</v>
      </c>
      <c r="U38" s="282">
        <f>ROUND((S38-T38)/30.4*G38,2)</f>
        <v>703.94</v>
      </c>
      <c r="V38" s="262">
        <f>-IF(U38&gt;0,0,0)</f>
        <v>0</v>
      </c>
      <c r="W38" s="262">
        <f>IF(I38/15&lt;=SMG,0,IF(U38&lt;0,0,U38))</f>
        <v>703.94</v>
      </c>
      <c r="X38" s="262">
        <f>SUM(W38:W38)</f>
        <v>703.94</v>
      </c>
      <c r="Y38" s="262">
        <f>K38+V38-X38</f>
        <v>6577.66</v>
      </c>
      <c r="Z38" s="318"/>
      <c r="AF38" s="329"/>
    </row>
    <row r="39" spans="1:32" s="4" customFormat="1" ht="27.75" customHeight="1" x14ac:dyDescent="0.25">
      <c r="A39" s="133"/>
      <c r="B39" s="133"/>
      <c r="C39" s="133"/>
      <c r="D39" s="133"/>
      <c r="E39" s="133"/>
      <c r="F39" s="133"/>
      <c r="G39" s="133"/>
      <c r="H39" s="133"/>
      <c r="I39" s="139"/>
      <c r="J39" s="139"/>
      <c r="K39" s="139"/>
      <c r="L39" s="137"/>
      <c r="M39" s="137"/>
      <c r="N39" s="137"/>
      <c r="O39" s="137"/>
      <c r="P39" s="137"/>
      <c r="Q39" s="137"/>
      <c r="R39" s="137"/>
      <c r="S39" s="137"/>
      <c r="T39" s="137"/>
      <c r="U39" s="137"/>
      <c r="V39" s="137"/>
      <c r="W39" s="137"/>
      <c r="X39" s="137"/>
      <c r="Y39" s="137"/>
    </row>
    <row r="40" spans="1:32" s="4" customFormat="1" ht="39.75" customHeight="1" thickBot="1" x14ac:dyDescent="0.35">
      <c r="A40" s="416" t="s">
        <v>44</v>
      </c>
      <c r="B40" s="417"/>
      <c r="C40" s="417"/>
      <c r="D40" s="417"/>
      <c r="E40" s="417"/>
      <c r="F40" s="417"/>
      <c r="G40" s="417"/>
      <c r="H40" s="418"/>
      <c r="I40" s="199">
        <f>I8+I32+I34+I37</f>
        <v>86285.28</v>
      </c>
      <c r="J40" s="199">
        <f>J8+J32+J34+J37</f>
        <v>1757.65</v>
      </c>
      <c r="K40" s="199">
        <f>K8+K32+K34+K37</f>
        <v>88042.93</v>
      </c>
      <c r="L40" s="200">
        <f t="shared" ref="L40:U40" si="39">SUM(L9:L39)</f>
        <v>742.3599999999999</v>
      </c>
      <c r="M40" s="200">
        <f t="shared" si="39"/>
        <v>176376.01706666665</v>
      </c>
      <c r="N40" s="200">
        <f t="shared" si="39"/>
        <v>142069.95000000001</v>
      </c>
      <c r="O40" s="200">
        <f t="shared" si="39"/>
        <v>34306.067066666656</v>
      </c>
      <c r="P40" s="200">
        <f t="shared" si="39"/>
        <v>2.1975999999999996</v>
      </c>
      <c r="Q40" s="200">
        <f t="shared" si="39"/>
        <v>3830.1051558399981</v>
      </c>
      <c r="R40" s="200">
        <f t="shared" si="39"/>
        <v>11091.220000000001</v>
      </c>
      <c r="S40" s="200">
        <f t="shared" si="39"/>
        <v>14921.325155839999</v>
      </c>
      <c r="T40" s="200">
        <f t="shared" si="39"/>
        <v>2375</v>
      </c>
      <c r="U40" s="200">
        <f t="shared" si="39"/>
        <v>6190.65</v>
      </c>
      <c r="V40" s="199">
        <f>V8+V32+V34+V37</f>
        <v>0</v>
      </c>
      <c r="W40" s="199">
        <f>W8+W32+W34+W37</f>
        <v>6211.49</v>
      </c>
      <c r="X40" s="199">
        <f>X8+X32+X34+X37</f>
        <v>6211.49</v>
      </c>
      <c r="Y40" s="199">
        <f>Y8+Y32+Y34+Y37</f>
        <v>81831.440000000017</v>
      </c>
    </row>
    <row r="41" spans="1:32" s="4" customFormat="1" ht="18" customHeight="1" thickTop="1" x14ac:dyDescent="0.25">
      <c r="A41" s="127"/>
      <c r="B41" s="127"/>
      <c r="C41" s="127"/>
      <c r="D41" s="127"/>
      <c r="E41" s="127"/>
      <c r="F41" s="127"/>
      <c r="G41" s="127"/>
      <c r="H41" s="127"/>
      <c r="I41" s="128"/>
      <c r="J41" s="128"/>
      <c r="K41" s="128"/>
      <c r="L41" s="129"/>
      <c r="M41" s="129"/>
      <c r="N41" s="129"/>
      <c r="O41" s="129"/>
      <c r="P41" s="129"/>
      <c r="Q41" s="129"/>
      <c r="R41" s="129"/>
      <c r="S41" s="129"/>
      <c r="T41" s="129"/>
      <c r="U41" s="129"/>
      <c r="V41" s="128"/>
      <c r="W41" s="128"/>
      <c r="X41" s="128"/>
      <c r="Y41" s="128"/>
    </row>
    <row r="42" spans="1:32" s="4" customFormat="1" ht="18" customHeight="1" x14ac:dyDescent="0.25">
      <c r="A42" s="127"/>
      <c r="B42" s="127"/>
      <c r="C42" s="127"/>
      <c r="D42" s="127"/>
      <c r="E42" s="127"/>
      <c r="F42" s="127"/>
      <c r="G42" s="127"/>
      <c r="H42" s="127"/>
      <c r="I42" s="128"/>
      <c r="J42" s="128"/>
      <c r="K42" s="128"/>
      <c r="L42" s="129"/>
      <c r="M42" s="129"/>
      <c r="N42" s="129"/>
      <c r="O42" s="129"/>
      <c r="P42" s="129"/>
      <c r="Q42" s="129"/>
      <c r="R42" s="129"/>
      <c r="S42" s="129"/>
      <c r="T42" s="129"/>
      <c r="U42" s="129"/>
      <c r="V42" s="128"/>
      <c r="W42" s="128"/>
      <c r="X42" s="128"/>
      <c r="Y42" s="128"/>
    </row>
  </sheetData>
  <mergeCells count="13">
    <mergeCell ref="A40:H40"/>
    <mergeCell ref="A1:Z1"/>
    <mergeCell ref="A2:Z2"/>
    <mergeCell ref="A3:Z3"/>
    <mergeCell ref="I5:K5"/>
    <mergeCell ref="N5:S5"/>
    <mergeCell ref="W5:X5"/>
    <mergeCell ref="B16:AA16"/>
    <mergeCell ref="B17:AA17"/>
    <mergeCell ref="B18:Z18"/>
    <mergeCell ref="B28:AA28"/>
    <mergeCell ref="B29:AA29"/>
    <mergeCell ref="B30:AA30"/>
  </mergeCells>
  <pageMargins left="0.27559055118110237" right="0.19685039370078741" top="0.74803149606299213" bottom="0.35433070866141736" header="0.31496062992125984" footer="0.31496062992125984"/>
  <pageSetup scale="42" orientation="landscape" horizontalDpi="4294967293" verticalDpi="36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D76"/>
  <sheetViews>
    <sheetView topLeftCell="B1" zoomScale="55" zoomScaleNormal="55" workbookViewId="0">
      <selection activeCell="J9" sqref="J9"/>
    </sheetView>
  </sheetViews>
  <sheetFormatPr baseColWidth="10" defaultColWidth="11.42578125" defaultRowHeight="12.75" x14ac:dyDescent="0.2"/>
  <cols>
    <col min="1" max="1" width="5.5703125" hidden="1" customWidth="1"/>
    <col min="2" max="2" width="16" customWidth="1"/>
    <col min="3" max="3" width="11.85546875" customWidth="1"/>
    <col min="4" max="4" width="29.28515625" customWidth="1"/>
    <col min="5" max="5" width="17.42578125" customWidth="1"/>
    <col min="6" max="6" width="23.85546875" customWidth="1"/>
    <col min="7" max="7" width="7.42578125" hidden="1" customWidth="1"/>
    <col min="8" max="8" width="17" hidden="1" customWidth="1"/>
    <col min="9" max="9" width="18.7109375" customWidth="1"/>
    <col min="10" max="10" width="16.85546875" customWidth="1"/>
    <col min="11" max="11" width="19.85546875" customWidth="1"/>
    <col min="12" max="12" width="13.140625" hidden="1" customWidth="1"/>
    <col min="13" max="13" width="14.7109375" hidden="1" customWidth="1"/>
    <col min="14" max="14" width="15.5703125" hidden="1" customWidth="1"/>
    <col min="15" max="15" width="14.5703125" hidden="1" customWidth="1"/>
    <col min="16" max="17" width="13.140625" hidden="1" customWidth="1"/>
    <col min="18" max="18" width="10.5703125" hidden="1" customWidth="1"/>
    <col min="19" max="19" width="10.42578125" hidden="1" customWidth="1"/>
    <col min="20" max="20" width="13.140625" hidden="1" customWidth="1"/>
    <col min="21" max="21" width="14.85546875" hidden="1" customWidth="1"/>
    <col min="22" max="22" width="12.5703125" customWidth="1"/>
    <col min="23" max="23" width="16.7109375" customWidth="1"/>
    <col min="24" max="24" width="18.42578125" customWidth="1"/>
    <col min="25" max="25" width="19" customWidth="1"/>
    <col min="26" max="26" width="65.28515625" customWidth="1"/>
  </cols>
  <sheetData>
    <row r="1" spans="1:30" ht="19.5" x14ac:dyDescent="0.25">
      <c r="A1" s="419" t="s">
        <v>76</v>
      </c>
      <c r="B1" s="419"/>
      <c r="C1" s="419"/>
      <c r="D1" s="419"/>
      <c r="E1" s="419"/>
      <c r="F1" s="419"/>
      <c r="G1" s="419"/>
      <c r="H1" s="419"/>
      <c r="I1" s="419"/>
      <c r="J1" s="419"/>
      <c r="K1" s="419"/>
      <c r="L1" s="419"/>
      <c r="M1" s="419"/>
      <c r="N1" s="419"/>
      <c r="O1" s="419"/>
      <c r="P1" s="419"/>
      <c r="Q1" s="419"/>
      <c r="R1" s="419"/>
      <c r="S1" s="419"/>
      <c r="T1" s="419"/>
      <c r="U1" s="419"/>
      <c r="V1" s="419"/>
      <c r="W1" s="419"/>
      <c r="X1" s="419"/>
      <c r="Y1" s="419"/>
      <c r="Z1" s="419"/>
    </row>
    <row r="2" spans="1:30" ht="19.5" x14ac:dyDescent="0.25">
      <c r="A2" s="419" t="s">
        <v>63</v>
      </c>
      <c r="B2" s="419"/>
      <c r="C2" s="419"/>
      <c r="D2" s="419"/>
      <c r="E2" s="419"/>
      <c r="F2" s="419"/>
      <c r="G2" s="419"/>
      <c r="H2" s="419"/>
      <c r="I2" s="419"/>
      <c r="J2" s="419"/>
      <c r="K2" s="419"/>
      <c r="L2" s="419"/>
      <c r="M2" s="419"/>
      <c r="N2" s="419"/>
      <c r="O2" s="419"/>
      <c r="P2" s="419"/>
      <c r="Q2" s="419"/>
      <c r="R2" s="419"/>
      <c r="S2" s="419"/>
      <c r="T2" s="419"/>
      <c r="U2" s="419"/>
      <c r="V2" s="419"/>
      <c r="W2" s="419"/>
      <c r="X2" s="419"/>
      <c r="Y2" s="419"/>
      <c r="Z2" s="419"/>
    </row>
    <row r="3" spans="1:30" ht="19.5" x14ac:dyDescent="0.25">
      <c r="A3" s="420" t="str">
        <f>PRESIDENCIA!A3</f>
        <v>SUELDO  DEL 01 AL 15 DE ABRIL DE 2025</v>
      </c>
      <c r="B3" s="420"/>
      <c r="C3" s="420"/>
      <c r="D3" s="420"/>
      <c r="E3" s="420"/>
      <c r="F3" s="420"/>
      <c r="G3" s="420"/>
      <c r="H3" s="420"/>
      <c r="I3" s="420"/>
      <c r="J3" s="420"/>
      <c r="K3" s="420"/>
      <c r="L3" s="420"/>
      <c r="M3" s="420"/>
      <c r="N3" s="420"/>
      <c r="O3" s="420"/>
      <c r="P3" s="420"/>
      <c r="Q3" s="420"/>
      <c r="R3" s="420"/>
      <c r="S3" s="420"/>
      <c r="T3" s="420"/>
      <c r="U3" s="420"/>
      <c r="V3" s="420"/>
      <c r="W3" s="420"/>
      <c r="X3" s="420"/>
      <c r="Y3" s="420"/>
      <c r="Z3" s="420"/>
    </row>
    <row r="4" spans="1:30" ht="15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</row>
    <row r="5" spans="1:30" s="51" customFormat="1" ht="21" customHeight="1" x14ac:dyDescent="0.25">
      <c r="A5" s="47"/>
      <c r="B5" s="47"/>
      <c r="C5" s="452" t="s">
        <v>113</v>
      </c>
      <c r="D5" s="47"/>
      <c r="E5" s="47"/>
      <c r="F5" s="47"/>
      <c r="G5" s="48" t="s">
        <v>22</v>
      </c>
      <c r="H5" s="48" t="s">
        <v>5</v>
      </c>
      <c r="I5" s="421" t="s">
        <v>1</v>
      </c>
      <c r="J5" s="422"/>
      <c r="K5" s="423"/>
      <c r="L5" s="113" t="s">
        <v>25</v>
      </c>
      <c r="M5" s="114"/>
      <c r="N5" s="424" t="s">
        <v>8</v>
      </c>
      <c r="O5" s="425"/>
      <c r="P5" s="425"/>
      <c r="Q5" s="425"/>
      <c r="R5" s="425"/>
      <c r="S5" s="426"/>
      <c r="T5" s="113" t="s">
        <v>29</v>
      </c>
      <c r="U5" s="113" t="s">
        <v>9</v>
      </c>
      <c r="V5" s="112" t="s">
        <v>52</v>
      </c>
      <c r="W5" s="427" t="s">
        <v>2</v>
      </c>
      <c r="X5" s="428"/>
      <c r="Y5" s="112" t="s">
        <v>0</v>
      </c>
      <c r="Z5" s="47"/>
    </row>
    <row r="6" spans="1:30" s="51" customFormat="1" ht="31.5" x14ac:dyDescent="0.25">
      <c r="A6" s="52" t="s">
        <v>20</v>
      </c>
      <c r="B6" s="115" t="s">
        <v>95</v>
      </c>
      <c r="C6" s="453"/>
      <c r="D6" s="116" t="s">
        <v>21</v>
      </c>
      <c r="E6" s="52"/>
      <c r="F6" s="52"/>
      <c r="G6" s="53" t="s">
        <v>23</v>
      </c>
      <c r="H6" s="52" t="s">
        <v>24</v>
      </c>
      <c r="I6" s="112" t="s">
        <v>5</v>
      </c>
      <c r="J6" s="112" t="s">
        <v>57</v>
      </c>
      <c r="K6" s="112" t="s">
        <v>27</v>
      </c>
      <c r="L6" s="117" t="s">
        <v>26</v>
      </c>
      <c r="M6" s="114" t="s">
        <v>31</v>
      </c>
      <c r="N6" s="114" t="s">
        <v>11</v>
      </c>
      <c r="O6" s="114" t="s">
        <v>33</v>
      </c>
      <c r="P6" s="114" t="s">
        <v>35</v>
      </c>
      <c r="Q6" s="114" t="s">
        <v>36</v>
      </c>
      <c r="R6" s="110" t="s">
        <v>13</v>
      </c>
      <c r="S6" s="114" t="s">
        <v>9</v>
      </c>
      <c r="T6" s="117" t="s">
        <v>39</v>
      </c>
      <c r="U6" s="117" t="s">
        <v>40</v>
      </c>
      <c r="V6" s="116" t="s">
        <v>30</v>
      </c>
      <c r="W6" s="112" t="s">
        <v>192</v>
      </c>
      <c r="X6" s="112" t="s">
        <v>6</v>
      </c>
      <c r="Y6" s="116" t="s">
        <v>3</v>
      </c>
      <c r="Z6" s="116" t="s">
        <v>56</v>
      </c>
    </row>
    <row r="7" spans="1:30" s="51" customFormat="1" ht="15.75" x14ac:dyDescent="0.25">
      <c r="A7" s="52"/>
      <c r="B7" s="52"/>
      <c r="C7" s="454"/>
      <c r="D7" s="52"/>
      <c r="E7" s="52"/>
      <c r="F7" s="52"/>
      <c r="G7" s="52"/>
      <c r="H7" s="52"/>
      <c r="I7" s="116" t="s">
        <v>46</v>
      </c>
      <c r="J7" s="116" t="s">
        <v>58</v>
      </c>
      <c r="K7" s="116" t="s">
        <v>28</v>
      </c>
      <c r="L7" s="117" t="s">
        <v>42</v>
      </c>
      <c r="M7" s="113" t="s">
        <v>32</v>
      </c>
      <c r="N7" s="113" t="s">
        <v>12</v>
      </c>
      <c r="O7" s="113" t="s">
        <v>34</v>
      </c>
      <c r="P7" s="113" t="s">
        <v>34</v>
      </c>
      <c r="Q7" s="113" t="s">
        <v>37</v>
      </c>
      <c r="R7" s="180" t="s">
        <v>14</v>
      </c>
      <c r="S7" s="113" t="s">
        <v>38</v>
      </c>
      <c r="T7" s="117" t="s">
        <v>18</v>
      </c>
      <c r="U7" s="121" t="s">
        <v>166</v>
      </c>
      <c r="V7" s="116" t="s">
        <v>51</v>
      </c>
      <c r="W7" s="116"/>
      <c r="X7" s="116" t="s">
        <v>43</v>
      </c>
      <c r="Y7" s="116" t="s">
        <v>4</v>
      </c>
      <c r="Z7" s="56"/>
    </row>
    <row r="8" spans="1:30" s="51" customFormat="1" ht="64.5" customHeight="1" x14ac:dyDescent="0.3">
      <c r="A8" s="36"/>
      <c r="B8" s="142" t="s">
        <v>95</v>
      </c>
      <c r="C8" s="142" t="s">
        <v>113</v>
      </c>
      <c r="D8" s="216" t="s">
        <v>130</v>
      </c>
      <c r="E8" s="216" t="s">
        <v>198</v>
      </c>
      <c r="F8" s="217" t="s">
        <v>60</v>
      </c>
      <c r="G8" s="217"/>
      <c r="H8" s="217"/>
      <c r="I8" s="218">
        <f>SUM(I9:I10)</f>
        <v>13165</v>
      </c>
      <c r="J8" s="218">
        <f>SUM(J9:J10)</f>
        <v>0</v>
      </c>
      <c r="K8" s="218">
        <f>SUM(K9:K10)</f>
        <v>13165</v>
      </c>
      <c r="L8" s="218">
        <f t="shared" ref="L8:U8" si="0">SUM(L9:L10)</f>
        <v>0</v>
      </c>
      <c r="M8" s="218">
        <f t="shared" si="0"/>
        <v>26681.066666666666</v>
      </c>
      <c r="N8" s="218">
        <f t="shared" si="0"/>
        <v>21819.78</v>
      </c>
      <c r="O8" s="218">
        <f t="shared" si="0"/>
        <v>4861.286666666666</v>
      </c>
      <c r="P8" s="218">
        <f t="shared" si="0"/>
        <v>0.32240000000000002</v>
      </c>
      <c r="Q8" s="218">
        <f t="shared" si="0"/>
        <v>547.60570666666661</v>
      </c>
      <c r="R8" s="218">
        <f t="shared" si="0"/>
        <v>2012.01</v>
      </c>
      <c r="S8" s="218">
        <f t="shared" si="0"/>
        <v>2559.6157066666665</v>
      </c>
      <c r="T8" s="218">
        <f t="shared" si="0"/>
        <v>0</v>
      </c>
      <c r="U8" s="218">
        <f t="shared" si="0"/>
        <v>1262.97</v>
      </c>
      <c r="V8" s="218">
        <f>SUM(V9:V10)</f>
        <v>0</v>
      </c>
      <c r="W8" s="218">
        <f>SUM(W9:W10)</f>
        <v>1262.97</v>
      </c>
      <c r="X8" s="218">
        <f>SUM(X9:X10)</f>
        <v>1262.97</v>
      </c>
      <c r="Y8" s="218">
        <f>SUM(Y9:Y10)</f>
        <v>11902.029999999999</v>
      </c>
      <c r="Z8" s="94"/>
    </row>
    <row r="9" spans="1:30" s="287" customFormat="1" ht="231" customHeight="1" x14ac:dyDescent="0.2">
      <c r="A9" s="330"/>
      <c r="B9" s="331">
        <v>377</v>
      </c>
      <c r="C9" s="332" t="s">
        <v>107</v>
      </c>
      <c r="D9" s="333" t="s">
        <v>272</v>
      </c>
      <c r="E9" s="335">
        <v>45566</v>
      </c>
      <c r="F9" s="336" t="s">
        <v>231</v>
      </c>
      <c r="G9" s="258">
        <v>15</v>
      </c>
      <c r="H9" s="259">
        <f>I9/G9</f>
        <v>515.33333333333337</v>
      </c>
      <c r="I9" s="260">
        <v>7730</v>
      </c>
      <c r="J9" s="261">
        <v>0</v>
      </c>
      <c r="K9" s="262">
        <f>SUM(I9:J9)</f>
        <v>7730</v>
      </c>
      <c r="L9" s="282">
        <f>IF(I9/15&lt;=SMG,0,J9/2)</f>
        <v>0</v>
      </c>
      <c r="M9" s="301">
        <f>(I9+L9)/G9*30.4</f>
        <v>15666.133333333333</v>
      </c>
      <c r="N9" s="301">
        <f>VLOOKUP(M9,Tarifa,1)</f>
        <v>15487.72</v>
      </c>
      <c r="O9" s="282">
        <f>M9-N9</f>
        <v>178.41333333333387</v>
      </c>
      <c r="P9" s="283">
        <f>VLOOKUP(M9,Tarifa,3)</f>
        <v>0.21360000000000001</v>
      </c>
      <c r="Q9" s="282">
        <f>O9*P9</f>
        <v>38.109088000000114</v>
      </c>
      <c r="R9" s="284">
        <f>VLOOKUP(M9,Tarifa,2)</f>
        <v>1640.18</v>
      </c>
      <c r="S9" s="282">
        <f>Q9+R9</f>
        <v>1678.2890880000002</v>
      </c>
      <c r="T9" s="282">
        <f>VLOOKUP(M9,Credito,2)</f>
        <v>0</v>
      </c>
      <c r="U9" s="282">
        <f>ROUND((S9-T9)/30.4*G9,2)</f>
        <v>828.1</v>
      </c>
      <c r="V9" s="262">
        <f>-IF(U9&gt;0,0,0)</f>
        <v>0</v>
      </c>
      <c r="W9" s="262">
        <f>IF(I9/15&lt;=SMG,0,IF(U9&lt;0,0,U9))</f>
        <v>828.1</v>
      </c>
      <c r="X9" s="262">
        <f>SUM(W9:W9)</f>
        <v>828.1</v>
      </c>
      <c r="Y9" s="262">
        <f>K9+V9-X9</f>
        <v>6901.9</v>
      </c>
      <c r="Z9" s="337"/>
    </row>
    <row r="10" spans="1:30" s="287" customFormat="1" ht="231" customHeight="1" x14ac:dyDescent="0.2">
      <c r="A10" s="330"/>
      <c r="B10" s="274" t="s">
        <v>274</v>
      </c>
      <c r="C10" s="268" t="s">
        <v>107</v>
      </c>
      <c r="D10" s="250" t="s">
        <v>273</v>
      </c>
      <c r="E10" s="256">
        <v>45566</v>
      </c>
      <c r="F10" s="257" t="s">
        <v>188</v>
      </c>
      <c r="G10" s="258">
        <v>15</v>
      </c>
      <c r="H10" s="259">
        <f>I10/G10</f>
        <v>362.33333333333331</v>
      </c>
      <c r="I10" s="260">
        <v>5435</v>
      </c>
      <c r="J10" s="261">
        <v>0</v>
      </c>
      <c r="K10" s="262">
        <f>SUM(I10:J10)</f>
        <v>5435</v>
      </c>
      <c r="L10" s="282">
        <f>IF(I10/15&lt;=SMG,0,J10/2)</f>
        <v>0</v>
      </c>
      <c r="M10" s="301">
        <f>(I10+L10)/G10*30.4</f>
        <v>11014.933333333332</v>
      </c>
      <c r="N10" s="301">
        <f>VLOOKUP(M10,Tarifa,1)</f>
        <v>6332.06</v>
      </c>
      <c r="O10" s="282">
        <f>M10-N10</f>
        <v>4682.8733333333321</v>
      </c>
      <c r="P10" s="283">
        <f>VLOOKUP(M10,Tarifa,3)</f>
        <v>0.10879999999999999</v>
      </c>
      <c r="Q10" s="282">
        <f>O10*P10</f>
        <v>509.49661866666651</v>
      </c>
      <c r="R10" s="284">
        <f>VLOOKUP(M10,Tarifa,2)</f>
        <v>371.83</v>
      </c>
      <c r="S10" s="282">
        <f>Q10+R10</f>
        <v>881.32661866666649</v>
      </c>
      <c r="T10" s="282">
        <f>VLOOKUP(M10,Credito,2)</f>
        <v>0</v>
      </c>
      <c r="U10" s="282">
        <f>ROUND((S10-T10)/30.4*G10,2)</f>
        <v>434.87</v>
      </c>
      <c r="V10" s="262">
        <f>-IF(U10&gt;0,0,0)</f>
        <v>0</v>
      </c>
      <c r="W10" s="262">
        <f>IF(I10/15&lt;=SMG,0,IF(U10&lt;0,0,U10))</f>
        <v>434.87</v>
      </c>
      <c r="X10" s="262">
        <f>SUM(W10:W10)</f>
        <v>434.87</v>
      </c>
      <c r="Y10" s="262">
        <f>K10+V10-X10</f>
        <v>5000.13</v>
      </c>
      <c r="Z10" s="337"/>
    </row>
    <row r="11" spans="1:30" s="51" customFormat="1" ht="53.25" customHeight="1" x14ac:dyDescent="0.3">
      <c r="A11" s="45"/>
      <c r="B11" s="142" t="s">
        <v>95</v>
      </c>
      <c r="C11" s="142" t="s">
        <v>113</v>
      </c>
      <c r="D11" s="217" t="s">
        <v>115</v>
      </c>
      <c r="E11" s="216" t="s">
        <v>198</v>
      </c>
      <c r="F11" s="217" t="s">
        <v>60</v>
      </c>
      <c r="G11" s="217"/>
      <c r="H11" s="217"/>
      <c r="I11" s="218">
        <f>SUM(I12:I13)</f>
        <v>11850</v>
      </c>
      <c r="J11" s="218">
        <f>SUM(J12:J13)</f>
        <v>0</v>
      </c>
      <c r="K11" s="218">
        <f>SUM(K12:K13)</f>
        <v>11850</v>
      </c>
      <c r="L11" s="217"/>
      <c r="M11" s="217"/>
      <c r="N11" s="217"/>
      <c r="O11" s="217"/>
      <c r="P11" s="217"/>
      <c r="Q11" s="217"/>
      <c r="R11" s="219"/>
      <c r="S11" s="217"/>
      <c r="T11" s="217"/>
      <c r="U11" s="217"/>
      <c r="V11" s="218">
        <f>SUM(V12:V13)</f>
        <v>0</v>
      </c>
      <c r="W11" s="218">
        <f>SUM(W12:W13)</f>
        <v>828.1</v>
      </c>
      <c r="X11" s="218">
        <f>SUM(X12:X13)</f>
        <v>828.1</v>
      </c>
      <c r="Y11" s="218">
        <f>SUM(Y12:Y13)</f>
        <v>11021.9</v>
      </c>
      <c r="Z11" s="94"/>
      <c r="AD11" s="59"/>
    </row>
    <row r="12" spans="1:30" s="287" customFormat="1" ht="231" customHeight="1" x14ac:dyDescent="0.2">
      <c r="A12" s="338" t="s">
        <v>85</v>
      </c>
      <c r="B12" s="268" t="s">
        <v>105</v>
      </c>
      <c r="C12" s="268" t="s">
        <v>107</v>
      </c>
      <c r="D12" s="250" t="s">
        <v>90</v>
      </c>
      <c r="E12" s="154">
        <v>42278</v>
      </c>
      <c r="F12" s="271" t="s">
        <v>91</v>
      </c>
      <c r="G12" s="258">
        <v>15</v>
      </c>
      <c r="H12" s="259">
        <f>I12/G12</f>
        <v>515.33333333333337</v>
      </c>
      <c r="I12" s="260">
        <v>7730</v>
      </c>
      <c r="J12" s="261">
        <v>0</v>
      </c>
      <c r="K12" s="262">
        <f>SUM(I12:J12)</f>
        <v>7730</v>
      </c>
      <c r="L12" s="282">
        <f>IF(I12/15&lt;=SMG,0,J12/2)</f>
        <v>0</v>
      </c>
      <c r="M12" s="301">
        <f>(I12+L12)/G12*30.4</f>
        <v>15666.133333333333</v>
      </c>
      <c r="N12" s="301">
        <f>VLOOKUP(M12,Tarifa,1)</f>
        <v>15487.72</v>
      </c>
      <c r="O12" s="282">
        <f>M12-N12</f>
        <v>178.41333333333387</v>
      </c>
      <c r="P12" s="283">
        <f>VLOOKUP(M12,Tarifa,3)</f>
        <v>0.21360000000000001</v>
      </c>
      <c r="Q12" s="282">
        <f>O12*P12</f>
        <v>38.109088000000114</v>
      </c>
      <c r="R12" s="284">
        <f>VLOOKUP(M12,Tarifa,2)</f>
        <v>1640.18</v>
      </c>
      <c r="S12" s="282">
        <f>Q12+R12</f>
        <v>1678.2890880000002</v>
      </c>
      <c r="T12" s="282">
        <f>VLOOKUP(M12,Credito,2)</f>
        <v>0</v>
      </c>
      <c r="U12" s="282">
        <f>ROUND((S12-T12)/30.4*G12,2)</f>
        <v>828.1</v>
      </c>
      <c r="V12" s="262">
        <f>-IF(U12&gt;0,0,0)</f>
        <v>0</v>
      </c>
      <c r="W12" s="262">
        <f>IF(I12/15&lt;=SMG,0,IF(U12&lt;0,0,U12))</f>
        <v>828.1</v>
      </c>
      <c r="X12" s="262">
        <f>SUM(W12:W12)</f>
        <v>828.1</v>
      </c>
      <c r="Y12" s="262">
        <f>K12+V12-X12</f>
        <v>6901.9</v>
      </c>
      <c r="Z12" s="273"/>
      <c r="AD12" s="339"/>
    </row>
    <row r="13" spans="1:30" s="287" customFormat="1" ht="231" customHeight="1" x14ac:dyDescent="0.2">
      <c r="A13" s="338"/>
      <c r="B13" s="268" t="s">
        <v>323</v>
      </c>
      <c r="C13" s="268" t="s">
        <v>107</v>
      </c>
      <c r="D13" s="250" t="s">
        <v>322</v>
      </c>
      <c r="E13" s="154">
        <v>45459</v>
      </c>
      <c r="F13" s="271" t="s">
        <v>257</v>
      </c>
      <c r="G13" s="258">
        <v>15</v>
      </c>
      <c r="H13" s="259">
        <f>I13/G13</f>
        <v>274.66666666666669</v>
      </c>
      <c r="I13" s="260">
        <v>4120</v>
      </c>
      <c r="J13" s="261">
        <v>0</v>
      </c>
      <c r="K13" s="262">
        <f>SUM(I13:J13)</f>
        <v>4120</v>
      </c>
      <c r="L13" s="282">
        <f>IF(I13/15&lt;=SMG,0,J13/2)</f>
        <v>0</v>
      </c>
      <c r="M13" s="301">
        <f>(I13+L13)/G13*30.4</f>
        <v>8349.8666666666668</v>
      </c>
      <c r="N13" s="301">
        <f>VLOOKUP(M13,Tarifa,1)</f>
        <v>6332.06</v>
      </c>
      <c r="O13" s="282">
        <f>M13-N13</f>
        <v>2017.8066666666664</v>
      </c>
      <c r="P13" s="283">
        <f>VLOOKUP(M13,Tarifa,3)</f>
        <v>0.10879999999999999</v>
      </c>
      <c r="Q13" s="282">
        <f>O13*P13</f>
        <v>219.5373653333333</v>
      </c>
      <c r="R13" s="284">
        <f>VLOOKUP(M13,Tarifa,2)</f>
        <v>371.83</v>
      </c>
      <c r="S13" s="282">
        <f>Q13+R13</f>
        <v>591.36736533333328</v>
      </c>
      <c r="T13" s="282">
        <f>VLOOKUP(M13,Credito,2)</f>
        <v>475</v>
      </c>
      <c r="U13" s="282">
        <f>ROUND((S13-T13)/30.4*G13,2)</f>
        <v>57.42</v>
      </c>
      <c r="V13" s="262">
        <f>-IF(U13&gt;0,0,0)</f>
        <v>0</v>
      </c>
      <c r="W13" s="262">
        <f>IF(I13/15&lt;=SMG,0,IF(U13&lt;0,0,U13))</f>
        <v>0</v>
      </c>
      <c r="X13" s="262">
        <f>SUM(W13:W13)</f>
        <v>0</v>
      </c>
      <c r="Y13" s="262">
        <f>K13+V13-X13</f>
        <v>4120</v>
      </c>
      <c r="Z13" s="273"/>
      <c r="AD13" s="340"/>
    </row>
    <row r="14" spans="1:30" s="51" customFormat="1" ht="57.75" customHeight="1" x14ac:dyDescent="0.3">
      <c r="A14" s="150"/>
      <c r="B14" s="142" t="s">
        <v>95</v>
      </c>
      <c r="C14" s="142" t="s">
        <v>113</v>
      </c>
      <c r="D14" s="217" t="s">
        <v>191</v>
      </c>
      <c r="E14" s="216" t="s">
        <v>198</v>
      </c>
      <c r="F14" s="217" t="s">
        <v>60</v>
      </c>
      <c r="G14" s="217"/>
      <c r="H14" s="217"/>
      <c r="I14" s="218">
        <f>SUM(I15:I23)</f>
        <v>8142.5</v>
      </c>
      <c r="J14" s="218">
        <f>SUM(J15:J23)</f>
        <v>0</v>
      </c>
      <c r="K14" s="218">
        <f>SUM(K15:K23)</f>
        <v>8142.5</v>
      </c>
      <c r="L14" s="218">
        <f t="shared" ref="L14:U14" si="1">SUM(L15)</f>
        <v>0</v>
      </c>
      <c r="M14" s="218">
        <f t="shared" si="1"/>
        <v>7749.9733333333334</v>
      </c>
      <c r="N14" s="218">
        <f t="shared" si="1"/>
        <v>6332.06</v>
      </c>
      <c r="O14" s="218">
        <f t="shared" si="1"/>
        <v>1417.913333333333</v>
      </c>
      <c r="P14" s="218">
        <f t="shared" si="1"/>
        <v>0.10879999999999999</v>
      </c>
      <c r="Q14" s="218">
        <f t="shared" si="1"/>
        <v>154.2689706666666</v>
      </c>
      <c r="R14" s="218">
        <f t="shared" si="1"/>
        <v>371.83</v>
      </c>
      <c r="S14" s="218">
        <f t="shared" si="1"/>
        <v>526.09897066666656</v>
      </c>
      <c r="T14" s="218">
        <f t="shared" si="1"/>
        <v>475</v>
      </c>
      <c r="U14" s="218">
        <f t="shared" si="1"/>
        <v>25.21</v>
      </c>
      <c r="V14" s="218">
        <f>SUM(V15:V23)</f>
        <v>0</v>
      </c>
      <c r="W14" s="218">
        <f>SUM(W15:W23)</f>
        <v>79.010000000000005</v>
      </c>
      <c r="X14" s="218">
        <f>SUM(X15:X23)</f>
        <v>79.010000000000005</v>
      </c>
      <c r="Y14" s="218">
        <f>SUM(Y15:Y23)</f>
        <v>8063.49</v>
      </c>
      <c r="Z14" s="94"/>
      <c r="AD14" s="64"/>
    </row>
    <row r="15" spans="1:30" s="287" customFormat="1" ht="234.75" customHeight="1" x14ac:dyDescent="0.2">
      <c r="A15" s="341"/>
      <c r="B15" s="274" t="s">
        <v>221</v>
      </c>
      <c r="C15" s="268" t="s">
        <v>107</v>
      </c>
      <c r="D15" s="254" t="s">
        <v>222</v>
      </c>
      <c r="E15" s="256">
        <v>45154</v>
      </c>
      <c r="F15" s="257" t="s">
        <v>223</v>
      </c>
      <c r="G15" s="258">
        <v>15</v>
      </c>
      <c r="H15" s="259">
        <f>I15/G15</f>
        <v>254.93333333333334</v>
      </c>
      <c r="I15" s="260">
        <v>3824</v>
      </c>
      <c r="J15" s="261">
        <v>0</v>
      </c>
      <c r="K15" s="262">
        <f t="shared" ref="K15" si="2">SUM(I15:J15)</f>
        <v>3824</v>
      </c>
      <c r="L15" s="282">
        <f>IF(I15/15&lt;=SMG,0,J15/2)</f>
        <v>0</v>
      </c>
      <c r="M15" s="301">
        <f>(I15+L15)/G15*30.4</f>
        <v>7749.9733333333334</v>
      </c>
      <c r="N15" s="301">
        <f>VLOOKUP(M15,Tarifa,1)</f>
        <v>6332.06</v>
      </c>
      <c r="O15" s="282">
        <f>M15-N15</f>
        <v>1417.913333333333</v>
      </c>
      <c r="P15" s="283">
        <f>VLOOKUP(M15,Tarifa,3)</f>
        <v>0.10879999999999999</v>
      </c>
      <c r="Q15" s="282">
        <f>O15*P15</f>
        <v>154.2689706666666</v>
      </c>
      <c r="R15" s="284">
        <f>VLOOKUP(M15,Tarifa,2)</f>
        <v>371.83</v>
      </c>
      <c r="S15" s="282">
        <f>Q15+R15</f>
        <v>526.09897066666656</v>
      </c>
      <c r="T15" s="282">
        <f>VLOOKUP(M15,Credito,2)</f>
        <v>475</v>
      </c>
      <c r="U15" s="282">
        <f>ROUND((S15-T15)/30.4*G15,2)</f>
        <v>25.21</v>
      </c>
      <c r="V15" s="262">
        <f>-IF(U15&gt;0,0,0)</f>
        <v>0</v>
      </c>
      <c r="W15" s="262">
        <f t="shared" ref="W15" si="3">IF(I15/15&lt;=SMG,0,IF(U15&lt;0,0,U15))</f>
        <v>0</v>
      </c>
      <c r="X15" s="262">
        <f>SUM(W15:W15)</f>
        <v>0</v>
      </c>
      <c r="Y15" s="262">
        <f>K15+V15-X15</f>
        <v>3824</v>
      </c>
      <c r="Z15" s="273"/>
      <c r="AD15" s="339"/>
    </row>
    <row r="16" spans="1:30" s="51" customFormat="1" ht="61.5" customHeight="1" x14ac:dyDescent="0.3">
      <c r="A16" s="150"/>
      <c r="B16" s="232"/>
      <c r="C16" s="204"/>
      <c r="D16" s="205"/>
      <c r="E16" s="207"/>
      <c r="F16" s="198"/>
      <c r="G16" s="208"/>
      <c r="H16" s="209"/>
      <c r="I16" s="210"/>
      <c r="J16" s="211"/>
      <c r="K16" s="212"/>
      <c r="L16" s="213"/>
      <c r="M16" s="213"/>
      <c r="N16" s="213"/>
      <c r="O16" s="213"/>
      <c r="P16" s="214"/>
      <c r="Q16" s="213"/>
      <c r="R16" s="215"/>
      <c r="S16" s="213"/>
      <c r="T16" s="213"/>
      <c r="U16" s="213"/>
      <c r="V16" s="212"/>
      <c r="W16" s="212"/>
      <c r="X16" s="212"/>
      <c r="Y16" s="212"/>
      <c r="Z16" s="89"/>
      <c r="AD16" s="64"/>
    </row>
    <row r="17" spans="1:30" s="51" customFormat="1" ht="61.5" customHeight="1" x14ac:dyDescent="0.3">
      <c r="A17" s="150"/>
      <c r="B17" s="232"/>
      <c r="C17" s="204"/>
      <c r="D17" s="205"/>
      <c r="E17" s="207"/>
      <c r="F17" s="198"/>
      <c r="G17" s="208"/>
      <c r="H17" s="209"/>
      <c r="I17" s="210"/>
      <c r="J17" s="211"/>
      <c r="K17" s="212"/>
      <c r="L17" s="213"/>
      <c r="M17" s="213"/>
      <c r="N17" s="213"/>
      <c r="O17" s="213"/>
      <c r="P17" s="214"/>
      <c r="Q17" s="213"/>
      <c r="R17" s="215"/>
      <c r="S17" s="213"/>
      <c r="T17" s="213"/>
      <c r="U17" s="213"/>
      <c r="V17" s="212"/>
      <c r="W17" s="212"/>
      <c r="X17" s="212"/>
      <c r="Y17" s="212"/>
      <c r="Z17" s="89"/>
      <c r="AD17" s="64"/>
    </row>
    <row r="18" spans="1:30" s="51" customFormat="1" ht="24.75" customHeight="1" x14ac:dyDescent="0.3">
      <c r="A18" s="150"/>
      <c r="B18" s="232"/>
      <c r="C18" s="204"/>
      <c r="D18" s="205"/>
      <c r="E18" s="207"/>
      <c r="F18" s="198"/>
      <c r="G18" s="208"/>
      <c r="H18" s="209"/>
      <c r="I18" s="210"/>
      <c r="J18" s="211"/>
      <c r="K18" s="212"/>
      <c r="L18" s="213"/>
      <c r="M18" s="213"/>
      <c r="N18" s="213"/>
      <c r="O18" s="213"/>
      <c r="P18" s="214"/>
      <c r="Q18" s="213"/>
      <c r="R18" s="215"/>
      <c r="S18" s="213"/>
      <c r="T18" s="213"/>
      <c r="U18" s="213"/>
      <c r="V18" s="212"/>
      <c r="W18" s="212"/>
      <c r="X18" s="212"/>
      <c r="Y18" s="212"/>
      <c r="Z18" s="89"/>
      <c r="AD18" s="64"/>
    </row>
    <row r="19" spans="1:30" s="51" customFormat="1" ht="34.5" customHeight="1" x14ac:dyDescent="0.25">
      <c r="A19" s="150"/>
      <c r="B19" s="419" t="s">
        <v>76</v>
      </c>
      <c r="C19" s="419"/>
      <c r="D19" s="419"/>
      <c r="E19" s="419"/>
      <c r="F19" s="419"/>
      <c r="G19" s="419"/>
      <c r="H19" s="419"/>
      <c r="I19" s="419"/>
      <c r="J19" s="419"/>
      <c r="K19" s="419"/>
      <c r="L19" s="419"/>
      <c r="M19" s="419"/>
      <c r="N19" s="419"/>
      <c r="O19" s="419"/>
      <c r="P19" s="419"/>
      <c r="Q19" s="419"/>
      <c r="R19" s="419"/>
      <c r="S19" s="419"/>
      <c r="T19" s="419"/>
      <c r="U19" s="419"/>
      <c r="V19" s="419"/>
      <c r="W19" s="419"/>
      <c r="X19" s="419"/>
      <c r="Y19" s="419"/>
      <c r="Z19" s="419"/>
      <c r="AA19" s="419"/>
      <c r="AD19" s="64"/>
    </row>
    <row r="20" spans="1:30" s="51" customFormat="1" ht="36.75" customHeight="1" x14ac:dyDescent="0.25">
      <c r="A20" s="150"/>
      <c r="B20" s="419" t="s">
        <v>63</v>
      </c>
      <c r="C20" s="419"/>
      <c r="D20" s="419"/>
      <c r="E20" s="419"/>
      <c r="F20" s="419"/>
      <c r="G20" s="419"/>
      <c r="H20" s="419"/>
      <c r="I20" s="419"/>
      <c r="J20" s="419"/>
      <c r="K20" s="419"/>
      <c r="L20" s="419"/>
      <c r="M20" s="419"/>
      <c r="N20" s="419"/>
      <c r="O20" s="419"/>
      <c r="P20" s="419"/>
      <c r="Q20" s="419"/>
      <c r="R20" s="419"/>
      <c r="S20" s="419"/>
      <c r="T20" s="419"/>
      <c r="U20" s="419"/>
      <c r="V20" s="419"/>
      <c r="W20" s="419"/>
      <c r="X20" s="419"/>
      <c r="Y20" s="419"/>
      <c r="Z20" s="419"/>
      <c r="AA20" s="419"/>
      <c r="AD20" s="64"/>
    </row>
    <row r="21" spans="1:30" s="51" customFormat="1" ht="31.5" customHeight="1" x14ac:dyDescent="0.25">
      <c r="A21" s="150"/>
      <c r="B21" s="420" t="str">
        <f>PRESIDENCIA!A3</f>
        <v>SUELDO  DEL 01 AL 15 DE ABRIL DE 2025</v>
      </c>
      <c r="C21" s="420"/>
      <c r="D21" s="420"/>
      <c r="E21" s="420"/>
      <c r="F21" s="420"/>
      <c r="G21" s="420"/>
      <c r="H21" s="420"/>
      <c r="I21" s="420"/>
      <c r="J21" s="420"/>
      <c r="K21" s="420"/>
      <c r="L21" s="420"/>
      <c r="M21" s="420"/>
      <c r="N21" s="420"/>
      <c r="O21" s="420"/>
      <c r="P21" s="420"/>
      <c r="Q21" s="420"/>
      <c r="R21" s="420"/>
      <c r="S21" s="420"/>
      <c r="T21" s="420"/>
      <c r="U21" s="420"/>
      <c r="V21" s="420"/>
      <c r="W21" s="420"/>
      <c r="X21" s="420"/>
      <c r="Y21" s="420"/>
      <c r="Z21" s="420"/>
      <c r="AA21" s="420"/>
      <c r="AD21" s="64"/>
    </row>
    <row r="22" spans="1:30" s="51" customFormat="1" ht="26.25" customHeight="1" x14ac:dyDescent="0.3">
      <c r="A22" s="150"/>
      <c r="B22" s="232"/>
      <c r="C22" s="204"/>
      <c r="D22" s="205"/>
      <c r="E22" s="207"/>
      <c r="F22" s="198"/>
      <c r="G22" s="208"/>
      <c r="H22" s="209"/>
      <c r="I22" s="210"/>
      <c r="J22" s="211"/>
      <c r="K22" s="212"/>
      <c r="L22" s="213"/>
      <c r="M22" s="213"/>
      <c r="N22" s="213"/>
      <c r="O22" s="213"/>
      <c r="P22" s="214"/>
      <c r="Q22" s="213"/>
      <c r="R22" s="215"/>
      <c r="S22" s="213"/>
      <c r="T22" s="213"/>
      <c r="U22" s="213"/>
      <c r="V22" s="212"/>
      <c r="W22" s="212"/>
      <c r="X22" s="212"/>
      <c r="Y22" s="212"/>
      <c r="Z22" s="89"/>
      <c r="AD22" s="64"/>
    </row>
    <row r="23" spans="1:30" s="287" customFormat="1" ht="230.25" customHeight="1" x14ac:dyDescent="0.2">
      <c r="A23" s="341"/>
      <c r="B23" s="274" t="s">
        <v>270</v>
      </c>
      <c r="C23" s="268" t="s">
        <v>107</v>
      </c>
      <c r="D23" s="275" t="s">
        <v>327</v>
      </c>
      <c r="E23" s="316">
        <v>45612</v>
      </c>
      <c r="F23" s="257" t="s">
        <v>271</v>
      </c>
      <c r="G23" s="258">
        <v>15</v>
      </c>
      <c r="H23" s="259">
        <f>I23/G23</f>
        <v>287.89999999999998</v>
      </c>
      <c r="I23" s="260">
        <v>4318.5</v>
      </c>
      <c r="J23" s="261">
        <v>0</v>
      </c>
      <c r="K23" s="262">
        <f t="shared" ref="K23" si="4">SUM(I23:J23)</f>
        <v>4318.5</v>
      </c>
      <c r="L23" s="282">
        <f>IF(I23/15&lt;=SMG,0,J23/2)</f>
        <v>0</v>
      </c>
      <c r="M23" s="301">
        <f>(I23+L23)/G23*30.4</f>
        <v>8752.159999999998</v>
      </c>
      <c r="N23" s="301">
        <f>VLOOKUP(M23,Tarifa,1)</f>
        <v>6332.06</v>
      </c>
      <c r="O23" s="282">
        <f>M23-N23</f>
        <v>2420.0999999999976</v>
      </c>
      <c r="P23" s="283">
        <f>VLOOKUP(M23,Tarifa,3)</f>
        <v>0.10879999999999999</v>
      </c>
      <c r="Q23" s="282">
        <f>O23*P23</f>
        <v>263.30687999999975</v>
      </c>
      <c r="R23" s="284">
        <f>VLOOKUP(M23,Tarifa,2)</f>
        <v>371.83</v>
      </c>
      <c r="S23" s="282">
        <f>Q23+R23</f>
        <v>635.13687999999979</v>
      </c>
      <c r="T23" s="282">
        <f>VLOOKUP(M23,Credito,2)</f>
        <v>475</v>
      </c>
      <c r="U23" s="282">
        <f>ROUND((S23-T23)/30.4*G23,2)</f>
        <v>79.010000000000005</v>
      </c>
      <c r="V23" s="262">
        <f>-IF(U23&gt;0,0,0)</f>
        <v>0</v>
      </c>
      <c r="W23" s="262">
        <f t="shared" ref="W23" si="5">IF(I23/15&lt;=SMG,0,IF(U23&lt;0,0,U23))</f>
        <v>79.010000000000005</v>
      </c>
      <c r="X23" s="262">
        <f>SUM(W23:W23)</f>
        <v>79.010000000000005</v>
      </c>
      <c r="Y23" s="262">
        <f>K23+V23-X23</f>
        <v>4239.49</v>
      </c>
      <c r="Z23" s="273"/>
      <c r="AD23" s="339"/>
    </row>
    <row r="24" spans="1:30" s="51" customFormat="1" ht="60.75" customHeight="1" x14ac:dyDescent="0.3">
      <c r="A24" s="150"/>
      <c r="B24" s="142" t="s">
        <v>95</v>
      </c>
      <c r="C24" s="142" t="s">
        <v>113</v>
      </c>
      <c r="D24" s="217" t="s">
        <v>210</v>
      </c>
      <c r="E24" s="216" t="s">
        <v>198</v>
      </c>
      <c r="F24" s="217" t="s">
        <v>60</v>
      </c>
      <c r="G24" s="217"/>
      <c r="H24" s="217"/>
      <c r="I24" s="218">
        <f>SUM(I25:I27)</f>
        <v>20863.5</v>
      </c>
      <c r="J24" s="218">
        <f>SUM(J25:J27)</f>
        <v>0</v>
      </c>
      <c r="K24" s="218">
        <f>SUM(K25:K27)</f>
        <v>20863.5</v>
      </c>
      <c r="L24" s="218">
        <f t="shared" ref="L24:U24" si="6">L25+L26+L27</f>
        <v>0</v>
      </c>
      <c r="M24" s="218">
        <f t="shared" si="6"/>
        <v>42283.360000000001</v>
      </c>
      <c r="N24" s="218">
        <f t="shared" si="6"/>
        <v>37307.5</v>
      </c>
      <c r="O24" s="218">
        <f t="shared" si="6"/>
        <v>4975.8600000000015</v>
      </c>
      <c r="P24" s="218">
        <f t="shared" si="6"/>
        <v>0.53600000000000003</v>
      </c>
      <c r="Q24" s="218">
        <f t="shared" si="6"/>
        <v>850.10318933333383</v>
      </c>
      <c r="R24" s="218">
        <f t="shared" si="6"/>
        <v>3652.19</v>
      </c>
      <c r="S24" s="218">
        <f t="shared" si="6"/>
        <v>4502.2931893333334</v>
      </c>
      <c r="T24" s="218">
        <f t="shared" si="6"/>
        <v>475</v>
      </c>
      <c r="U24" s="218">
        <f t="shared" si="6"/>
        <v>1987.1499999999999</v>
      </c>
      <c r="V24" s="218">
        <f>SUM(V25:V27)</f>
        <v>0</v>
      </c>
      <c r="W24" s="218">
        <f>SUM(W25:W27)</f>
        <v>1929.08</v>
      </c>
      <c r="X24" s="218">
        <f>SUM(X25:X27)</f>
        <v>1929.08</v>
      </c>
      <c r="Y24" s="218">
        <f>SUM(Y25:Y27)</f>
        <v>18934.419999999998</v>
      </c>
      <c r="Z24" s="94"/>
      <c r="AD24" s="64"/>
    </row>
    <row r="25" spans="1:30" s="287" customFormat="1" ht="230.25" customHeight="1" x14ac:dyDescent="0.2">
      <c r="A25" s="341"/>
      <c r="B25" s="274" t="s">
        <v>224</v>
      </c>
      <c r="C25" s="268" t="s">
        <v>107</v>
      </c>
      <c r="D25" s="275" t="s">
        <v>225</v>
      </c>
      <c r="E25" s="316">
        <v>45170</v>
      </c>
      <c r="F25" s="257" t="s">
        <v>226</v>
      </c>
      <c r="G25" s="258">
        <v>15</v>
      </c>
      <c r="H25" s="259">
        <f>I25/G25</f>
        <v>515.33333333333337</v>
      </c>
      <c r="I25" s="260">
        <v>7730</v>
      </c>
      <c r="J25" s="261">
        <v>0</v>
      </c>
      <c r="K25" s="262">
        <f>SUM(I25:J25)</f>
        <v>7730</v>
      </c>
      <c r="L25" s="282">
        <f>IF(I25/15&lt;=SMG,0,J25/2)</f>
        <v>0</v>
      </c>
      <c r="M25" s="301">
        <f>(I25+L25)/G25*30.4</f>
        <v>15666.133333333333</v>
      </c>
      <c r="N25" s="301">
        <f>VLOOKUP(M25,Tarifa,1)</f>
        <v>15487.72</v>
      </c>
      <c r="O25" s="282">
        <f>M25-N25</f>
        <v>178.41333333333387</v>
      </c>
      <c r="P25" s="283">
        <f>VLOOKUP(M25,Tarifa,3)</f>
        <v>0.21360000000000001</v>
      </c>
      <c r="Q25" s="282">
        <f>O25*P25</f>
        <v>38.109088000000114</v>
      </c>
      <c r="R25" s="284">
        <f>VLOOKUP(M25,Tarifa,2)</f>
        <v>1640.18</v>
      </c>
      <c r="S25" s="282">
        <f>Q25+R25</f>
        <v>1678.2890880000002</v>
      </c>
      <c r="T25" s="282">
        <f>VLOOKUP(M25,Credito,2)</f>
        <v>0</v>
      </c>
      <c r="U25" s="282">
        <f>ROUND((S25-T25)/30.4*G25,2)</f>
        <v>828.1</v>
      </c>
      <c r="V25" s="262">
        <f>-IF(U25&gt;0,0,0)</f>
        <v>0</v>
      </c>
      <c r="W25" s="262">
        <f>IF(I25/15&lt;=SMG,0,IF(U25&lt;0,0,U25))</f>
        <v>828.1</v>
      </c>
      <c r="X25" s="262">
        <f>SUM(W25:W25)</f>
        <v>828.1</v>
      </c>
      <c r="Y25" s="262">
        <f>K25+V25-X25</f>
        <v>6901.9</v>
      </c>
      <c r="Z25" s="273"/>
      <c r="AD25" s="339"/>
    </row>
    <row r="26" spans="1:30" s="287" customFormat="1" ht="230.25" customHeight="1" x14ac:dyDescent="0.2">
      <c r="A26" s="341"/>
      <c r="B26" s="274" t="s">
        <v>218</v>
      </c>
      <c r="C26" s="268" t="s">
        <v>107</v>
      </c>
      <c r="D26" s="275" t="s">
        <v>211</v>
      </c>
      <c r="E26" s="316">
        <v>45108</v>
      </c>
      <c r="F26" s="257" t="s">
        <v>212</v>
      </c>
      <c r="G26" s="258">
        <v>15</v>
      </c>
      <c r="H26" s="259">
        <f>I26/G26</f>
        <v>600.5</v>
      </c>
      <c r="I26" s="260">
        <v>9007.5</v>
      </c>
      <c r="J26" s="261">
        <v>0</v>
      </c>
      <c r="K26" s="262">
        <f t="shared" ref="K26" si="7">SUM(I26:J26)</f>
        <v>9007.5</v>
      </c>
      <c r="L26" s="282">
        <f>IF(I26/15&lt;=SMG,0,J26/2)</f>
        <v>0</v>
      </c>
      <c r="M26" s="301">
        <f>(I26+L26)/G26*30.4</f>
        <v>18255.2</v>
      </c>
      <c r="N26" s="301">
        <f>VLOOKUP(M26,Tarifa,1)</f>
        <v>15487.72</v>
      </c>
      <c r="O26" s="282">
        <f>M26-N26</f>
        <v>2767.4800000000014</v>
      </c>
      <c r="P26" s="283">
        <f>VLOOKUP(M26,Tarifa,3)</f>
        <v>0.21360000000000001</v>
      </c>
      <c r="Q26" s="282">
        <f>O26*P26</f>
        <v>591.13372800000036</v>
      </c>
      <c r="R26" s="284">
        <f>VLOOKUP(M26,Tarifa,2)</f>
        <v>1640.18</v>
      </c>
      <c r="S26" s="282">
        <f>Q26+R26</f>
        <v>2231.3137280000005</v>
      </c>
      <c r="T26" s="282">
        <f>VLOOKUP(M26,Credito,2)</f>
        <v>0</v>
      </c>
      <c r="U26" s="282">
        <f>ROUND((S26-T26)/30.4*G26,2)</f>
        <v>1100.98</v>
      </c>
      <c r="V26" s="262">
        <f>-IF(U26&gt;0,0,0)</f>
        <v>0</v>
      </c>
      <c r="W26" s="262">
        <f t="shared" ref="W26" si="8">IF(I26/15&lt;=SMG,0,IF(U26&lt;0,0,U26))</f>
        <v>1100.98</v>
      </c>
      <c r="X26" s="262">
        <f>SUM(W26:W26)</f>
        <v>1100.98</v>
      </c>
      <c r="Y26" s="262">
        <f>K26+V26-X26</f>
        <v>7906.52</v>
      </c>
      <c r="Z26" s="273"/>
      <c r="AD26" s="339"/>
    </row>
    <row r="27" spans="1:30" s="287" customFormat="1" ht="230.25" customHeight="1" x14ac:dyDescent="0.2">
      <c r="A27" s="341"/>
      <c r="B27" s="274" t="s">
        <v>227</v>
      </c>
      <c r="C27" s="268" t="s">
        <v>107</v>
      </c>
      <c r="D27" s="275" t="s">
        <v>229</v>
      </c>
      <c r="E27" s="316">
        <v>45200</v>
      </c>
      <c r="F27" s="257" t="s">
        <v>230</v>
      </c>
      <c r="G27" s="258">
        <v>15</v>
      </c>
      <c r="H27" s="259">
        <f>I27/G27</f>
        <v>275.06666666666666</v>
      </c>
      <c r="I27" s="260">
        <v>4126</v>
      </c>
      <c r="J27" s="261">
        <v>0</v>
      </c>
      <c r="K27" s="262">
        <f>SUM(I27:J27)</f>
        <v>4126</v>
      </c>
      <c r="L27" s="282">
        <f>IF(I27/15&lt;=SMG,0,J27/2)</f>
        <v>0</v>
      </c>
      <c r="M27" s="301">
        <f>(I27+L27)/G27*30.4</f>
        <v>8362.0266666666666</v>
      </c>
      <c r="N27" s="301">
        <f>VLOOKUP(M27,Tarifa,1)</f>
        <v>6332.06</v>
      </c>
      <c r="O27" s="282">
        <f>M27-N27</f>
        <v>2029.9666666666662</v>
      </c>
      <c r="P27" s="283">
        <f>VLOOKUP(M27,Tarifa,3)</f>
        <v>0.10879999999999999</v>
      </c>
      <c r="Q27" s="282">
        <f>O27*P27</f>
        <v>220.86037333333329</v>
      </c>
      <c r="R27" s="284">
        <f>VLOOKUP(M27,Tarifa,2)</f>
        <v>371.83</v>
      </c>
      <c r="S27" s="282">
        <f>Q27+R27</f>
        <v>592.69037333333324</v>
      </c>
      <c r="T27" s="282">
        <f>VLOOKUP(M27,Credito,2)</f>
        <v>475</v>
      </c>
      <c r="U27" s="282">
        <f>ROUND((S27-T27)/30.4*G27,2)</f>
        <v>58.07</v>
      </c>
      <c r="V27" s="262">
        <f>-IF(U27&gt;0,0,0)</f>
        <v>0</v>
      </c>
      <c r="W27" s="262">
        <f>IF(I27/15&lt;=SMG,0,IF(U27&lt;0,0,U27))</f>
        <v>0</v>
      </c>
      <c r="X27" s="262">
        <f>SUM(W27:W27)</f>
        <v>0</v>
      </c>
      <c r="Y27" s="262">
        <f>K27+V27-X27</f>
        <v>4126</v>
      </c>
      <c r="Z27" s="273"/>
      <c r="AD27" s="339"/>
    </row>
    <row r="28" spans="1:30" s="51" customFormat="1" ht="47.25" customHeight="1" x14ac:dyDescent="0.25">
      <c r="A28" s="150"/>
      <c r="B28" s="197" t="s">
        <v>95</v>
      </c>
      <c r="C28" s="197" t="s">
        <v>113</v>
      </c>
      <c r="D28" s="197" t="s">
        <v>283</v>
      </c>
      <c r="E28" s="197" t="s">
        <v>198</v>
      </c>
      <c r="F28" s="237" t="s">
        <v>60</v>
      </c>
      <c r="G28" s="237"/>
      <c r="H28" s="237"/>
      <c r="I28" s="238">
        <f>SUM(I29)</f>
        <v>6207.5</v>
      </c>
      <c r="J28" s="238">
        <f>SUM(J29)</f>
        <v>0</v>
      </c>
      <c r="K28" s="238">
        <f>SUM(K29)</f>
        <v>6207.5</v>
      </c>
      <c r="L28" s="237"/>
      <c r="M28" s="237"/>
      <c r="N28" s="237"/>
      <c r="O28" s="237"/>
      <c r="P28" s="237"/>
      <c r="Q28" s="237"/>
      <c r="R28" s="239"/>
      <c r="S28" s="237"/>
      <c r="T28" s="237"/>
      <c r="U28" s="237"/>
      <c r="V28" s="238">
        <f>SUM(V29)</f>
        <v>0</v>
      </c>
      <c r="W28" s="238">
        <f>SUM(W29)</f>
        <v>555.61</v>
      </c>
      <c r="X28" s="238">
        <f>SUM(X29)</f>
        <v>555.61</v>
      </c>
      <c r="Y28" s="238">
        <f>SUM(Y29)</f>
        <v>5651.89</v>
      </c>
      <c r="Z28" s="174"/>
      <c r="AD28" s="64"/>
    </row>
    <row r="29" spans="1:30" s="287" customFormat="1" ht="230.25" customHeight="1" x14ac:dyDescent="0.2">
      <c r="A29" s="341"/>
      <c r="B29" s="274" t="s">
        <v>284</v>
      </c>
      <c r="C29" s="268" t="s">
        <v>107</v>
      </c>
      <c r="D29" s="254" t="s">
        <v>285</v>
      </c>
      <c r="E29" s="256">
        <v>45566</v>
      </c>
      <c r="F29" s="257" t="s">
        <v>286</v>
      </c>
      <c r="G29" s="258">
        <v>15</v>
      </c>
      <c r="H29" s="259">
        <f>I29/G29</f>
        <v>413.83333333333331</v>
      </c>
      <c r="I29" s="260">
        <v>6207.5</v>
      </c>
      <c r="J29" s="261">
        <v>0</v>
      </c>
      <c r="K29" s="262">
        <f>SUM(I29:J29)</f>
        <v>6207.5</v>
      </c>
      <c r="L29" s="282">
        <f>IF(I29/15&lt;=SMG,0,J29/2)</f>
        <v>0</v>
      </c>
      <c r="M29" s="301">
        <f>(I29+L29)/G29*30.4</f>
        <v>12580.533333333333</v>
      </c>
      <c r="N29" s="301">
        <f>VLOOKUP(M29,Tarifa,1)</f>
        <v>11128.02</v>
      </c>
      <c r="O29" s="282">
        <f>M29-N29</f>
        <v>1452.5133333333324</v>
      </c>
      <c r="P29" s="283">
        <f>VLOOKUP(M29,Tarifa,3)</f>
        <v>0.16</v>
      </c>
      <c r="Q29" s="282">
        <f>O29*P29</f>
        <v>232.40213333333318</v>
      </c>
      <c r="R29" s="284">
        <f>VLOOKUP(M29,Tarifa,2)</f>
        <v>893.63</v>
      </c>
      <c r="S29" s="282">
        <f>Q29+R29</f>
        <v>1126.0321333333331</v>
      </c>
      <c r="T29" s="282">
        <f>VLOOKUP(M29,Credito,2)</f>
        <v>0</v>
      </c>
      <c r="U29" s="282">
        <f>ROUND((S29-T29)/30.4*G29,2)</f>
        <v>555.61</v>
      </c>
      <c r="V29" s="262">
        <f>-IF(U29&gt;0,0,0)</f>
        <v>0</v>
      </c>
      <c r="W29" s="262">
        <f>IF(I29/15&lt;=SMG,0,IF(U29&lt;0,0,U29))</f>
        <v>555.61</v>
      </c>
      <c r="X29" s="262">
        <f>SUM(W29:W29)</f>
        <v>555.61</v>
      </c>
      <c r="Y29" s="262">
        <f>K29+V29-X29</f>
        <v>5651.89</v>
      </c>
      <c r="Z29" s="263"/>
      <c r="AD29" s="339"/>
    </row>
    <row r="30" spans="1:30" s="287" customFormat="1" ht="118.5" customHeight="1" x14ac:dyDescent="0.2">
      <c r="A30" s="341"/>
      <c r="B30" s="388"/>
      <c r="C30" s="389"/>
      <c r="D30" s="390"/>
      <c r="E30" s="391"/>
      <c r="F30" s="392"/>
      <c r="G30" s="393"/>
      <c r="H30" s="394"/>
      <c r="I30" s="395"/>
      <c r="J30" s="396"/>
      <c r="K30" s="397"/>
      <c r="L30" s="371"/>
      <c r="M30" s="372"/>
      <c r="N30" s="372"/>
      <c r="O30" s="371"/>
      <c r="P30" s="373"/>
      <c r="Q30" s="371"/>
      <c r="R30" s="374"/>
      <c r="S30" s="371"/>
      <c r="T30" s="371"/>
      <c r="U30" s="371"/>
      <c r="V30" s="397"/>
      <c r="W30" s="397"/>
      <c r="X30" s="397"/>
      <c r="Y30" s="397"/>
      <c r="Z30" s="398"/>
      <c r="AD30" s="339"/>
    </row>
    <row r="31" spans="1:30" s="287" customFormat="1" ht="35.25" customHeight="1" x14ac:dyDescent="0.2">
      <c r="A31" s="341"/>
      <c r="B31" s="388"/>
      <c r="C31" s="389"/>
      <c r="D31" s="390"/>
      <c r="E31" s="391"/>
      <c r="F31" s="392"/>
      <c r="G31" s="393"/>
      <c r="H31" s="394"/>
      <c r="I31" s="395"/>
      <c r="J31" s="396"/>
      <c r="K31" s="397"/>
      <c r="L31" s="371"/>
      <c r="M31" s="372"/>
      <c r="N31" s="372"/>
      <c r="O31" s="371"/>
      <c r="P31" s="373"/>
      <c r="Q31" s="371"/>
      <c r="R31" s="374"/>
      <c r="S31" s="371"/>
      <c r="T31" s="371"/>
      <c r="U31" s="371"/>
      <c r="V31" s="397"/>
      <c r="W31" s="397"/>
      <c r="X31" s="397"/>
      <c r="Y31" s="397"/>
      <c r="Z31" s="398"/>
      <c r="AD31" s="339"/>
    </row>
    <row r="32" spans="1:30" s="287" customFormat="1" ht="35.25" customHeight="1" x14ac:dyDescent="0.2">
      <c r="A32" s="341"/>
      <c r="B32" s="388"/>
      <c r="C32" s="389"/>
      <c r="D32" s="390"/>
      <c r="E32" s="391"/>
      <c r="F32" s="392"/>
      <c r="G32" s="393"/>
      <c r="H32" s="394"/>
      <c r="I32" s="395"/>
      <c r="J32" s="396"/>
      <c r="K32" s="397"/>
      <c r="L32" s="371"/>
      <c r="M32" s="372"/>
      <c r="N32" s="372"/>
      <c r="O32" s="371"/>
      <c r="P32" s="373"/>
      <c r="Q32" s="371"/>
      <c r="R32" s="374"/>
      <c r="S32" s="371"/>
      <c r="T32" s="371"/>
      <c r="U32" s="371"/>
      <c r="V32" s="397"/>
      <c r="W32" s="397"/>
      <c r="X32" s="397"/>
      <c r="Y32" s="397"/>
      <c r="Z32" s="398"/>
      <c r="AD32" s="339"/>
    </row>
    <row r="33" spans="1:30" s="51" customFormat="1" ht="45" customHeight="1" x14ac:dyDescent="0.25">
      <c r="A33" s="150"/>
      <c r="B33" s="419" t="s">
        <v>76</v>
      </c>
      <c r="C33" s="419"/>
      <c r="D33" s="419"/>
      <c r="E33" s="419"/>
      <c r="F33" s="419"/>
      <c r="G33" s="419"/>
      <c r="H33" s="419"/>
      <c r="I33" s="419"/>
      <c r="J33" s="419"/>
      <c r="K33" s="419"/>
      <c r="L33" s="419"/>
      <c r="M33" s="419"/>
      <c r="N33" s="419"/>
      <c r="O33" s="419"/>
      <c r="P33" s="419"/>
      <c r="Q33" s="419"/>
      <c r="R33" s="419"/>
      <c r="S33" s="419"/>
      <c r="T33" s="419"/>
      <c r="U33" s="419"/>
      <c r="V33" s="419"/>
      <c r="W33" s="419"/>
      <c r="X33" s="419"/>
      <c r="Y33" s="419"/>
      <c r="Z33" s="419"/>
      <c r="AD33" s="64"/>
    </row>
    <row r="34" spans="1:30" s="51" customFormat="1" ht="33.75" customHeight="1" x14ac:dyDescent="0.25">
      <c r="A34" s="150"/>
      <c r="B34" s="419" t="s">
        <v>63</v>
      </c>
      <c r="C34" s="419"/>
      <c r="D34" s="419"/>
      <c r="E34" s="419"/>
      <c r="F34" s="419"/>
      <c r="G34" s="419"/>
      <c r="H34" s="419"/>
      <c r="I34" s="419"/>
      <c r="J34" s="419"/>
      <c r="K34" s="419"/>
      <c r="L34" s="419"/>
      <c r="M34" s="419"/>
      <c r="N34" s="419"/>
      <c r="O34" s="419"/>
      <c r="P34" s="419"/>
      <c r="Q34" s="419"/>
      <c r="R34" s="419"/>
      <c r="S34" s="419"/>
      <c r="T34" s="419"/>
      <c r="U34" s="419"/>
      <c r="V34" s="419"/>
      <c r="W34" s="419"/>
      <c r="X34" s="419"/>
      <c r="Y34" s="419"/>
      <c r="Z34" s="419"/>
      <c r="AD34" s="64"/>
    </row>
    <row r="35" spans="1:30" s="51" customFormat="1" ht="42" customHeight="1" x14ac:dyDescent="0.25">
      <c r="A35" s="150"/>
      <c r="B35" s="455" t="str">
        <f>PRESIDENCIA!A3</f>
        <v>SUELDO  DEL 01 AL 15 DE ABRIL DE 2025</v>
      </c>
      <c r="C35" s="420"/>
      <c r="D35" s="420"/>
      <c r="E35" s="420"/>
      <c r="F35" s="420"/>
      <c r="G35" s="420"/>
      <c r="H35" s="420"/>
      <c r="I35" s="420"/>
      <c r="J35" s="420"/>
      <c r="K35" s="420"/>
      <c r="L35" s="420"/>
      <c r="M35" s="420"/>
      <c r="N35" s="420"/>
      <c r="O35" s="420"/>
      <c r="P35" s="420"/>
      <c r="Q35" s="420"/>
      <c r="R35" s="420"/>
      <c r="S35" s="420"/>
      <c r="T35" s="420"/>
      <c r="U35" s="420"/>
      <c r="V35" s="420"/>
      <c r="W35" s="420"/>
      <c r="X35" s="420"/>
      <c r="Y35" s="420"/>
      <c r="Z35" s="420"/>
      <c r="AD35" s="64"/>
    </row>
    <row r="36" spans="1:30" s="51" customFormat="1" ht="25.5" customHeight="1" x14ac:dyDescent="0.3">
      <c r="A36" s="150"/>
      <c r="B36" s="232"/>
      <c r="C36" s="204"/>
      <c r="D36" s="205"/>
      <c r="E36" s="207"/>
      <c r="F36" s="198"/>
      <c r="G36" s="208"/>
      <c r="H36" s="209"/>
      <c r="I36" s="210"/>
      <c r="J36" s="211"/>
      <c r="K36" s="212"/>
      <c r="L36" s="213"/>
      <c r="M36" s="213"/>
      <c r="N36" s="213"/>
      <c r="O36" s="213"/>
      <c r="P36" s="214"/>
      <c r="Q36" s="213"/>
      <c r="R36" s="215"/>
      <c r="S36" s="213"/>
      <c r="T36" s="213"/>
      <c r="U36" s="213"/>
      <c r="V36" s="212"/>
      <c r="W36" s="212"/>
      <c r="X36" s="212"/>
      <c r="Y36" s="212"/>
      <c r="Z36" s="89"/>
      <c r="AD36" s="64"/>
    </row>
    <row r="37" spans="1:30" s="105" customFormat="1" ht="71.25" customHeight="1" x14ac:dyDescent="0.3">
      <c r="A37" s="130"/>
      <c r="B37" s="197" t="s">
        <v>95</v>
      </c>
      <c r="C37" s="197" t="s">
        <v>113</v>
      </c>
      <c r="D37" s="220" t="s">
        <v>116</v>
      </c>
      <c r="E37" s="220" t="s">
        <v>198</v>
      </c>
      <c r="F37" s="221" t="s">
        <v>60</v>
      </c>
      <c r="G37" s="221"/>
      <c r="H37" s="221"/>
      <c r="I37" s="222">
        <f>SUM(I38)</f>
        <v>7730</v>
      </c>
      <c r="J37" s="222">
        <f>SUM(J38)</f>
        <v>0</v>
      </c>
      <c r="K37" s="222">
        <f>SUM(K38)</f>
        <v>7730</v>
      </c>
      <c r="L37" s="221"/>
      <c r="M37" s="221"/>
      <c r="N37" s="221"/>
      <c r="O37" s="221"/>
      <c r="P37" s="221"/>
      <c r="Q37" s="221"/>
      <c r="R37" s="223"/>
      <c r="S37" s="221"/>
      <c r="T37" s="221"/>
      <c r="U37" s="221"/>
      <c r="V37" s="222">
        <f>SUM(V38)</f>
        <v>0</v>
      </c>
      <c r="W37" s="222">
        <f>SUM(W38)</f>
        <v>828.1</v>
      </c>
      <c r="X37" s="222">
        <f>SUM(X38)</f>
        <v>828.1</v>
      </c>
      <c r="Y37" s="222">
        <f>SUM(Y38)</f>
        <v>6901.9</v>
      </c>
      <c r="Z37" s="174"/>
      <c r="AD37" s="177"/>
    </row>
    <row r="38" spans="1:30" s="342" customFormat="1" ht="230.25" customHeight="1" x14ac:dyDescent="0.2">
      <c r="A38" s="253" t="s">
        <v>87</v>
      </c>
      <c r="B38" s="274" t="s">
        <v>279</v>
      </c>
      <c r="C38" s="268" t="s">
        <v>107</v>
      </c>
      <c r="D38" s="254" t="s">
        <v>278</v>
      </c>
      <c r="E38" s="256">
        <v>45566</v>
      </c>
      <c r="F38" s="257" t="s">
        <v>94</v>
      </c>
      <c r="G38" s="258">
        <v>15</v>
      </c>
      <c r="H38" s="259">
        <f>I38/G38</f>
        <v>515.33333333333337</v>
      </c>
      <c r="I38" s="260">
        <v>7730</v>
      </c>
      <c r="J38" s="261">
        <v>0</v>
      </c>
      <c r="K38" s="262">
        <f>SUM(I38:J38)</f>
        <v>7730</v>
      </c>
      <c r="L38" s="282">
        <f>IF(I38/15&lt;=SMG,0,J38/2)</f>
        <v>0</v>
      </c>
      <c r="M38" s="301">
        <f>(I38+L38)/G38*30.4</f>
        <v>15666.133333333333</v>
      </c>
      <c r="N38" s="301">
        <f>VLOOKUP(M38,Tarifa,1)</f>
        <v>15487.72</v>
      </c>
      <c r="O38" s="282">
        <f>M38-N38</f>
        <v>178.41333333333387</v>
      </c>
      <c r="P38" s="283">
        <f>VLOOKUP(M38,Tarifa,3)</f>
        <v>0.21360000000000001</v>
      </c>
      <c r="Q38" s="282">
        <f>O38*P38</f>
        <v>38.109088000000114</v>
      </c>
      <c r="R38" s="284">
        <f>VLOOKUP(M38,Tarifa,2)</f>
        <v>1640.18</v>
      </c>
      <c r="S38" s="282">
        <f>Q38+R38</f>
        <v>1678.2890880000002</v>
      </c>
      <c r="T38" s="282">
        <f>VLOOKUP(M38,Credito,2)</f>
        <v>0</v>
      </c>
      <c r="U38" s="282">
        <f>ROUND((S38-T38)/30.4*G38,2)</f>
        <v>828.1</v>
      </c>
      <c r="V38" s="262">
        <f>-IF(U38&gt;0,0,0)</f>
        <v>0</v>
      </c>
      <c r="W38" s="262">
        <f>IF(I38/15&lt;=SMG,0,IF(U38&lt;0,0,U38))</f>
        <v>828.1</v>
      </c>
      <c r="X38" s="262">
        <f>SUM(W38:W38)</f>
        <v>828.1</v>
      </c>
      <c r="Y38" s="262">
        <f>K38+V38-X38</f>
        <v>6901.9</v>
      </c>
      <c r="Z38" s="263"/>
      <c r="AD38" s="343"/>
    </row>
    <row r="39" spans="1:30" s="105" customFormat="1" ht="57.75" customHeight="1" x14ac:dyDescent="0.3">
      <c r="A39" s="155"/>
      <c r="B39" s="142" t="s">
        <v>95</v>
      </c>
      <c r="C39" s="142" t="s">
        <v>113</v>
      </c>
      <c r="D39" s="217" t="s">
        <v>129</v>
      </c>
      <c r="E39" s="216" t="s">
        <v>198</v>
      </c>
      <c r="F39" s="217" t="s">
        <v>60</v>
      </c>
      <c r="G39" s="217"/>
      <c r="H39" s="217"/>
      <c r="I39" s="218">
        <f>SUM(I40:I58)</f>
        <v>81843.919999999984</v>
      </c>
      <c r="J39" s="218">
        <f>SUM(J40:J58)</f>
        <v>0</v>
      </c>
      <c r="K39" s="218">
        <f>SUM(K40:K58)</f>
        <v>81843.919999999984</v>
      </c>
      <c r="L39" s="217"/>
      <c r="M39" s="217"/>
      <c r="N39" s="217"/>
      <c r="O39" s="217"/>
      <c r="P39" s="217"/>
      <c r="Q39" s="217"/>
      <c r="R39" s="219"/>
      <c r="S39" s="217"/>
      <c r="T39" s="217"/>
      <c r="U39" s="217"/>
      <c r="V39" s="218">
        <f>SUM(V40:V58)</f>
        <v>0</v>
      </c>
      <c r="W39" s="218">
        <f>SUM(W40:W58)</f>
        <v>8540.1200000000008</v>
      </c>
      <c r="X39" s="218">
        <f>SUM(X40:X58)</f>
        <v>8540.1200000000008</v>
      </c>
      <c r="Y39" s="218">
        <f>SUM(Y40:Y58)</f>
        <v>73303.8</v>
      </c>
      <c r="Z39" s="176"/>
    </row>
    <row r="40" spans="1:30" s="342" customFormat="1" ht="230.25" customHeight="1" x14ac:dyDescent="0.2">
      <c r="A40" s="344"/>
      <c r="B40" s="274" t="s">
        <v>136</v>
      </c>
      <c r="C40" s="268" t="s">
        <v>107</v>
      </c>
      <c r="D40" s="254" t="s">
        <v>131</v>
      </c>
      <c r="E40" s="316">
        <v>43101</v>
      </c>
      <c r="F40" s="257" t="s">
        <v>277</v>
      </c>
      <c r="G40" s="258">
        <v>15</v>
      </c>
      <c r="H40" s="259">
        <f>I40/G40</f>
        <v>515.33333333333337</v>
      </c>
      <c r="I40" s="260">
        <v>7730</v>
      </c>
      <c r="J40" s="261">
        <v>0</v>
      </c>
      <c r="K40" s="262">
        <f>SUM(I40:J40)</f>
        <v>7730</v>
      </c>
      <c r="L40" s="282">
        <f>IF(I40/15&lt;=SMG,0,J40/2)</f>
        <v>0</v>
      </c>
      <c r="M40" s="301">
        <f>(I40+L40)/G40*30.4</f>
        <v>15666.133333333333</v>
      </c>
      <c r="N40" s="301">
        <f>VLOOKUP(M40,Tarifa,1)</f>
        <v>15487.72</v>
      </c>
      <c r="O40" s="282">
        <f>M40-N40</f>
        <v>178.41333333333387</v>
      </c>
      <c r="P40" s="283">
        <f>VLOOKUP(M40,Tarifa,3)</f>
        <v>0.21360000000000001</v>
      </c>
      <c r="Q40" s="282">
        <f>O40*P40</f>
        <v>38.109088000000114</v>
      </c>
      <c r="R40" s="284">
        <f>VLOOKUP(M40,Tarifa,2)</f>
        <v>1640.18</v>
      </c>
      <c r="S40" s="282">
        <f>Q40+R40</f>
        <v>1678.2890880000002</v>
      </c>
      <c r="T40" s="282">
        <f>VLOOKUP(M40,Credito,2)</f>
        <v>0</v>
      </c>
      <c r="U40" s="282">
        <f>ROUND((S40-T40)/30.4*G40,2)</f>
        <v>828.1</v>
      </c>
      <c r="V40" s="262">
        <f>-IF(U40&gt;0,0,0)</f>
        <v>0</v>
      </c>
      <c r="W40" s="262">
        <f>IF(I40/15&lt;=SMG,0,IF(U40&lt;0,0,U40))</f>
        <v>828.1</v>
      </c>
      <c r="X40" s="262">
        <f>SUM(W40:W40)</f>
        <v>828.1</v>
      </c>
      <c r="Y40" s="262">
        <f>K40+V40-X40</f>
        <v>6901.9</v>
      </c>
      <c r="Z40" s="345"/>
    </row>
    <row r="41" spans="1:30" s="342" customFormat="1" ht="230.25" customHeight="1" x14ac:dyDescent="0.2">
      <c r="A41" s="344"/>
      <c r="B41" s="274" t="s">
        <v>281</v>
      </c>
      <c r="C41" s="268" t="s">
        <v>107</v>
      </c>
      <c r="D41" s="254" t="s">
        <v>280</v>
      </c>
      <c r="E41" s="316">
        <v>45292</v>
      </c>
      <c r="F41" s="257" t="s">
        <v>132</v>
      </c>
      <c r="G41" s="258">
        <v>15</v>
      </c>
      <c r="H41" s="259">
        <f>I41/G41</f>
        <v>515.33333333333337</v>
      </c>
      <c r="I41" s="260">
        <v>7730</v>
      </c>
      <c r="J41" s="261">
        <v>0</v>
      </c>
      <c r="K41" s="262">
        <f>SUM(I41:J41)</f>
        <v>7730</v>
      </c>
      <c r="L41" s="282">
        <f>IF(I41/15&lt;=SMG,0,J41/2)</f>
        <v>0</v>
      </c>
      <c r="M41" s="301">
        <f>(I41+L41)/G41*30.4</f>
        <v>15666.133333333333</v>
      </c>
      <c r="N41" s="301">
        <f>VLOOKUP(M41,Tarifa,1)</f>
        <v>15487.72</v>
      </c>
      <c r="O41" s="282">
        <f>M41-N41</f>
        <v>178.41333333333387</v>
      </c>
      <c r="P41" s="283">
        <f>VLOOKUP(M41,Tarifa,3)</f>
        <v>0.21360000000000001</v>
      </c>
      <c r="Q41" s="282">
        <f>O41*P41</f>
        <v>38.109088000000114</v>
      </c>
      <c r="R41" s="284">
        <f>VLOOKUP(M41,Tarifa,2)</f>
        <v>1640.18</v>
      </c>
      <c r="S41" s="282">
        <f>Q41+R41</f>
        <v>1678.2890880000002</v>
      </c>
      <c r="T41" s="282">
        <f>VLOOKUP(M41,Credito,2)</f>
        <v>0</v>
      </c>
      <c r="U41" s="282">
        <f>ROUND((S41-T41)/30.4*G41,2)</f>
        <v>828.1</v>
      </c>
      <c r="V41" s="262">
        <f>-IF(U41&gt;0,0,0)</f>
        <v>0</v>
      </c>
      <c r="W41" s="262">
        <f>IF(I41/15&lt;=SMG,0,IF(U41&lt;0,0,U41))</f>
        <v>828.1</v>
      </c>
      <c r="X41" s="262">
        <f>SUM(W41:W41)</f>
        <v>828.1</v>
      </c>
      <c r="Y41" s="262">
        <f>K41+V41-X41</f>
        <v>6901.9</v>
      </c>
      <c r="Z41" s="345"/>
    </row>
    <row r="42" spans="1:30" s="342" customFormat="1" ht="230.25" customHeight="1" x14ac:dyDescent="0.2">
      <c r="A42" s="344"/>
      <c r="B42" s="274" t="s">
        <v>367</v>
      </c>
      <c r="C42" s="268" t="s">
        <v>107</v>
      </c>
      <c r="D42" s="254" t="s">
        <v>369</v>
      </c>
      <c r="E42" s="316">
        <v>45732</v>
      </c>
      <c r="F42" s="271" t="s">
        <v>374</v>
      </c>
      <c r="G42" s="272">
        <v>15</v>
      </c>
      <c r="H42" s="304">
        <f>ROUND(I42/G42,2)</f>
        <v>566.04</v>
      </c>
      <c r="I42" s="279">
        <v>8490.56</v>
      </c>
      <c r="J42" s="280">
        <v>0</v>
      </c>
      <c r="K42" s="281">
        <f t="shared" ref="K42" si="9">SUM(I42:J42)</f>
        <v>8490.56</v>
      </c>
      <c r="L42" s="282">
        <f>IF(I42/15&lt;=SMG,0,J42/2)</f>
        <v>0</v>
      </c>
      <c r="M42" s="301">
        <f>(I42+L42)/G42*30.4</f>
        <v>17207.534933333332</v>
      </c>
      <c r="N42" s="301">
        <f>VLOOKUP(M42,Tarifa,1)</f>
        <v>15487.72</v>
      </c>
      <c r="O42" s="282">
        <f>M42-N42</f>
        <v>1719.8149333333331</v>
      </c>
      <c r="P42" s="283">
        <f>VLOOKUP(M42,Tarifa,3)</f>
        <v>0.21360000000000001</v>
      </c>
      <c r="Q42" s="282">
        <f>O42*P42</f>
        <v>367.35246975999996</v>
      </c>
      <c r="R42" s="284">
        <f>VLOOKUP(M42,Tarifa,2)</f>
        <v>1640.18</v>
      </c>
      <c r="S42" s="282">
        <f>Q42+R42</f>
        <v>2007.5324697599999</v>
      </c>
      <c r="T42" s="282">
        <f>VLOOKUP(M42,Credito,2)</f>
        <v>0</v>
      </c>
      <c r="U42" s="282">
        <f>ROUND((S42-T42)/30.4*G42,2)</f>
        <v>990.56</v>
      </c>
      <c r="V42" s="281">
        <f>-IF(U42&gt;0,0,0)</f>
        <v>0</v>
      </c>
      <c r="W42" s="281">
        <f t="shared" ref="W42" si="10">IF(I42/15&lt;=SMG,0,IF(U42&lt;0,0,U42))</f>
        <v>990.56</v>
      </c>
      <c r="X42" s="281">
        <f>SUM(W42:W42)</f>
        <v>990.56</v>
      </c>
      <c r="Y42" s="281">
        <f>K42+V42-X42</f>
        <v>7500</v>
      </c>
      <c r="Z42" s="345"/>
    </row>
    <row r="43" spans="1:30" s="342" customFormat="1" ht="230.25" customHeight="1" x14ac:dyDescent="0.2">
      <c r="A43" s="344"/>
      <c r="B43" s="274" t="s">
        <v>368</v>
      </c>
      <c r="C43" s="268" t="s">
        <v>107</v>
      </c>
      <c r="D43" s="254" t="s">
        <v>370</v>
      </c>
      <c r="E43" s="316">
        <v>45732</v>
      </c>
      <c r="F43" s="271" t="s">
        <v>374</v>
      </c>
      <c r="G43" s="258">
        <v>15</v>
      </c>
      <c r="H43" s="259">
        <f>I43/G43</f>
        <v>482.44466666666665</v>
      </c>
      <c r="I43" s="260">
        <v>7236.67</v>
      </c>
      <c r="J43" s="261">
        <v>0</v>
      </c>
      <c r="K43" s="262">
        <f>SUM(I43:J43)</f>
        <v>7236.67</v>
      </c>
      <c r="L43" s="282">
        <f>IF(I43/15&lt;=SMG,0,J43/2)</f>
        <v>0</v>
      </c>
      <c r="M43" s="301">
        <f>(I43+L43)/G43*30.4</f>
        <v>14666.317866666666</v>
      </c>
      <c r="N43" s="301">
        <f>VLOOKUP(M43,Tarifa,1)</f>
        <v>12935.83</v>
      </c>
      <c r="O43" s="282">
        <f>M43-N43</f>
        <v>1730.4878666666664</v>
      </c>
      <c r="P43" s="283">
        <f>VLOOKUP(M43,Tarifa,3)</f>
        <v>0.1792</v>
      </c>
      <c r="Q43" s="282">
        <f>O43*P43</f>
        <v>310.1034257066666</v>
      </c>
      <c r="R43" s="284">
        <f>VLOOKUP(M43,Tarifa,2)</f>
        <v>1182.8800000000001</v>
      </c>
      <c r="S43" s="282">
        <f>Q43+R43</f>
        <v>1492.9834257066668</v>
      </c>
      <c r="T43" s="282">
        <f>VLOOKUP(M43,Credito,2)</f>
        <v>0</v>
      </c>
      <c r="U43" s="282">
        <f>ROUND((S43-T43)/30.4*G43,2)</f>
        <v>736.67</v>
      </c>
      <c r="V43" s="262">
        <f>-IF(U43&gt;0,0,0)</f>
        <v>0</v>
      </c>
      <c r="W43" s="262">
        <f>IF(I43/15&lt;=SMG,0,IF(U43&lt;0,0,U43))</f>
        <v>736.67</v>
      </c>
      <c r="X43" s="262">
        <f>SUM(W43:W43)</f>
        <v>736.67</v>
      </c>
      <c r="Y43" s="262">
        <f>K43+V43-X43</f>
        <v>6500</v>
      </c>
      <c r="Z43" s="345"/>
    </row>
    <row r="44" spans="1:30" s="342" customFormat="1" ht="42" customHeight="1" x14ac:dyDescent="0.2">
      <c r="A44" s="403"/>
      <c r="B44" s="388"/>
      <c r="C44" s="389"/>
      <c r="D44" s="390"/>
      <c r="E44" s="404"/>
      <c r="F44" s="405"/>
      <c r="G44" s="393"/>
      <c r="H44" s="394"/>
      <c r="I44" s="395"/>
      <c r="J44" s="396"/>
      <c r="K44" s="397"/>
      <c r="L44" s="371"/>
      <c r="M44" s="372"/>
      <c r="N44" s="372"/>
      <c r="O44" s="371"/>
      <c r="P44" s="373"/>
      <c r="Q44" s="371"/>
      <c r="R44" s="374"/>
      <c r="S44" s="371"/>
      <c r="T44" s="371"/>
      <c r="U44" s="371"/>
      <c r="V44" s="397"/>
      <c r="W44" s="397"/>
      <c r="X44" s="397"/>
      <c r="Y44" s="397"/>
      <c r="Z44" s="406"/>
    </row>
    <row r="45" spans="1:30" s="342" customFormat="1" ht="42" customHeight="1" x14ac:dyDescent="0.2">
      <c r="A45" s="403"/>
      <c r="B45" s="388"/>
      <c r="C45" s="389"/>
      <c r="D45" s="390"/>
      <c r="E45" s="404"/>
      <c r="F45" s="405"/>
      <c r="G45" s="393"/>
      <c r="H45" s="394"/>
      <c r="I45" s="395"/>
      <c r="J45" s="396"/>
      <c r="K45" s="397"/>
      <c r="L45" s="371"/>
      <c r="M45" s="372"/>
      <c r="N45" s="372"/>
      <c r="O45" s="371"/>
      <c r="P45" s="373"/>
      <c r="Q45" s="371"/>
      <c r="R45" s="374"/>
      <c r="S45" s="371"/>
      <c r="T45" s="371"/>
      <c r="U45" s="371"/>
      <c r="V45" s="397"/>
      <c r="W45" s="397"/>
      <c r="X45" s="397"/>
      <c r="Y45" s="397"/>
      <c r="Z45" s="406"/>
    </row>
    <row r="46" spans="1:30" s="342" customFormat="1" ht="42" customHeight="1" x14ac:dyDescent="0.2">
      <c r="A46" s="403"/>
      <c r="B46" s="388"/>
      <c r="C46" s="389"/>
      <c r="D46" s="390"/>
      <c r="E46" s="404"/>
      <c r="F46" s="405"/>
      <c r="G46" s="393"/>
      <c r="H46" s="394"/>
      <c r="I46" s="395"/>
      <c r="J46" s="396"/>
      <c r="K46" s="397"/>
      <c r="L46" s="371"/>
      <c r="M46" s="372"/>
      <c r="N46" s="372"/>
      <c r="O46" s="371"/>
      <c r="P46" s="373"/>
      <c r="Q46" s="371"/>
      <c r="R46" s="374"/>
      <c r="S46" s="371"/>
      <c r="T46" s="371"/>
      <c r="U46" s="371"/>
      <c r="V46" s="397"/>
      <c r="W46" s="397"/>
      <c r="X46" s="397"/>
      <c r="Y46" s="397"/>
      <c r="Z46" s="406"/>
    </row>
    <row r="47" spans="1:30" s="342" customFormat="1" ht="42" customHeight="1" x14ac:dyDescent="0.2">
      <c r="A47" s="403"/>
      <c r="B47" s="388"/>
      <c r="C47" s="389"/>
      <c r="D47" s="390"/>
      <c r="E47" s="404"/>
      <c r="F47" s="405"/>
      <c r="G47" s="393"/>
      <c r="H47" s="394"/>
      <c r="I47" s="395"/>
      <c r="J47" s="396"/>
      <c r="K47" s="397"/>
      <c r="L47" s="371"/>
      <c r="M47" s="372"/>
      <c r="N47" s="372"/>
      <c r="O47" s="371"/>
      <c r="P47" s="373"/>
      <c r="Q47" s="371"/>
      <c r="R47" s="374"/>
      <c r="S47" s="371"/>
      <c r="T47" s="371"/>
      <c r="U47" s="371"/>
      <c r="V47" s="397"/>
      <c r="W47" s="397"/>
      <c r="X47" s="397"/>
      <c r="Y47" s="397"/>
      <c r="Z47" s="406"/>
    </row>
    <row r="48" spans="1:30" s="342" customFormat="1" ht="42" customHeight="1" x14ac:dyDescent="0.25">
      <c r="A48" s="403"/>
      <c r="B48" s="419" t="s">
        <v>76</v>
      </c>
      <c r="C48" s="419"/>
      <c r="D48" s="419"/>
      <c r="E48" s="419"/>
      <c r="F48" s="419"/>
      <c r="G48" s="419"/>
      <c r="H48" s="419"/>
      <c r="I48" s="419"/>
      <c r="J48" s="419"/>
      <c r="K48" s="419"/>
      <c r="L48" s="419"/>
      <c r="M48" s="419"/>
      <c r="N48" s="419"/>
      <c r="O48" s="419"/>
      <c r="P48" s="419"/>
      <c r="Q48" s="419"/>
      <c r="R48" s="419"/>
      <c r="S48" s="419"/>
      <c r="T48" s="419"/>
      <c r="U48" s="419"/>
      <c r="V48" s="419"/>
      <c r="W48" s="419"/>
      <c r="X48" s="419"/>
      <c r="Y48" s="419"/>
      <c r="Z48" s="419"/>
    </row>
    <row r="49" spans="1:26" s="342" customFormat="1" ht="42" customHeight="1" x14ac:dyDescent="0.25">
      <c r="A49" s="403"/>
      <c r="B49" s="419" t="s">
        <v>63</v>
      </c>
      <c r="C49" s="419"/>
      <c r="D49" s="419"/>
      <c r="E49" s="419"/>
      <c r="F49" s="419"/>
      <c r="G49" s="419"/>
      <c r="H49" s="419"/>
      <c r="I49" s="419"/>
      <c r="J49" s="419"/>
      <c r="K49" s="419"/>
      <c r="L49" s="419"/>
      <c r="M49" s="419"/>
      <c r="N49" s="419"/>
      <c r="O49" s="419"/>
      <c r="P49" s="419"/>
      <c r="Q49" s="419"/>
      <c r="R49" s="419"/>
      <c r="S49" s="419"/>
      <c r="T49" s="419"/>
      <c r="U49" s="419"/>
      <c r="V49" s="419"/>
      <c r="W49" s="419"/>
      <c r="X49" s="419"/>
      <c r="Y49" s="419"/>
      <c r="Z49" s="419"/>
    </row>
    <row r="50" spans="1:26" s="342" customFormat="1" ht="42" customHeight="1" x14ac:dyDescent="0.2">
      <c r="A50" s="403"/>
      <c r="B50" s="457" t="str">
        <f>PRESIDENCIA!A3</f>
        <v>SUELDO  DEL 01 AL 15 DE ABRIL DE 2025</v>
      </c>
      <c r="C50" s="457"/>
      <c r="D50" s="457"/>
      <c r="E50" s="457"/>
      <c r="F50" s="457"/>
      <c r="G50" s="457"/>
      <c r="H50" s="457"/>
      <c r="I50" s="457"/>
      <c r="J50" s="457"/>
      <c r="K50" s="457"/>
      <c r="L50" s="457"/>
      <c r="M50" s="457"/>
      <c r="N50" s="457"/>
      <c r="O50" s="457"/>
      <c r="P50" s="457"/>
      <c r="Q50" s="457"/>
      <c r="R50" s="457"/>
      <c r="S50" s="457"/>
      <c r="T50" s="457"/>
      <c r="U50" s="457"/>
      <c r="V50" s="457"/>
      <c r="W50" s="457"/>
      <c r="X50" s="457"/>
      <c r="Y50" s="457"/>
      <c r="Z50" s="457"/>
    </row>
    <row r="51" spans="1:26" s="342" customFormat="1" ht="19.5" customHeight="1" x14ac:dyDescent="0.2">
      <c r="A51" s="403"/>
      <c r="B51" s="388"/>
      <c r="C51" s="389"/>
      <c r="D51" s="390"/>
      <c r="E51" s="404"/>
      <c r="F51" s="405"/>
      <c r="G51" s="393"/>
      <c r="H51" s="394"/>
      <c r="I51" s="395"/>
      <c r="J51" s="396"/>
      <c r="K51" s="397"/>
      <c r="L51" s="371"/>
      <c r="M51" s="372"/>
      <c r="N51" s="372"/>
      <c r="O51" s="371"/>
      <c r="P51" s="373"/>
      <c r="Q51" s="371"/>
      <c r="R51" s="374"/>
      <c r="S51" s="371"/>
      <c r="T51" s="371"/>
      <c r="U51" s="371"/>
      <c r="V51" s="397"/>
      <c r="W51" s="397"/>
      <c r="X51" s="397"/>
      <c r="Y51" s="397"/>
      <c r="Z51" s="406"/>
    </row>
    <row r="52" spans="1:26" s="342" customFormat="1" ht="164.25" customHeight="1" x14ac:dyDescent="0.2">
      <c r="A52" s="344"/>
      <c r="B52" s="274" t="s">
        <v>372</v>
      </c>
      <c r="C52" s="268" t="s">
        <v>311</v>
      </c>
      <c r="D52" s="254" t="s">
        <v>371</v>
      </c>
      <c r="E52" s="316">
        <v>45732</v>
      </c>
      <c r="F52" s="271" t="s">
        <v>374</v>
      </c>
      <c r="G52" s="258">
        <v>15</v>
      </c>
      <c r="H52" s="259">
        <f t="shared" ref="H52:H58" si="11">I52/G52</f>
        <v>482.44466666666665</v>
      </c>
      <c r="I52" s="260">
        <v>7236.67</v>
      </c>
      <c r="J52" s="261">
        <v>0</v>
      </c>
      <c r="K52" s="262">
        <f t="shared" ref="K52:K58" si="12">SUM(I52:J52)</f>
        <v>7236.67</v>
      </c>
      <c r="L52" s="282">
        <f t="shared" ref="L52:L58" si="13">IF(I52/15&lt;=SMG,0,J52/2)</f>
        <v>0</v>
      </c>
      <c r="M52" s="301">
        <f t="shared" ref="M52:M58" si="14">(I52+L52)/G52*30.4</f>
        <v>14666.317866666666</v>
      </c>
      <c r="N52" s="301">
        <f t="shared" ref="N52:N58" si="15">VLOOKUP(M52,Tarifa,1)</f>
        <v>12935.83</v>
      </c>
      <c r="O52" s="282">
        <f t="shared" ref="O52:O58" si="16">M52-N52</f>
        <v>1730.4878666666664</v>
      </c>
      <c r="P52" s="283">
        <f t="shared" ref="P52:P58" si="17">VLOOKUP(M52,Tarifa,3)</f>
        <v>0.1792</v>
      </c>
      <c r="Q52" s="282">
        <f t="shared" ref="Q52:Q58" si="18">O52*P52</f>
        <v>310.1034257066666</v>
      </c>
      <c r="R52" s="284">
        <f t="shared" ref="R52:R58" si="19">VLOOKUP(M52,Tarifa,2)</f>
        <v>1182.8800000000001</v>
      </c>
      <c r="S52" s="282">
        <f t="shared" ref="S52:S58" si="20">Q52+R52</f>
        <v>1492.9834257066668</v>
      </c>
      <c r="T52" s="282">
        <f t="shared" ref="T52:T58" si="21">VLOOKUP(M52,Credito,2)</f>
        <v>0</v>
      </c>
      <c r="U52" s="282">
        <f t="shared" ref="U52:U58" si="22">ROUND((S52-T52)/30.4*G52,2)</f>
        <v>736.67</v>
      </c>
      <c r="V52" s="262">
        <f t="shared" ref="V52:V58" si="23">-IF(U52&gt;0,0,0)</f>
        <v>0</v>
      </c>
      <c r="W52" s="262">
        <f t="shared" ref="W52:W58" si="24">IF(I52/15&lt;=SMG,0,IF(U52&lt;0,0,U52))</f>
        <v>736.67</v>
      </c>
      <c r="X52" s="262">
        <f t="shared" ref="X52:X58" si="25">SUM(W52:W52)</f>
        <v>736.67</v>
      </c>
      <c r="Y52" s="262">
        <f t="shared" ref="Y52:Y58" si="26">K52+V52-X52</f>
        <v>6500</v>
      </c>
      <c r="Z52" s="345"/>
    </row>
    <row r="53" spans="1:26" s="342" customFormat="1" ht="164.25" customHeight="1" x14ac:dyDescent="0.2">
      <c r="A53" s="344"/>
      <c r="B53" s="274" t="s">
        <v>375</v>
      </c>
      <c r="C53" s="268" t="s">
        <v>311</v>
      </c>
      <c r="D53" s="254" t="s">
        <v>376</v>
      </c>
      <c r="E53" s="316">
        <v>45732</v>
      </c>
      <c r="F53" s="271" t="s">
        <v>374</v>
      </c>
      <c r="G53" s="258">
        <v>15</v>
      </c>
      <c r="H53" s="259">
        <f t="shared" si="11"/>
        <v>482.44466666666665</v>
      </c>
      <c r="I53" s="260">
        <v>7236.67</v>
      </c>
      <c r="J53" s="261">
        <v>0</v>
      </c>
      <c r="K53" s="262">
        <f t="shared" si="12"/>
        <v>7236.67</v>
      </c>
      <c r="L53" s="282">
        <f t="shared" si="13"/>
        <v>0</v>
      </c>
      <c r="M53" s="301">
        <f t="shared" si="14"/>
        <v>14666.317866666666</v>
      </c>
      <c r="N53" s="301">
        <f t="shared" si="15"/>
        <v>12935.83</v>
      </c>
      <c r="O53" s="282">
        <f t="shared" si="16"/>
        <v>1730.4878666666664</v>
      </c>
      <c r="P53" s="283">
        <f t="shared" si="17"/>
        <v>0.1792</v>
      </c>
      <c r="Q53" s="282">
        <f t="shared" si="18"/>
        <v>310.1034257066666</v>
      </c>
      <c r="R53" s="284">
        <f t="shared" si="19"/>
        <v>1182.8800000000001</v>
      </c>
      <c r="S53" s="282">
        <f t="shared" si="20"/>
        <v>1492.9834257066668</v>
      </c>
      <c r="T53" s="282">
        <f t="shared" si="21"/>
        <v>0</v>
      </c>
      <c r="U53" s="282">
        <f t="shared" si="22"/>
        <v>736.67</v>
      </c>
      <c r="V53" s="262">
        <f t="shared" si="23"/>
        <v>0</v>
      </c>
      <c r="W53" s="262">
        <f t="shared" si="24"/>
        <v>736.67</v>
      </c>
      <c r="X53" s="262">
        <f t="shared" si="25"/>
        <v>736.67</v>
      </c>
      <c r="Y53" s="262">
        <f t="shared" si="26"/>
        <v>6500</v>
      </c>
      <c r="Z53" s="345"/>
    </row>
    <row r="54" spans="1:26" s="342" customFormat="1" ht="164.25" customHeight="1" x14ac:dyDescent="0.2">
      <c r="A54" s="344"/>
      <c r="B54" s="274" t="s">
        <v>377</v>
      </c>
      <c r="C54" s="268" t="s">
        <v>311</v>
      </c>
      <c r="D54" s="254" t="s">
        <v>378</v>
      </c>
      <c r="E54" s="316">
        <v>45732</v>
      </c>
      <c r="F54" s="271" t="s">
        <v>374</v>
      </c>
      <c r="G54" s="258">
        <v>15</v>
      </c>
      <c r="H54" s="259">
        <f t="shared" si="11"/>
        <v>482.44466666666665</v>
      </c>
      <c r="I54" s="260">
        <v>7236.67</v>
      </c>
      <c r="J54" s="261">
        <v>0</v>
      </c>
      <c r="K54" s="262">
        <f t="shared" si="12"/>
        <v>7236.67</v>
      </c>
      <c r="L54" s="282">
        <f t="shared" si="13"/>
        <v>0</v>
      </c>
      <c r="M54" s="301">
        <f t="shared" si="14"/>
        <v>14666.317866666666</v>
      </c>
      <c r="N54" s="301">
        <f t="shared" si="15"/>
        <v>12935.83</v>
      </c>
      <c r="O54" s="282">
        <f t="shared" si="16"/>
        <v>1730.4878666666664</v>
      </c>
      <c r="P54" s="283">
        <f t="shared" si="17"/>
        <v>0.1792</v>
      </c>
      <c r="Q54" s="282">
        <f t="shared" si="18"/>
        <v>310.1034257066666</v>
      </c>
      <c r="R54" s="284">
        <f t="shared" si="19"/>
        <v>1182.8800000000001</v>
      </c>
      <c r="S54" s="282">
        <f t="shared" si="20"/>
        <v>1492.9834257066668</v>
      </c>
      <c r="T54" s="282">
        <f t="shared" si="21"/>
        <v>0</v>
      </c>
      <c r="U54" s="282">
        <f t="shared" si="22"/>
        <v>736.67</v>
      </c>
      <c r="V54" s="262">
        <f t="shared" si="23"/>
        <v>0</v>
      </c>
      <c r="W54" s="262">
        <f t="shared" si="24"/>
        <v>736.67</v>
      </c>
      <c r="X54" s="262">
        <f t="shared" si="25"/>
        <v>736.67</v>
      </c>
      <c r="Y54" s="262">
        <f t="shared" si="26"/>
        <v>6500</v>
      </c>
      <c r="Z54" s="345"/>
    </row>
    <row r="55" spans="1:26" s="342" customFormat="1" ht="164.25" customHeight="1" x14ac:dyDescent="0.2">
      <c r="A55" s="344"/>
      <c r="B55" s="274" t="s">
        <v>379</v>
      </c>
      <c r="C55" s="268" t="s">
        <v>311</v>
      </c>
      <c r="D55" s="254" t="s">
        <v>382</v>
      </c>
      <c r="E55" s="316">
        <v>45732</v>
      </c>
      <c r="F55" s="271" t="s">
        <v>374</v>
      </c>
      <c r="G55" s="258">
        <v>15</v>
      </c>
      <c r="H55" s="259">
        <f t="shared" si="11"/>
        <v>482.44466666666665</v>
      </c>
      <c r="I55" s="260">
        <v>7236.67</v>
      </c>
      <c r="J55" s="261">
        <v>0</v>
      </c>
      <c r="K55" s="262">
        <f t="shared" si="12"/>
        <v>7236.67</v>
      </c>
      <c r="L55" s="282">
        <f t="shared" si="13"/>
        <v>0</v>
      </c>
      <c r="M55" s="301">
        <f t="shared" si="14"/>
        <v>14666.317866666666</v>
      </c>
      <c r="N55" s="301">
        <f t="shared" si="15"/>
        <v>12935.83</v>
      </c>
      <c r="O55" s="282">
        <f t="shared" si="16"/>
        <v>1730.4878666666664</v>
      </c>
      <c r="P55" s="283">
        <f t="shared" si="17"/>
        <v>0.1792</v>
      </c>
      <c r="Q55" s="282">
        <f t="shared" si="18"/>
        <v>310.1034257066666</v>
      </c>
      <c r="R55" s="284">
        <f t="shared" si="19"/>
        <v>1182.8800000000001</v>
      </c>
      <c r="S55" s="282">
        <f t="shared" si="20"/>
        <v>1492.9834257066668</v>
      </c>
      <c r="T55" s="282">
        <f t="shared" si="21"/>
        <v>0</v>
      </c>
      <c r="U55" s="282">
        <f t="shared" si="22"/>
        <v>736.67</v>
      </c>
      <c r="V55" s="262">
        <f t="shared" si="23"/>
        <v>0</v>
      </c>
      <c r="W55" s="262">
        <f t="shared" si="24"/>
        <v>736.67</v>
      </c>
      <c r="X55" s="262">
        <f t="shared" si="25"/>
        <v>736.67</v>
      </c>
      <c r="Y55" s="262">
        <f t="shared" si="26"/>
        <v>6500</v>
      </c>
      <c r="Z55" s="345"/>
    </row>
    <row r="56" spans="1:26" s="342" customFormat="1" ht="164.25" customHeight="1" x14ac:dyDescent="0.2">
      <c r="A56" s="344"/>
      <c r="B56" s="274" t="s">
        <v>380</v>
      </c>
      <c r="C56" s="268" t="s">
        <v>311</v>
      </c>
      <c r="D56" s="254" t="s">
        <v>383</v>
      </c>
      <c r="E56" s="316">
        <v>45732</v>
      </c>
      <c r="F56" s="271" t="s">
        <v>374</v>
      </c>
      <c r="G56" s="258">
        <v>15</v>
      </c>
      <c r="H56" s="259">
        <f t="shared" si="11"/>
        <v>482.44466666666665</v>
      </c>
      <c r="I56" s="260">
        <v>7236.67</v>
      </c>
      <c r="J56" s="261">
        <v>0</v>
      </c>
      <c r="K56" s="262">
        <f t="shared" si="12"/>
        <v>7236.67</v>
      </c>
      <c r="L56" s="282">
        <f t="shared" si="13"/>
        <v>0</v>
      </c>
      <c r="M56" s="301">
        <f t="shared" si="14"/>
        <v>14666.317866666666</v>
      </c>
      <c r="N56" s="301">
        <f t="shared" si="15"/>
        <v>12935.83</v>
      </c>
      <c r="O56" s="282">
        <f t="shared" si="16"/>
        <v>1730.4878666666664</v>
      </c>
      <c r="P56" s="283">
        <f t="shared" si="17"/>
        <v>0.1792</v>
      </c>
      <c r="Q56" s="282">
        <f t="shared" si="18"/>
        <v>310.1034257066666</v>
      </c>
      <c r="R56" s="284">
        <f t="shared" si="19"/>
        <v>1182.8800000000001</v>
      </c>
      <c r="S56" s="282">
        <f t="shared" si="20"/>
        <v>1492.9834257066668</v>
      </c>
      <c r="T56" s="282">
        <f t="shared" si="21"/>
        <v>0</v>
      </c>
      <c r="U56" s="282">
        <f t="shared" si="22"/>
        <v>736.67</v>
      </c>
      <c r="V56" s="262">
        <f t="shared" si="23"/>
        <v>0</v>
      </c>
      <c r="W56" s="262">
        <f t="shared" si="24"/>
        <v>736.67</v>
      </c>
      <c r="X56" s="262">
        <f t="shared" si="25"/>
        <v>736.67</v>
      </c>
      <c r="Y56" s="262">
        <f t="shared" si="26"/>
        <v>6500</v>
      </c>
      <c r="Z56" s="345"/>
    </row>
    <row r="57" spans="1:26" s="342" customFormat="1" ht="164.25" customHeight="1" x14ac:dyDescent="0.2">
      <c r="A57" s="344"/>
      <c r="B57" s="274" t="s">
        <v>381</v>
      </c>
      <c r="C57" s="268" t="s">
        <v>311</v>
      </c>
      <c r="D57" s="254" t="s">
        <v>384</v>
      </c>
      <c r="E57" s="316">
        <v>45732</v>
      </c>
      <c r="F57" s="271" t="s">
        <v>374</v>
      </c>
      <c r="G57" s="258">
        <v>15</v>
      </c>
      <c r="H57" s="259">
        <f t="shared" si="11"/>
        <v>482.44466666666665</v>
      </c>
      <c r="I57" s="260">
        <v>7236.67</v>
      </c>
      <c r="J57" s="261">
        <v>0</v>
      </c>
      <c r="K57" s="262">
        <f t="shared" si="12"/>
        <v>7236.67</v>
      </c>
      <c r="L57" s="282">
        <f t="shared" si="13"/>
        <v>0</v>
      </c>
      <c r="M57" s="301">
        <f t="shared" si="14"/>
        <v>14666.317866666666</v>
      </c>
      <c r="N57" s="301">
        <f t="shared" si="15"/>
        <v>12935.83</v>
      </c>
      <c r="O57" s="282">
        <f t="shared" si="16"/>
        <v>1730.4878666666664</v>
      </c>
      <c r="P57" s="283">
        <f t="shared" si="17"/>
        <v>0.1792</v>
      </c>
      <c r="Q57" s="282">
        <f t="shared" si="18"/>
        <v>310.1034257066666</v>
      </c>
      <c r="R57" s="284">
        <f t="shared" si="19"/>
        <v>1182.8800000000001</v>
      </c>
      <c r="S57" s="282">
        <f t="shared" si="20"/>
        <v>1492.9834257066668</v>
      </c>
      <c r="T57" s="282">
        <f t="shared" si="21"/>
        <v>0</v>
      </c>
      <c r="U57" s="282">
        <f t="shared" si="22"/>
        <v>736.67</v>
      </c>
      <c r="V57" s="262">
        <f t="shared" si="23"/>
        <v>0</v>
      </c>
      <c r="W57" s="262">
        <f t="shared" si="24"/>
        <v>736.67</v>
      </c>
      <c r="X57" s="262">
        <f t="shared" si="25"/>
        <v>736.67</v>
      </c>
      <c r="Y57" s="262">
        <f t="shared" si="26"/>
        <v>6500</v>
      </c>
      <c r="Z57" s="345"/>
    </row>
    <row r="58" spans="1:26" s="342" customFormat="1" ht="164.25" customHeight="1" x14ac:dyDescent="0.2">
      <c r="A58" s="344"/>
      <c r="B58" s="274" t="s">
        <v>385</v>
      </c>
      <c r="C58" s="268" t="s">
        <v>311</v>
      </c>
      <c r="D58" s="254" t="s">
        <v>386</v>
      </c>
      <c r="E58" s="316">
        <v>45732</v>
      </c>
      <c r="F58" s="271" t="s">
        <v>374</v>
      </c>
      <c r="G58" s="258">
        <v>15</v>
      </c>
      <c r="H58" s="259">
        <f t="shared" si="11"/>
        <v>482.44466666666665</v>
      </c>
      <c r="I58" s="260">
        <v>7236.67</v>
      </c>
      <c r="J58" s="261">
        <v>0</v>
      </c>
      <c r="K58" s="262">
        <f t="shared" si="12"/>
        <v>7236.67</v>
      </c>
      <c r="L58" s="282">
        <f t="shared" si="13"/>
        <v>0</v>
      </c>
      <c r="M58" s="301">
        <f t="shared" si="14"/>
        <v>14666.317866666666</v>
      </c>
      <c r="N58" s="301">
        <f t="shared" si="15"/>
        <v>12935.83</v>
      </c>
      <c r="O58" s="282">
        <f t="shared" si="16"/>
        <v>1730.4878666666664</v>
      </c>
      <c r="P58" s="283">
        <f t="shared" si="17"/>
        <v>0.1792</v>
      </c>
      <c r="Q58" s="282">
        <f t="shared" si="18"/>
        <v>310.1034257066666</v>
      </c>
      <c r="R58" s="284">
        <f t="shared" si="19"/>
        <v>1182.8800000000001</v>
      </c>
      <c r="S58" s="282">
        <f t="shared" si="20"/>
        <v>1492.9834257066668</v>
      </c>
      <c r="T58" s="282">
        <f t="shared" si="21"/>
        <v>0</v>
      </c>
      <c r="U58" s="282">
        <f t="shared" si="22"/>
        <v>736.67</v>
      </c>
      <c r="V58" s="262">
        <f t="shared" si="23"/>
        <v>0</v>
      </c>
      <c r="W58" s="262">
        <f t="shared" si="24"/>
        <v>736.67</v>
      </c>
      <c r="X58" s="262">
        <f t="shared" si="25"/>
        <v>736.67</v>
      </c>
      <c r="Y58" s="262">
        <f t="shared" si="26"/>
        <v>6500</v>
      </c>
      <c r="Z58" s="285"/>
    </row>
    <row r="59" spans="1:26" s="105" customFormat="1" ht="18" x14ac:dyDescent="0.25">
      <c r="A59" s="155"/>
      <c r="B59" s="155"/>
      <c r="C59" s="155"/>
      <c r="D59" s="155"/>
      <c r="E59" s="155"/>
      <c r="F59" s="155"/>
      <c r="G59" s="155"/>
      <c r="H59" s="155"/>
      <c r="I59" s="178"/>
      <c r="J59" s="178"/>
      <c r="K59" s="178"/>
      <c r="L59" s="179"/>
      <c r="M59" s="179"/>
      <c r="N59" s="179"/>
      <c r="O59" s="179"/>
      <c r="P59" s="179"/>
      <c r="Q59" s="179"/>
      <c r="R59" s="179"/>
      <c r="S59" s="179"/>
      <c r="T59" s="179"/>
      <c r="U59" s="179"/>
      <c r="V59" s="179"/>
      <c r="W59" s="179"/>
      <c r="X59" s="179"/>
      <c r="Y59" s="179"/>
      <c r="Z59" s="104"/>
    </row>
    <row r="60" spans="1:26" s="105" customFormat="1" ht="39" customHeight="1" x14ac:dyDescent="0.3">
      <c r="A60" s="456" t="s">
        <v>44</v>
      </c>
      <c r="B60" s="456"/>
      <c r="C60" s="456"/>
      <c r="D60" s="456"/>
      <c r="E60" s="456"/>
      <c r="F60" s="456"/>
      <c r="G60" s="456"/>
      <c r="H60" s="456"/>
      <c r="I60" s="224">
        <f>I8+I11+I14+I24+I28+I37+I39</f>
        <v>149802.41999999998</v>
      </c>
      <c r="J60" s="224">
        <f t="shared" ref="J60:Y60" si="27">J8+J11+J14+J24+J28+J37+J39</f>
        <v>0</v>
      </c>
      <c r="K60" s="224">
        <f t="shared" si="27"/>
        <v>149802.41999999998</v>
      </c>
      <c r="L60" s="224">
        <f t="shared" si="27"/>
        <v>0</v>
      </c>
      <c r="M60" s="224">
        <f t="shared" si="27"/>
        <v>76714.399999999994</v>
      </c>
      <c r="N60" s="224">
        <f t="shared" si="27"/>
        <v>65459.34</v>
      </c>
      <c r="O60" s="224">
        <f t="shared" si="27"/>
        <v>11255.060000000001</v>
      </c>
      <c r="P60" s="224">
        <f t="shared" si="27"/>
        <v>0.96720000000000006</v>
      </c>
      <c r="Q60" s="224">
        <f t="shared" si="27"/>
        <v>1551.9778666666671</v>
      </c>
      <c r="R60" s="224">
        <f t="shared" si="27"/>
        <v>6036.0300000000007</v>
      </c>
      <c r="S60" s="224">
        <f t="shared" si="27"/>
        <v>7588.0078666666668</v>
      </c>
      <c r="T60" s="224">
        <f t="shared" si="27"/>
        <v>950</v>
      </c>
      <c r="U60" s="224">
        <f t="shared" si="27"/>
        <v>3275.33</v>
      </c>
      <c r="V60" s="224">
        <f t="shared" si="27"/>
        <v>0</v>
      </c>
      <c r="W60" s="224">
        <f t="shared" si="27"/>
        <v>14022.990000000002</v>
      </c>
      <c r="X60" s="224">
        <f t="shared" si="27"/>
        <v>14022.990000000002</v>
      </c>
      <c r="Y60" s="224">
        <f t="shared" si="27"/>
        <v>135779.43</v>
      </c>
      <c r="Z60" s="104"/>
    </row>
    <row r="61" spans="1:26" s="51" customFormat="1" ht="12" x14ac:dyDescent="0.2"/>
    <row r="62" spans="1:26" s="51" customFormat="1" ht="12" x14ac:dyDescent="0.2"/>
    <row r="63" spans="1:26" s="51" customFormat="1" ht="12" x14ac:dyDescent="0.2"/>
    <row r="64" spans="1:26" s="51" customFormat="1" ht="12" x14ac:dyDescent="0.2"/>
    <row r="65" spans="4:25" s="51" customFormat="1" ht="12" x14ac:dyDescent="0.2"/>
    <row r="66" spans="4:25" s="51" customFormat="1" ht="12" x14ac:dyDescent="0.2"/>
    <row r="67" spans="4:25" s="51" customFormat="1" ht="12" x14ac:dyDescent="0.2"/>
    <row r="68" spans="4:25" s="51" customFormat="1" ht="17.25" customHeight="1" x14ac:dyDescent="0.2"/>
    <row r="69" spans="4:25" s="51" customFormat="1" ht="12" x14ac:dyDescent="0.2"/>
    <row r="70" spans="4:25" s="51" customFormat="1" ht="12" x14ac:dyDescent="0.2"/>
    <row r="71" spans="4:25" s="51" customFormat="1" ht="12" x14ac:dyDescent="0.2"/>
    <row r="72" spans="4:25" s="51" customFormat="1" ht="13.5" customHeight="1" x14ac:dyDescent="0.2"/>
    <row r="73" spans="4:25" s="51" customFormat="1" ht="12" x14ac:dyDescent="0.2"/>
    <row r="74" spans="4:25" s="51" customFormat="1" ht="12" x14ac:dyDescent="0.2"/>
    <row r="75" spans="4:25" s="51" customFormat="1" ht="18" x14ac:dyDescent="0.25">
      <c r="D75" s="105"/>
      <c r="E75" s="105"/>
      <c r="F75" s="105"/>
      <c r="G75" s="105"/>
      <c r="H75" s="105"/>
      <c r="I75" s="105"/>
      <c r="J75" s="105"/>
      <c r="K75" s="105"/>
      <c r="L75" s="105"/>
      <c r="M75" s="105"/>
      <c r="N75" s="105"/>
      <c r="O75" s="105"/>
      <c r="P75" s="105"/>
      <c r="Q75" s="105"/>
      <c r="R75" s="105"/>
      <c r="S75" s="105"/>
      <c r="T75" s="105"/>
      <c r="U75" s="105"/>
      <c r="V75" s="105"/>
      <c r="W75" s="105"/>
      <c r="X75" s="105"/>
      <c r="Y75" s="105"/>
    </row>
    <row r="76" spans="4:25" s="51" customFormat="1" ht="12" x14ac:dyDescent="0.2"/>
  </sheetData>
  <mergeCells count="17">
    <mergeCell ref="B21:AA21"/>
    <mergeCell ref="B33:Z33"/>
    <mergeCell ref="B34:Z34"/>
    <mergeCell ref="B35:Z35"/>
    <mergeCell ref="A60:H60"/>
    <mergeCell ref="B48:Z48"/>
    <mergeCell ref="B49:Z49"/>
    <mergeCell ref="B50:Z50"/>
    <mergeCell ref="B19:AA19"/>
    <mergeCell ref="B20:AA20"/>
    <mergeCell ref="A1:Z1"/>
    <mergeCell ref="A2:Z2"/>
    <mergeCell ref="A3:Z3"/>
    <mergeCell ref="I5:K5"/>
    <mergeCell ref="N5:S5"/>
    <mergeCell ref="W5:X5"/>
    <mergeCell ref="C5:C7"/>
  </mergeCells>
  <phoneticPr fontId="34" type="noConversion"/>
  <dataValidations disablePrompts="1" count="1">
    <dataValidation allowBlank="1" showInputMessage="1" showErrorMessage="1" prompt="Captura el nombre asignado o el nombre como se le identifica a la plaza (ejem. Jefe de Ingresos, Secretario Particular, Oficial Mayor, etc.)" sqref="D10 D12:E13" xr:uid="{00000000-0002-0000-0500-000000000000}"/>
  </dataValidations>
  <pageMargins left="0.27559055118110237" right="0.19685039370078741" top="0.47244094488188981" bottom="0.15748031496062992" header="0.31496062992125984" footer="0.31496062992125984"/>
  <pageSetup scale="36" orientation="landscape" horizontalDpi="4294967293" verticalDpi="36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Z21"/>
  <sheetViews>
    <sheetView topLeftCell="B1" zoomScale="57" zoomScaleNormal="57" workbookViewId="0">
      <selection activeCell="F11" sqref="F11"/>
    </sheetView>
  </sheetViews>
  <sheetFormatPr baseColWidth="10" defaultColWidth="11.42578125" defaultRowHeight="12.75" x14ac:dyDescent="0.2"/>
  <cols>
    <col min="1" max="1" width="5.5703125" hidden="1" customWidth="1"/>
    <col min="2" max="2" width="11.42578125" customWidth="1"/>
    <col min="3" max="3" width="10.28515625" customWidth="1"/>
    <col min="4" max="4" width="30.28515625" customWidth="1"/>
    <col min="5" max="5" width="17.7109375" customWidth="1"/>
    <col min="6" max="6" width="27.28515625" customWidth="1"/>
    <col min="7" max="7" width="6.5703125" hidden="1" customWidth="1"/>
    <col min="8" max="8" width="12.7109375" hidden="1" customWidth="1"/>
    <col min="9" max="9" width="16.85546875" customWidth="1"/>
    <col min="10" max="10" width="10.85546875" customWidth="1"/>
    <col min="11" max="11" width="18.5703125" customWidth="1"/>
    <col min="12" max="12" width="13.140625" hidden="1" customWidth="1"/>
    <col min="13" max="13" width="15.140625" hidden="1" customWidth="1"/>
    <col min="14" max="14" width="15.7109375" hidden="1" customWidth="1"/>
    <col min="15" max="15" width="12.28515625" hidden="1" customWidth="1"/>
    <col min="16" max="17" width="13.140625" hidden="1" customWidth="1"/>
    <col min="18" max="18" width="12.85546875" hidden="1" customWidth="1"/>
    <col min="19" max="19" width="12.140625" hidden="1" customWidth="1"/>
    <col min="20" max="20" width="13.140625" hidden="1" customWidth="1"/>
    <col min="21" max="21" width="13.42578125" hidden="1" customWidth="1"/>
    <col min="22" max="22" width="9.7109375" customWidth="1"/>
    <col min="23" max="23" width="15.85546875" customWidth="1"/>
    <col min="24" max="24" width="14.28515625" customWidth="1"/>
    <col min="25" max="25" width="18.140625" customWidth="1"/>
    <col min="26" max="26" width="64.140625" customWidth="1"/>
  </cols>
  <sheetData>
    <row r="1" spans="1:26" ht="18" x14ac:dyDescent="0.25">
      <c r="A1" s="429" t="s">
        <v>76</v>
      </c>
      <c r="B1" s="429"/>
      <c r="C1" s="429"/>
      <c r="D1" s="429"/>
      <c r="E1" s="429"/>
      <c r="F1" s="429"/>
      <c r="G1" s="429"/>
      <c r="H1" s="429"/>
      <c r="I1" s="429"/>
      <c r="J1" s="429"/>
      <c r="K1" s="429"/>
      <c r="L1" s="429"/>
      <c r="M1" s="429"/>
      <c r="N1" s="429"/>
      <c r="O1" s="429"/>
      <c r="P1" s="429"/>
      <c r="Q1" s="429"/>
      <c r="R1" s="429"/>
      <c r="S1" s="429"/>
      <c r="T1" s="429"/>
      <c r="U1" s="429"/>
      <c r="V1" s="429"/>
      <c r="W1" s="429"/>
      <c r="X1" s="429"/>
      <c r="Y1" s="429"/>
      <c r="Z1" s="429"/>
    </row>
    <row r="2" spans="1:26" ht="18" x14ac:dyDescent="0.25">
      <c r="A2" s="429" t="s">
        <v>63</v>
      </c>
      <c r="B2" s="429"/>
      <c r="C2" s="429"/>
      <c r="D2" s="429"/>
      <c r="E2" s="429"/>
      <c r="F2" s="429"/>
      <c r="G2" s="429"/>
      <c r="H2" s="429"/>
      <c r="I2" s="429"/>
      <c r="J2" s="429"/>
      <c r="K2" s="429"/>
      <c r="L2" s="429"/>
      <c r="M2" s="429"/>
      <c r="N2" s="429"/>
      <c r="O2" s="429"/>
      <c r="P2" s="429"/>
      <c r="Q2" s="429"/>
      <c r="R2" s="429"/>
      <c r="S2" s="429"/>
      <c r="T2" s="429"/>
      <c r="U2" s="429"/>
      <c r="V2" s="429"/>
      <c r="W2" s="429"/>
      <c r="X2" s="429"/>
      <c r="Y2" s="429"/>
      <c r="Z2" s="429"/>
    </row>
    <row r="3" spans="1:26" ht="19.5" x14ac:dyDescent="0.25">
      <c r="A3" s="420" t="str">
        <f>PRESIDENCIA!A3</f>
        <v>SUELDO  DEL 01 AL 15 DE ABRIL DE 2025</v>
      </c>
      <c r="B3" s="420"/>
      <c r="C3" s="420"/>
      <c r="D3" s="420"/>
      <c r="E3" s="420"/>
      <c r="F3" s="420"/>
      <c r="G3" s="420"/>
      <c r="H3" s="420"/>
      <c r="I3" s="420"/>
      <c r="J3" s="420"/>
      <c r="K3" s="420"/>
      <c r="L3" s="420"/>
      <c r="M3" s="420"/>
      <c r="N3" s="420"/>
      <c r="O3" s="420"/>
      <c r="P3" s="420"/>
      <c r="Q3" s="420"/>
      <c r="R3" s="420"/>
      <c r="S3" s="420"/>
      <c r="T3" s="420"/>
      <c r="U3" s="420"/>
      <c r="V3" s="420"/>
      <c r="W3" s="420"/>
      <c r="X3" s="420"/>
      <c r="Y3" s="420"/>
      <c r="Z3" s="420"/>
    </row>
    <row r="4" spans="1:26" ht="15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</row>
    <row r="5" spans="1:26" ht="15" x14ac:dyDescent="0.2">
      <c r="A5" s="41"/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</row>
    <row r="6" spans="1:26" x14ac:dyDescent="0.2">
      <c r="A6" s="22"/>
      <c r="B6" s="22"/>
      <c r="C6" s="22"/>
      <c r="D6" s="22"/>
      <c r="E6" s="22"/>
      <c r="F6" s="22"/>
      <c r="G6" s="23" t="s">
        <v>22</v>
      </c>
      <c r="H6" s="23" t="s">
        <v>5</v>
      </c>
      <c r="I6" s="443" t="s">
        <v>1</v>
      </c>
      <c r="J6" s="444"/>
      <c r="K6" s="445"/>
      <c r="L6" s="49" t="s">
        <v>25</v>
      </c>
      <c r="M6" s="50"/>
      <c r="N6" s="446" t="s">
        <v>8</v>
      </c>
      <c r="O6" s="447"/>
      <c r="P6" s="447"/>
      <c r="Q6" s="447"/>
      <c r="R6" s="447"/>
      <c r="S6" s="448"/>
      <c r="T6" s="49" t="s">
        <v>29</v>
      </c>
      <c r="U6" s="49" t="s">
        <v>9</v>
      </c>
      <c r="V6" s="48" t="s">
        <v>52</v>
      </c>
      <c r="W6" s="449" t="s">
        <v>2</v>
      </c>
      <c r="X6" s="450"/>
      <c r="Y6" s="48" t="s">
        <v>0</v>
      </c>
      <c r="Z6" s="33"/>
    </row>
    <row r="7" spans="1:26" ht="24" x14ac:dyDescent="0.2">
      <c r="A7" s="26" t="s">
        <v>20</v>
      </c>
      <c r="B7" s="46" t="s">
        <v>95</v>
      </c>
      <c r="C7" s="46" t="s">
        <v>108</v>
      </c>
      <c r="D7" s="52" t="s">
        <v>21</v>
      </c>
      <c r="E7" s="26"/>
      <c r="F7" s="26"/>
      <c r="G7" s="27" t="s">
        <v>23</v>
      </c>
      <c r="H7" s="26" t="s">
        <v>24</v>
      </c>
      <c r="I7" s="48" t="s">
        <v>5</v>
      </c>
      <c r="J7" s="48" t="s">
        <v>57</v>
      </c>
      <c r="K7" s="48" t="s">
        <v>27</v>
      </c>
      <c r="L7" s="54" t="s">
        <v>26</v>
      </c>
      <c r="M7" s="50" t="s">
        <v>31</v>
      </c>
      <c r="N7" s="50" t="s">
        <v>11</v>
      </c>
      <c r="O7" s="50" t="s">
        <v>33</v>
      </c>
      <c r="P7" s="50" t="s">
        <v>35</v>
      </c>
      <c r="Q7" s="50" t="s">
        <v>36</v>
      </c>
      <c r="R7" s="50" t="s">
        <v>13</v>
      </c>
      <c r="S7" s="50" t="s">
        <v>9</v>
      </c>
      <c r="T7" s="54" t="s">
        <v>39</v>
      </c>
      <c r="U7" s="54" t="s">
        <v>40</v>
      </c>
      <c r="V7" s="52" t="s">
        <v>30</v>
      </c>
      <c r="W7" s="48" t="s">
        <v>192</v>
      </c>
      <c r="X7" s="48" t="s">
        <v>6</v>
      </c>
      <c r="Y7" s="52" t="s">
        <v>3</v>
      </c>
      <c r="Z7" s="35" t="s">
        <v>56</v>
      </c>
    </row>
    <row r="8" spans="1:26" x14ac:dyDescent="0.2">
      <c r="A8" s="29"/>
      <c r="B8" s="29"/>
      <c r="C8" s="29"/>
      <c r="D8" s="29"/>
      <c r="E8" s="29"/>
      <c r="F8" s="29"/>
      <c r="G8" s="29"/>
      <c r="H8" s="29"/>
      <c r="I8" s="60" t="s">
        <v>46</v>
      </c>
      <c r="J8" s="60" t="s">
        <v>58</v>
      </c>
      <c r="K8" s="60" t="s">
        <v>28</v>
      </c>
      <c r="L8" s="61" t="s">
        <v>42</v>
      </c>
      <c r="M8" s="49" t="s">
        <v>32</v>
      </c>
      <c r="N8" s="49" t="s">
        <v>12</v>
      </c>
      <c r="O8" s="49" t="s">
        <v>34</v>
      </c>
      <c r="P8" s="49" t="s">
        <v>34</v>
      </c>
      <c r="Q8" s="49" t="s">
        <v>37</v>
      </c>
      <c r="R8" s="49" t="s">
        <v>14</v>
      </c>
      <c r="S8" s="49" t="s">
        <v>38</v>
      </c>
      <c r="T8" s="54" t="s">
        <v>18</v>
      </c>
      <c r="U8" s="55" t="s">
        <v>114</v>
      </c>
      <c r="V8" s="60" t="s">
        <v>51</v>
      </c>
      <c r="W8" s="60"/>
      <c r="X8" s="60" t="s">
        <v>43</v>
      </c>
      <c r="Y8" s="60" t="s">
        <v>4</v>
      </c>
      <c r="Z8" s="34"/>
    </row>
    <row r="9" spans="1:26" s="4" customFormat="1" ht="54.75" customHeight="1" x14ac:dyDescent="0.25">
      <c r="A9" s="124"/>
      <c r="B9" s="458" t="s">
        <v>104</v>
      </c>
      <c r="C9" s="459"/>
      <c r="D9" s="460"/>
      <c r="E9" s="122" t="s">
        <v>198</v>
      </c>
      <c r="F9" s="124" t="s">
        <v>60</v>
      </c>
      <c r="G9" s="124"/>
      <c r="H9" s="124"/>
      <c r="I9" s="62"/>
      <c r="J9" s="62"/>
      <c r="K9" s="62"/>
      <c r="L9" s="62"/>
      <c r="M9" s="62"/>
      <c r="N9" s="62"/>
      <c r="O9" s="62"/>
      <c r="P9" s="62"/>
      <c r="Q9" s="62"/>
      <c r="R9" s="62"/>
      <c r="S9" s="62"/>
      <c r="T9" s="62"/>
      <c r="U9" s="225"/>
      <c r="V9" s="62"/>
      <c r="W9" s="62"/>
      <c r="X9" s="62"/>
      <c r="Y9" s="62"/>
      <c r="Z9" s="96"/>
    </row>
    <row r="10" spans="1:26" s="319" customFormat="1" ht="216.75" customHeight="1" x14ac:dyDescent="0.2">
      <c r="A10" s="251" t="s">
        <v>81</v>
      </c>
      <c r="B10" s="268" t="s">
        <v>102</v>
      </c>
      <c r="C10" s="268" t="s">
        <v>107</v>
      </c>
      <c r="D10" s="254" t="s">
        <v>93</v>
      </c>
      <c r="E10" s="346">
        <v>42278</v>
      </c>
      <c r="F10" s="257" t="s">
        <v>167</v>
      </c>
      <c r="G10" s="258">
        <v>15</v>
      </c>
      <c r="H10" s="259">
        <f>I10/G10</f>
        <v>1332.8</v>
      </c>
      <c r="I10" s="260">
        <v>19992</v>
      </c>
      <c r="J10" s="261">
        <v>0</v>
      </c>
      <c r="K10" s="262">
        <f>SUM(I10:J10)</f>
        <v>19992</v>
      </c>
      <c r="L10" s="282">
        <f>IF(I10/15&lt;=SMG,0,J10/2)</f>
        <v>0</v>
      </c>
      <c r="M10" s="301">
        <f>(I10+L10)/G10*30.4</f>
        <v>40517.119999999995</v>
      </c>
      <c r="N10" s="301">
        <f>VLOOKUP(M10,Tarifa,1)</f>
        <v>31236.5</v>
      </c>
      <c r="O10" s="301">
        <f>M10-N10</f>
        <v>9280.6199999999953</v>
      </c>
      <c r="P10" s="283">
        <f>VLOOKUP(M10,Tarifa,3)</f>
        <v>0.23519999999999999</v>
      </c>
      <c r="Q10" s="282">
        <f>O10*P10</f>
        <v>2182.8018239999988</v>
      </c>
      <c r="R10" s="284">
        <f>VLOOKUP(M10,Tarifa,2)</f>
        <v>5004.12</v>
      </c>
      <c r="S10" s="351">
        <f>Q10+R10</f>
        <v>7186.9218239999991</v>
      </c>
      <c r="T10" s="351">
        <f>VLOOKUP(M10,Credito,2)</f>
        <v>0</v>
      </c>
      <c r="U10" s="351">
        <f>ROUND((S10-T10)/30.4*G10,2)</f>
        <v>3546.18</v>
      </c>
      <c r="V10" s="262">
        <f>-IF(U10&gt;0,0,0)</f>
        <v>0</v>
      </c>
      <c r="W10" s="262">
        <f>IF(I10/15&lt;=SMG,0,IF(U10&lt;0,0,U10))</f>
        <v>3546.18</v>
      </c>
      <c r="X10" s="262">
        <f>SUM(W10:W10)</f>
        <v>3546.18</v>
      </c>
      <c r="Y10" s="262">
        <f>K10+V10-X10</f>
        <v>16445.82</v>
      </c>
      <c r="Z10" s="318"/>
    </row>
    <row r="11" spans="1:26" s="319" customFormat="1" ht="216.75" customHeight="1" x14ac:dyDescent="0.2">
      <c r="A11" s="251" t="s">
        <v>83</v>
      </c>
      <c r="B11" s="268" t="s">
        <v>98</v>
      </c>
      <c r="C11" s="268" t="s">
        <v>107</v>
      </c>
      <c r="D11" s="254" t="s">
        <v>71</v>
      </c>
      <c r="E11" s="346">
        <v>39462</v>
      </c>
      <c r="F11" s="257" t="s">
        <v>362</v>
      </c>
      <c r="G11" s="258">
        <v>15</v>
      </c>
      <c r="H11" s="259">
        <f>I11/G11</f>
        <v>888.66666666666663</v>
      </c>
      <c r="I11" s="260">
        <v>13330</v>
      </c>
      <c r="J11" s="261">
        <v>0</v>
      </c>
      <c r="K11" s="262">
        <f>I11</f>
        <v>13330</v>
      </c>
      <c r="L11" s="282">
        <f>IF(I11/15&lt;=SMG,0,J11/2)</f>
        <v>0</v>
      </c>
      <c r="M11" s="301">
        <f>(I11+L11)/G11*30.4</f>
        <v>27015.466666666664</v>
      </c>
      <c r="N11" s="301">
        <f>VLOOKUP(M11,Tarifa,1)</f>
        <v>15487.72</v>
      </c>
      <c r="O11" s="282">
        <f>M11-N11</f>
        <v>11527.746666666664</v>
      </c>
      <c r="P11" s="283">
        <f>VLOOKUP(M11,Tarifa,3)</f>
        <v>0.21360000000000001</v>
      </c>
      <c r="Q11" s="282">
        <f>O11*P11</f>
        <v>2462.3266879999996</v>
      </c>
      <c r="R11" s="284">
        <f>VLOOKUP(M11,Tarifa,2)</f>
        <v>1640.18</v>
      </c>
      <c r="S11" s="282">
        <f>Q11+R11</f>
        <v>4102.5066879999995</v>
      </c>
      <c r="T11" s="282">
        <f>VLOOKUP(M11,Credito,2)</f>
        <v>0</v>
      </c>
      <c r="U11" s="282">
        <f>ROUND((S11-T11)/30.4*G11,2)</f>
        <v>2024.26</v>
      </c>
      <c r="V11" s="262">
        <f>-IF(U11&gt;0,0,0)</f>
        <v>0</v>
      </c>
      <c r="W11" s="262">
        <f>IF(I11/15&lt;=SMG,0,IF(U11&lt;0,0,U11))</f>
        <v>2024.26</v>
      </c>
      <c r="X11" s="262">
        <f>SUM(W11:W11)</f>
        <v>2024.26</v>
      </c>
      <c r="Y11" s="262">
        <f>K11+V11-X11</f>
        <v>11305.74</v>
      </c>
      <c r="Z11" s="318"/>
    </row>
    <row r="12" spans="1:26" s="319" customFormat="1" ht="216.75" customHeight="1" x14ac:dyDescent="0.2">
      <c r="A12" s="251" t="s">
        <v>84</v>
      </c>
      <c r="B12" s="268" t="s">
        <v>103</v>
      </c>
      <c r="C12" s="268" t="s">
        <v>107</v>
      </c>
      <c r="D12" s="254" t="s">
        <v>92</v>
      </c>
      <c r="E12" s="346">
        <v>42278</v>
      </c>
      <c r="F12" s="257" t="s">
        <v>168</v>
      </c>
      <c r="G12" s="258">
        <v>15</v>
      </c>
      <c r="H12" s="259">
        <f>I12/G12</f>
        <v>471.26666666666665</v>
      </c>
      <c r="I12" s="260">
        <v>7069</v>
      </c>
      <c r="J12" s="261">
        <v>0</v>
      </c>
      <c r="K12" s="262">
        <f>SUM(I12:J12)</f>
        <v>7069</v>
      </c>
      <c r="L12" s="282">
        <f>IF(I12/15&lt;=SMG,0,J12/2)</f>
        <v>0</v>
      </c>
      <c r="M12" s="301">
        <f>(I12+L12)/G12*30.4</f>
        <v>14326.506666666666</v>
      </c>
      <c r="N12" s="301">
        <f>VLOOKUP(M12,Tarifa,1)</f>
        <v>12935.83</v>
      </c>
      <c r="O12" s="282">
        <f>M12-N12</f>
        <v>1390.6766666666663</v>
      </c>
      <c r="P12" s="283">
        <f>VLOOKUP(M12,Tarifa,3)</f>
        <v>0.1792</v>
      </c>
      <c r="Q12" s="282">
        <f>O12*P12</f>
        <v>249.20925866666659</v>
      </c>
      <c r="R12" s="284">
        <f>VLOOKUP(M12,Tarifa,2)</f>
        <v>1182.8800000000001</v>
      </c>
      <c r="S12" s="282">
        <f>Q12+R12</f>
        <v>1432.0892586666666</v>
      </c>
      <c r="T12" s="282">
        <f>VLOOKUP(M12,Credito,2)</f>
        <v>0</v>
      </c>
      <c r="U12" s="282">
        <f>ROUND((S12-T12)/30.4*G12,2)</f>
        <v>706.62</v>
      </c>
      <c r="V12" s="262">
        <f>-IF(U12&gt;0,0,0)</f>
        <v>0</v>
      </c>
      <c r="W12" s="262">
        <f>IF(I12/15&lt;=SMG,0,IF(U12&lt;0,0,U12))</f>
        <v>706.62</v>
      </c>
      <c r="X12" s="262">
        <f>SUM(W12:W12)</f>
        <v>706.62</v>
      </c>
      <c r="Y12" s="262">
        <f>K12+V12-X12</f>
        <v>6362.38</v>
      </c>
      <c r="Z12" s="318"/>
    </row>
    <row r="13" spans="1:26" s="4" customFormat="1" ht="36" customHeight="1" x14ac:dyDescent="0.25">
      <c r="A13" s="133"/>
      <c r="B13" s="133"/>
      <c r="C13" s="133"/>
      <c r="D13" s="133"/>
      <c r="E13" s="133"/>
      <c r="F13" s="133"/>
      <c r="G13" s="133"/>
      <c r="H13" s="133"/>
      <c r="I13" s="139"/>
      <c r="J13" s="139"/>
      <c r="K13" s="139"/>
      <c r="L13" s="137"/>
      <c r="M13" s="137"/>
      <c r="N13" s="137"/>
      <c r="O13" s="137"/>
      <c r="P13" s="137"/>
      <c r="Q13" s="137"/>
      <c r="R13" s="137"/>
      <c r="S13" s="137"/>
      <c r="T13" s="137"/>
      <c r="U13" s="137"/>
      <c r="V13" s="137"/>
      <c r="W13" s="137"/>
      <c r="X13" s="137"/>
      <c r="Y13" s="137"/>
    </row>
    <row r="14" spans="1:26" s="4" customFormat="1" ht="60" customHeight="1" thickBot="1" x14ac:dyDescent="0.35">
      <c r="A14" s="416" t="s">
        <v>44</v>
      </c>
      <c r="B14" s="417"/>
      <c r="C14" s="417"/>
      <c r="D14" s="417"/>
      <c r="E14" s="417"/>
      <c r="F14" s="417"/>
      <c r="G14" s="417"/>
      <c r="H14" s="418"/>
      <c r="I14" s="199">
        <f>SUM(I10:I13)</f>
        <v>40391</v>
      </c>
      <c r="J14" s="199">
        <f>SUM(J10:J13)</f>
        <v>0</v>
      </c>
      <c r="K14" s="199">
        <f>SUM(K10:K13)</f>
        <v>40391</v>
      </c>
      <c r="L14" s="200">
        <f t="shared" ref="L14" si="0">SUM(L10:L13)</f>
        <v>0</v>
      </c>
      <c r="M14" s="200">
        <f t="shared" ref="M14:X14" si="1">SUM(M10:M13)</f>
        <v>81859.093333333323</v>
      </c>
      <c r="N14" s="200">
        <f t="shared" si="1"/>
        <v>59660.05</v>
      </c>
      <c r="O14" s="200">
        <f t="shared" si="1"/>
        <v>22199.043333333328</v>
      </c>
      <c r="P14" s="200">
        <f t="shared" si="1"/>
        <v>0.628</v>
      </c>
      <c r="Q14" s="200">
        <f t="shared" si="1"/>
        <v>4894.3377706666652</v>
      </c>
      <c r="R14" s="200">
        <f t="shared" si="1"/>
        <v>7827.18</v>
      </c>
      <c r="S14" s="200">
        <f t="shared" si="1"/>
        <v>12721.517770666665</v>
      </c>
      <c r="T14" s="200">
        <f t="shared" si="1"/>
        <v>0</v>
      </c>
      <c r="U14" s="200">
        <f t="shared" si="1"/>
        <v>6277.0599999999995</v>
      </c>
      <c r="V14" s="199">
        <f t="shared" si="1"/>
        <v>0</v>
      </c>
      <c r="W14" s="199">
        <f t="shared" si="1"/>
        <v>6277.0599999999995</v>
      </c>
      <c r="X14" s="199">
        <f t="shared" si="1"/>
        <v>6277.0599999999995</v>
      </c>
      <c r="Y14" s="199">
        <f>SUM(Y10:Y12)</f>
        <v>34113.939999999995</v>
      </c>
    </row>
    <row r="15" spans="1:26" ht="35.1" customHeight="1" thickTop="1" x14ac:dyDescent="0.2"/>
    <row r="16" spans="1:26" ht="35.1" customHeight="1" x14ac:dyDescent="0.2"/>
    <row r="17" spans="26:26" ht="35.1" customHeight="1" x14ac:dyDescent="0.2"/>
    <row r="18" spans="26:26" ht="35.1" customHeight="1" x14ac:dyDescent="0.2"/>
    <row r="21" spans="26:26" x14ac:dyDescent="0.2">
      <c r="Z21" s="42"/>
    </row>
  </sheetData>
  <mergeCells count="8">
    <mergeCell ref="A14:H14"/>
    <mergeCell ref="A1:Z1"/>
    <mergeCell ref="A3:Z3"/>
    <mergeCell ref="I6:K6"/>
    <mergeCell ref="N6:S6"/>
    <mergeCell ref="W6:X6"/>
    <mergeCell ref="A2:Z2"/>
    <mergeCell ref="B9:D9"/>
  </mergeCells>
  <pageMargins left="0.27559055118110237" right="0.27559055118110237" top="0.74803149606299213" bottom="0.74803149606299213" header="0.31496062992125984" footer="0.31496062992125984"/>
  <pageSetup scale="40" orientation="landscape" horizontalDpi="4294967293" verticalDpi="36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B26"/>
  <sheetViews>
    <sheetView topLeftCell="B1" zoomScale="70" zoomScaleNormal="70" workbookViewId="0">
      <selection activeCell="X11" sqref="X11"/>
    </sheetView>
  </sheetViews>
  <sheetFormatPr baseColWidth="10" defaultColWidth="11.42578125" defaultRowHeight="12.75" x14ac:dyDescent="0.2"/>
  <cols>
    <col min="1" max="1" width="5.5703125" hidden="1" customWidth="1"/>
    <col min="2" max="2" width="9.42578125" customWidth="1"/>
    <col min="3" max="3" width="6.7109375" customWidth="1"/>
    <col min="4" max="4" width="33.5703125" customWidth="1"/>
    <col min="5" max="5" width="15.7109375" customWidth="1"/>
    <col min="6" max="6" width="19.28515625" customWidth="1"/>
    <col min="7" max="7" width="6.5703125" hidden="1" customWidth="1"/>
    <col min="8" max="8" width="8.5703125" hidden="1" customWidth="1"/>
    <col min="9" max="9" width="17.28515625" customWidth="1"/>
    <col min="10" max="10" width="17.28515625" hidden="1" customWidth="1"/>
    <col min="11" max="11" width="17.7109375" customWidth="1"/>
    <col min="12" max="12" width="13.140625" hidden="1" customWidth="1"/>
    <col min="13" max="15" width="12.85546875" hidden="1" customWidth="1"/>
    <col min="16" max="17" width="13.140625" hidden="1" customWidth="1"/>
    <col min="18" max="18" width="15.42578125" hidden="1" customWidth="1"/>
    <col min="19" max="19" width="13" hidden="1" customWidth="1"/>
    <col min="20" max="20" width="20.85546875" hidden="1" customWidth="1"/>
    <col min="21" max="21" width="13.85546875" hidden="1" customWidth="1"/>
    <col min="22" max="22" width="9.7109375" customWidth="1"/>
    <col min="23" max="23" width="18.140625" customWidth="1"/>
    <col min="24" max="24" width="17" customWidth="1"/>
    <col min="25" max="25" width="17.42578125" customWidth="1"/>
    <col min="26" max="26" width="69.28515625" customWidth="1"/>
    <col min="27" max="27" width="0.85546875" customWidth="1"/>
  </cols>
  <sheetData>
    <row r="1" spans="1:27" ht="18" x14ac:dyDescent="0.25">
      <c r="A1" s="429" t="s">
        <v>76</v>
      </c>
      <c r="B1" s="429"/>
      <c r="C1" s="429"/>
      <c r="D1" s="429"/>
      <c r="E1" s="429"/>
      <c r="F1" s="429"/>
      <c r="G1" s="429"/>
      <c r="H1" s="429"/>
      <c r="I1" s="429"/>
      <c r="J1" s="429"/>
      <c r="K1" s="429"/>
      <c r="L1" s="429"/>
      <c r="M1" s="429"/>
      <c r="N1" s="429"/>
      <c r="O1" s="429"/>
      <c r="P1" s="429"/>
      <c r="Q1" s="429"/>
      <c r="R1" s="429"/>
      <c r="S1" s="429"/>
      <c r="T1" s="429"/>
      <c r="U1" s="429"/>
      <c r="V1" s="429"/>
      <c r="W1" s="429"/>
      <c r="X1" s="429"/>
      <c r="Y1" s="429"/>
      <c r="Z1" s="429"/>
    </row>
    <row r="2" spans="1:27" ht="18" x14ac:dyDescent="0.25">
      <c r="A2" s="429" t="s">
        <v>63</v>
      </c>
      <c r="B2" s="429"/>
      <c r="C2" s="429"/>
      <c r="D2" s="429"/>
      <c r="E2" s="429"/>
      <c r="F2" s="429"/>
      <c r="G2" s="429"/>
      <c r="H2" s="429"/>
      <c r="I2" s="429"/>
      <c r="J2" s="429"/>
      <c r="K2" s="429"/>
      <c r="L2" s="429"/>
      <c r="M2" s="429"/>
      <c r="N2" s="429"/>
      <c r="O2" s="429"/>
      <c r="P2" s="429"/>
      <c r="Q2" s="429"/>
      <c r="R2" s="429"/>
      <c r="S2" s="429"/>
      <c r="T2" s="429"/>
      <c r="U2" s="429"/>
      <c r="V2" s="429"/>
      <c r="W2" s="429"/>
      <c r="X2" s="429"/>
      <c r="Y2" s="429"/>
      <c r="Z2" s="429"/>
    </row>
    <row r="3" spans="1:27" ht="18" x14ac:dyDescent="0.25">
      <c r="A3" s="461" t="str">
        <f>PRESIDENCIA!A3</f>
        <v>SUELDO  DEL 01 AL 15 DE ABRIL DE 2025</v>
      </c>
      <c r="B3" s="461"/>
      <c r="C3" s="461"/>
      <c r="D3" s="461"/>
      <c r="E3" s="461"/>
      <c r="F3" s="461"/>
      <c r="G3" s="461"/>
      <c r="H3" s="461"/>
      <c r="I3" s="461"/>
      <c r="J3" s="461"/>
      <c r="K3" s="461"/>
      <c r="L3" s="461"/>
      <c r="M3" s="461"/>
      <c r="N3" s="461"/>
      <c r="O3" s="461"/>
      <c r="P3" s="461"/>
      <c r="Q3" s="461"/>
      <c r="R3" s="461"/>
      <c r="S3" s="461"/>
      <c r="T3" s="461"/>
      <c r="U3" s="461"/>
      <c r="V3" s="461"/>
      <c r="W3" s="461"/>
      <c r="X3" s="461"/>
      <c r="Y3" s="461"/>
      <c r="Z3" s="461"/>
      <c r="AA3" s="461"/>
    </row>
    <row r="4" spans="1:27" ht="15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</row>
    <row r="5" spans="1:27" x14ac:dyDescent="0.2">
      <c r="A5" s="22"/>
      <c r="B5" s="22"/>
      <c r="C5" s="22"/>
      <c r="D5" s="22"/>
      <c r="E5" s="22"/>
      <c r="F5" s="22"/>
      <c r="G5" s="23" t="s">
        <v>22</v>
      </c>
      <c r="H5" s="23" t="s">
        <v>5</v>
      </c>
      <c r="I5" s="430" t="s">
        <v>1</v>
      </c>
      <c r="J5" s="431"/>
      <c r="K5" s="432"/>
      <c r="L5" s="24" t="s">
        <v>25</v>
      </c>
      <c r="M5" s="25"/>
      <c r="N5" s="433" t="s">
        <v>8</v>
      </c>
      <c r="O5" s="434"/>
      <c r="P5" s="434"/>
      <c r="Q5" s="434"/>
      <c r="R5" s="434"/>
      <c r="S5" s="435"/>
      <c r="T5" s="24" t="s">
        <v>29</v>
      </c>
      <c r="U5" s="24" t="s">
        <v>9</v>
      </c>
      <c r="V5" s="23" t="s">
        <v>52</v>
      </c>
      <c r="W5" s="436" t="s">
        <v>2</v>
      </c>
      <c r="X5" s="437"/>
      <c r="Y5" s="23" t="s">
        <v>0</v>
      </c>
      <c r="Z5" s="33"/>
    </row>
    <row r="6" spans="1:27" ht="33.75" customHeight="1" x14ac:dyDescent="0.2">
      <c r="A6" s="26" t="s">
        <v>20</v>
      </c>
      <c r="B6" s="44" t="s">
        <v>95</v>
      </c>
      <c r="C6" s="44" t="s">
        <v>108</v>
      </c>
      <c r="D6" s="26" t="s">
        <v>21</v>
      </c>
      <c r="E6" s="26"/>
      <c r="F6" s="26"/>
      <c r="G6" s="27" t="s">
        <v>23</v>
      </c>
      <c r="H6" s="26" t="s">
        <v>24</v>
      </c>
      <c r="I6" s="23" t="s">
        <v>5</v>
      </c>
      <c r="J6" s="23"/>
      <c r="K6" s="23" t="s">
        <v>27</v>
      </c>
      <c r="L6" s="28" t="s">
        <v>26</v>
      </c>
      <c r="M6" s="25" t="s">
        <v>31</v>
      </c>
      <c r="N6" s="25" t="s">
        <v>11</v>
      </c>
      <c r="O6" s="25" t="s">
        <v>33</v>
      </c>
      <c r="P6" s="25" t="s">
        <v>35</v>
      </c>
      <c r="Q6" s="25" t="s">
        <v>36</v>
      </c>
      <c r="R6" s="25" t="s">
        <v>13</v>
      </c>
      <c r="S6" s="25" t="s">
        <v>9</v>
      </c>
      <c r="T6" s="28" t="s">
        <v>39</v>
      </c>
      <c r="U6" s="28" t="s">
        <v>40</v>
      </c>
      <c r="V6" s="26" t="s">
        <v>30</v>
      </c>
      <c r="W6" s="23" t="s">
        <v>192</v>
      </c>
      <c r="X6" s="23" t="s">
        <v>6</v>
      </c>
      <c r="Y6" s="26" t="s">
        <v>3</v>
      </c>
      <c r="Z6" s="35" t="s">
        <v>56</v>
      </c>
    </row>
    <row r="7" spans="1:27" x14ac:dyDescent="0.2">
      <c r="A7" s="29"/>
      <c r="B7" s="29"/>
      <c r="C7" s="29"/>
      <c r="D7" s="29"/>
      <c r="E7" s="29"/>
      <c r="F7" s="29"/>
      <c r="G7" s="29"/>
      <c r="H7" s="29"/>
      <c r="I7" s="29" t="s">
        <v>46</v>
      </c>
      <c r="J7" s="29"/>
      <c r="K7" s="29" t="s">
        <v>28</v>
      </c>
      <c r="L7" s="30" t="s">
        <v>42</v>
      </c>
      <c r="M7" s="24" t="s">
        <v>32</v>
      </c>
      <c r="N7" s="24" t="s">
        <v>12</v>
      </c>
      <c r="O7" s="24" t="s">
        <v>34</v>
      </c>
      <c r="P7" s="24" t="s">
        <v>34</v>
      </c>
      <c r="Q7" s="24" t="s">
        <v>37</v>
      </c>
      <c r="R7" s="24" t="s">
        <v>14</v>
      </c>
      <c r="S7" s="24" t="s">
        <v>38</v>
      </c>
      <c r="T7" s="28" t="s">
        <v>18</v>
      </c>
      <c r="U7" s="31" t="s">
        <v>41</v>
      </c>
      <c r="V7" s="29" t="s">
        <v>51</v>
      </c>
      <c r="W7" s="29"/>
      <c r="X7" s="29" t="s">
        <v>43</v>
      </c>
      <c r="Y7" s="29" t="s">
        <v>4</v>
      </c>
      <c r="Z7" s="34"/>
    </row>
    <row r="8" spans="1:27" ht="30" x14ac:dyDescent="0.25">
      <c r="A8" s="38"/>
      <c r="B8" s="38"/>
      <c r="C8" s="38"/>
      <c r="D8" s="87" t="s">
        <v>59</v>
      </c>
      <c r="E8" s="189" t="s">
        <v>198</v>
      </c>
      <c r="F8" s="37" t="s">
        <v>60</v>
      </c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9"/>
      <c r="V8" s="38"/>
      <c r="W8" s="38"/>
      <c r="X8" s="38"/>
      <c r="Y8" s="38"/>
      <c r="Z8" s="88"/>
    </row>
    <row r="9" spans="1:27" s="305" customFormat="1" ht="230.25" customHeight="1" x14ac:dyDescent="0.2">
      <c r="A9" s="251" t="s">
        <v>81</v>
      </c>
      <c r="B9" s="274" t="s">
        <v>306</v>
      </c>
      <c r="C9" s="268" t="s">
        <v>107</v>
      </c>
      <c r="D9" s="254" t="s">
        <v>290</v>
      </c>
      <c r="E9" s="347">
        <v>45566</v>
      </c>
      <c r="F9" s="255" t="s">
        <v>73</v>
      </c>
      <c r="G9" s="272">
        <v>15</v>
      </c>
      <c r="H9" s="348">
        <f>I9/G9</f>
        <v>625.93333333333328</v>
      </c>
      <c r="I9" s="260">
        <v>9389</v>
      </c>
      <c r="J9" s="260"/>
      <c r="K9" s="262">
        <f t="shared" ref="K9:K23" si="0">SUM(I9:I9)</f>
        <v>9389</v>
      </c>
      <c r="L9" s="282">
        <f>IF(I9/15&lt;=SMG,0,J9/2)</f>
        <v>0</v>
      </c>
      <c r="M9" s="301">
        <f>(I9+L9)/G9*30.4</f>
        <v>19028.373333333329</v>
      </c>
      <c r="N9" s="301">
        <f>VLOOKUP(M9,Tarifa,1)</f>
        <v>15487.72</v>
      </c>
      <c r="O9" s="282">
        <f>M9-N9</f>
        <v>3540.65333333333</v>
      </c>
      <c r="P9" s="283">
        <f>VLOOKUP(M9,Tarifa,3)</f>
        <v>0.21360000000000001</v>
      </c>
      <c r="Q9" s="282">
        <f>O9*P9</f>
        <v>756.2835519999993</v>
      </c>
      <c r="R9" s="284">
        <f>VLOOKUP(M9,Tarifa,2)</f>
        <v>1640.18</v>
      </c>
      <c r="S9" s="282">
        <f>Q9+R9</f>
        <v>2396.4635519999993</v>
      </c>
      <c r="T9" s="282">
        <f>VLOOKUP(M9,Credito,2)</f>
        <v>0</v>
      </c>
      <c r="U9" s="282">
        <f>ROUND((S9-T9)/30.4*G9,2)</f>
        <v>1182.47</v>
      </c>
      <c r="V9" s="262">
        <f>-IF(U9&gt;0,0,U9)</f>
        <v>0</v>
      </c>
      <c r="W9" s="262">
        <f>IF(I9/15&lt;=SMG,0,IF(U9&lt;0,0,U9))</f>
        <v>1182.47</v>
      </c>
      <c r="X9" s="262">
        <f>SUM(W9:W9)</f>
        <v>1182.47</v>
      </c>
      <c r="Y9" s="262">
        <f>K9+V9-X9</f>
        <v>8206.5300000000007</v>
      </c>
      <c r="Z9" s="349"/>
    </row>
    <row r="10" spans="1:27" s="305" customFormat="1" ht="230.25" customHeight="1" x14ac:dyDescent="0.2">
      <c r="A10" s="251" t="s">
        <v>82</v>
      </c>
      <c r="B10" s="274" t="s">
        <v>304</v>
      </c>
      <c r="C10" s="268" t="s">
        <v>107</v>
      </c>
      <c r="D10" s="254" t="s">
        <v>291</v>
      </c>
      <c r="E10" s="347">
        <v>45566</v>
      </c>
      <c r="F10" s="255" t="s">
        <v>73</v>
      </c>
      <c r="G10" s="272">
        <v>15</v>
      </c>
      <c r="H10" s="348">
        <f>I10/G10</f>
        <v>625.93333333333328</v>
      </c>
      <c r="I10" s="260">
        <v>9389</v>
      </c>
      <c r="J10" s="260"/>
      <c r="K10" s="262">
        <f t="shared" si="0"/>
        <v>9389</v>
      </c>
      <c r="L10" s="282">
        <f>IF(I10/15&lt;=SMG,0,J10/2)</f>
        <v>0</v>
      </c>
      <c r="M10" s="301">
        <f>(I10+L10)/G10*30.4</f>
        <v>19028.373333333329</v>
      </c>
      <c r="N10" s="301">
        <f>VLOOKUP(M10,Tarifa,1)</f>
        <v>15487.72</v>
      </c>
      <c r="O10" s="282">
        <f>M10-N10</f>
        <v>3540.65333333333</v>
      </c>
      <c r="P10" s="283">
        <f>VLOOKUP(M10,Tarifa,3)</f>
        <v>0.21360000000000001</v>
      </c>
      <c r="Q10" s="282">
        <f>O10*P10</f>
        <v>756.2835519999993</v>
      </c>
      <c r="R10" s="284">
        <f>VLOOKUP(M10,Tarifa,2)</f>
        <v>1640.18</v>
      </c>
      <c r="S10" s="282">
        <f>Q10+R10</f>
        <v>2396.4635519999993</v>
      </c>
      <c r="T10" s="282">
        <f>VLOOKUP(M10,Credito,2)</f>
        <v>0</v>
      </c>
      <c r="U10" s="282">
        <f>ROUND((S10-T10)/30.4*G10,2)</f>
        <v>1182.47</v>
      </c>
      <c r="V10" s="262">
        <f t="shared" ref="V10:V23" si="1">-IF(U10&gt;0,0,U10)</f>
        <v>0</v>
      </c>
      <c r="W10" s="262">
        <f t="shared" ref="W10:W23" si="2">IF(I10/15&lt;=SMG,0,IF(U10&lt;0,0,U10))</f>
        <v>1182.47</v>
      </c>
      <c r="X10" s="262">
        <f>SUM(W10:W10)</f>
        <v>1182.47</v>
      </c>
      <c r="Y10" s="262">
        <f>K10+V10-X10</f>
        <v>8206.5300000000007</v>
      </c>
      <c r="Z10" s="349"/>
    </row>
    <row r="11" spans="1:27" s="305" customFormat="1" ht="230.25" customHeight="1" x14ac:dyDescent="0.2">
      <c r="A11" s="251" t="s">
        <v>83</v>
      </c>
      <c r="B11" s="274" t="s">
        <v>305</v>
      </c>
      <c r="C11" s="268" t="s">
        <v>107</v>
      </c>
      <c r="D11" s="254" t="s">
        <v>302</v>
      </c>
      <c r="E11" s="347">
        <v>45566</v>
      </c>
      <c r="F11" s="255" t="s">
        <v>73</v>
      </c>
      <c r="G11" s="272">
        <v>15</v>
      </c>
      <c r="H11" s="348">
        <f>I11/G11</f>
        <v>625.93333333333328</v>
      </c>
      <c r="I11" s="260">
        <v>9389</v>
      </c>
      <c r="J11" s="260"/>
      <c r="K11" s="262">
        <f t="shared" si="0"/>
        <v>9389</v>
      </c>
      <c r="L11" s="282">
        <f>IF(I11/15&lt;=SMG,0,J11/2)</f>
        <v>0</v>
      </c>
      <c r="M11" s="301">
        <f>(I11+L11)/G11*30.4</f>
        <v>19028.373333333329</v>
      </c>
      <c r="N11" s="301">
        <f>VLOOKUP(M11,Tarifa,1)</f>
        <v>15487.72</v>
      </c>
      <c r="O11" s="282">
        <f>M11-N11</f>
        <v>3540.65333333333</v>
      </c>
      <c r="P11" s="283">
        <f>VLOOKUP(M11,Tarifa,3)</f>
        <v>0.21360000000000001</v>
      </c>
      <c r="Q11" s="282">
        <f>O11*P11</f>
        <v>756.2835519999993</v>
      </c>
      <c r="R11" s="284">
        <f>VLOOKUP(M11,Tarifa,2)</f>
        <v>1640.18</v>
      </c>
      <c r="S11" s="282">
        <f>Q11+R11</f>
        <v>2396.4635519999993</v>
      </c>
      <c r="T11" s="282">
        <f>VLOOKUP(M11,Credito,2)</f>
        <v>0</v>
      </c>
      <c r="U11" s="282">
        <f>ROUND((S11-T11)/30.4*G11,2)</f>
        <v>1182.47</v>
      </c>
      <c r="V11" s="262">
        <f t="shared" si="1"/>
        <v>0</v>
      </c>
      <c r="W11" s="262">
        <f t="shared" si="2"/>
        <v>1182.47</v>
      </c>
      <c r="X11" s="262">
        <f>SUM(W11:W11)</f>
        <v>1182.47</v>
      </c>
      <c r="Y11" s="262">
        <f>K11+V11-X11</f>
        <v>8206.5300000000007</v>
      </c>
      <c r="Z11" s="350"/>
    </row>
    <row r="12" spans="1:27" s="305" customFormat="1" ht="230.25" customHeight="1" x14ac:dyDescent="0.2">
      <c r="A12" s="251" t="s">
        <v>84</v>
      </c>
      <c r="B12" s="274" t="s">
        <v>303</v>
      </c>
      <c r="C12" s="268" t="s">
        <v>107</v>
      </c>
      <c r="D12" s="254" t="s">
        <v>292</v>
      </c>
      <c r="E12" s="347">
        <v>45566</v>
      </c>
      <c r="F12" s="255" t="s">
        <v>73</v>
      </c>
      <c r="G12" s="272">
        <v>15</v>
      </c>
      <c r="H12" s="348">
        <f>I12/G12</f>
        <v>625.93333333333328</v>
      </c>
      <c r="I12" s="260">
        <v>9389</v>
      </c>
      <c r="J12" s="260"/>
      <c r="K12" s="262">
        <f t="shared" ref="K12" si="3">SUM(I12:I12)</f>
        <v>9389</v>
      </c>
      <c r="L12" s="282">
        <f>IF(I12/15&lt;=SMG,0,J12/2)</f>
        <v>0</v>
      </c>
      <c r="M12" s="301">
        <f>(I12+L12)/G12*30.4</f>
        <v>19028.373333333329</v>
      </c>
      <c r="N12" s="301">
        <f>VLOOKUP(M12,Tarifa,1)</f>
        <v>15487.72</v>
      </c>
      <c r="O12" s="282">
        <f>M12-N12</f>
        <v>3540.65333333333</v>
      </c>
      <c r="P12" s="283">
        <f>VLOOKUP(M12,Tarifa,3)</f>
        <v>0.21360000000000001</v>
      </c>
      <c r="Q12" s="282">
        <f>O12*P12</f>
        <v>756.2835519999993</v>
      </c>
      <c r="R12" s="284">
        <f>VLOOKUP(M12,Tarifa,2)</f>
        <v>1640.18</v>
      </c>
      <c r="S12" s="282">
        <f>Q12+R12</f>
        <v>2396.4635519999993</v>
      </c>
      <c r="T12" s="282">
        <f>VLOOKUP(M12,Credito,2)</f>
        <v>0</v>
      </c>
      <c r="U12" s="282">
        <f>ROUND((S12-T12)/30.4*G12,2)</f>
        <v>1182.47</v>
      </c>
      <c r="V12" s="262">
        <f t="shared" si="1"/>
        <v>0</v>
      </c>
      <c r="W12" s="262">
        <f t="shared" si="2"/>
        <v>1182.47</v>
      </c>
      <c r="X12" s="262">
        <f>SUM(W12:W12)</f>
        <v>1182.47</v>
      </c>
      <c r="Y12" s="262">
        <f>K12+V12-X12</f>
        <v>8206.5300000000007</v>
      </c>
      <c r="Z12" s="349"/>
    </row>
    <row r="13" spans="1:27" s="305" customFormat="1" ht="230.25" customHeight="1" x14ac:dyDescent="0.2">
      <c r="A13" s="251" t="s">
        <v>85</v>
      </c>
      <c r="B13" s="274" t="s">
        <v>307</v>
      </c>
      <c r="C13" s="268" t="s">
        <v>107</v>
      </c>
      <c r="D13" s="275" t="s">
        <v>293</v>
      </c>
      <c r="E13" s="347">
        <v>45566</v>
      </c>
      <c r="F13" s="276" t="s">
        <v>73</v>
      </c>
      <c r="G13" s="272">
        <v>15</v>
      </c>
      <c r="H13" s="348">
        <f>I13/G13</f>
        <v>625.93333333333328</v>
      </c>
      <c r="I13" s="260">
        <v>9389</v>
      </c>
      <c r="J13" s="260"/>
      <c r="K13" s="262">
        <f t="shared" ref="K13" si="4">SUM(I13:I13)</f>
        <v>9389</v>
      </c>
      <c r="L13" s="282">
        <f>IF(I13/15&lt;=SMG,0,J13/2)</f>
        <v>0</v>
      </c>
      <c r="M13" s="301">
        <f>(I13+L13)/G13*30.4</f>
        <v>19028.373333333329</v>
      </c>
      <c r="N13" s="301">
        <f>VLOOKUP(M13,Tarifa,1)</f>
        <v>15487.72</v>
      </c>
      <c r="O13" s="282">
        <f>M13-N13</f>
        <v>3540.65333333333</v>
      </c>
      <c r="P13" s="283">
        <f>VLOOKUP(M13,Tarifa,3)</f>
        <v>0.21360000000000001</v>
      </c>
      <c r="Q13" s="282">
        <f>O13*P13</f>
        <v>756.2835519999993</v>
      </c>
      <c r="R13" s="284">
        <f>VLOOKUP(M13,Tarifa,2)</f>
        <v>1640.18</v>
      </c>
      <c r="S13" s="282">
        <f>Q13+R13</f>
        <v>2396.4635519999993</v>
      </c>
      <c r="T13" s="282">
        <f>VLOOKUP(M13,Credito,2)</f>
        <v>0</v>
      </c>
      <c r="U13" s="282">
        <f>ROUND((S13-T13)/30.4*G13,2)</f>
        <v>1182.47</v>
      </c>
      <c r="V13" s="262">
        <f t="shared" ref="V13" si="5">-IF(U13&gt;0,0,U13)</f>
        <v>0</v>
      </c>
      <c r="W13" s="262">
        <f t="shared" si="2"/>
        <v>1182.47</v>
      </c>
      <c r="X13" s="262">
        <f>SUM(W13:W13)</f>
        <v>1182.47</v>
      </c>
      <c r="Y13" s="262">
        <f>K13+V13-X13</f>
        <v>8206.5300000000007</v>
      </c>
      <c r="Z13" s="349"/>
    </row>
    <row r="14" spans="1:27" ht="46.5" customHeight="1" x14ac:dyDescent="0.3">
      <c r="A14" s="138"/>
      <c r="B14" s="232"/>
      <c r="C14" s="204"/>
      <c r="D14" s="205"/>
      <c r="E14" s="241"/>
      <c r="F14" s="206"/>
      <c r="G14" s="233"/>
      <c r="H14" s="242"/>
      <c r="I14" s="210"/>
      <c r="J14" s="210"/>
      <c r="K14" s="212"/>
      <c r="L14" s="213"/>
      <c r="M14" s="213"/>
      <c r="N14" s="213"/>
      <c r="O14" s="213"/>
      <c r="P14" s="214"/>
      <c r="Q14" s="213"/>
      <c r="R14" s="215"/>
      <c r="S14" s="213"/>
      <c r="T14" s="213"/>
      <c r="U14" s="213"/>
      <c r="V14" s="212"/>
      <c r="W14" s="212"/>
      <c r="X14" s="212"/>
      <c r="Y14" s="212"/>
    </row>
    <row r="15" spans="1:27" ht="14.25" customHeight="1" x14ac:dyDescent="0.3">
      <c r="A15" s="138"/>
      <c r="B15" s="232"/>
      <c r="C15" s="204"/>
      <c r="D15" s="205"/>
      <c r="E15" s="241"/>
      <c r="F15" s="206"/>
      <c r="G15" s="233"/>
      <c r="H15" s="242"/>
      <c r="I15" s="210"/>
      <c r="J15" s="210"/>
      <c r="K15" s="212"/>
      <c r="L15" s="213"/>
      <c r="M15" s="213"/>
      <c r="N15" s="213"/>
      <c r="O15" s="213"/>
      <c r="P15" s="214"/>
      <c r="Q15" s="213"/>
      <c r="R15" s="215"/>
      <c r="S15" s="213"/>
      <c r="T15" s="213"/>
      <c r="U15" s="213"/>
      <c r="V15" s="212"/>
      <c r="W15" s="212"/>
      <c r="X15" s="212"/>
      <c r="Y15" s="212"/>
    </row>
    <row r="16" spans="1:27" ht="23.25" customHeight="1" x14ac:dyDescent="0.25">
      <c r="A16" s="138"/>
      <c r="B16" s="429" t="s">
        <v>76</v>
      </c>
      <c r="C16" s="429"/>
      <c r="D16" s="429"/>
      <c r="E16" s="429"/>
      <c r="F16" s="429"/>
      <c r="G16" s="429"/>
      <c r="H16" s="429"/>
      <c r="I16" s="429"/>
      <c r="J16" s="429"/>
      <c r="K16" s="429"/>
      <c r="L16" s="429"/>
      <c r="M16" s="429"/>
      <c r="N16" s="429"/>
      <c r="O16" s="429"/>
      <c r="P16" s="429"/>
      <c r="Q16" s="429"/>
      <c r="R16" s="429"/>
      <c r="S16" s="429"/>
      <c r="T16" s="429"/>
      <c r="U16" s="429"/>
      <c r="V16" s="429"/>
      <c r="W16" s="429"/>
      <c r="X16" s="429"/>
      <c r="Y16" s="429"/>
      <c r="Z16" s="429"/>
      <c r="AA16" s="429"/>
    </row>
    <row r="17" spans="1:28" ht="23.25" customHeight="1" x14ac:dyDescent="0.25">
      <c r="A17" s="138"/>
      <c r="B17" s="429" t="s">
        <v>63</v>
      </c>
      <c r="C17" s="429"/>
      <c r="D17" s="429"/>
      <c r="E17" s="429"/>
      <c r="F17" s="429"/>
      <c r="G17" s="429"/>
      <c r="H17" s="429"/>
      <c r="I17" s="429"/>
      <c r="J17" s="429"/>
      <c r="K17" s="429"/>
      <c r="L17" s="429"/>
      <c r="M17" s="429"/>
      <c r="N17" s="429"/>
      <c r="O17" s="429"/>
      <c r="P17" s="429"/>
      <c r="Q17" s="429"/>
      <c r="R17" s="429"/>
      <c r="S17" s="429"/>
      <c r="T17" s="429"/>
      <c r="U17" s="429"/>
      <c r="V17" s="429"/>
      <c r="W17" s="429"/>
      <c r="X17" s="429"/>
      <c r="Y17" s="429"/>
      <c r="Z17" s="429"/>
      <c r="AA17" s="429"/>
    </row>
    <row r="18" spans="1:28" ht="23.25" customHeight="1" x14ac:dyDescent="0.25">
      <c r="A18" s="138"/>
      <c r="B18" s="420" t="str">
        <f>PRESIDENCIA!A3</f>
        <v>SUELDO  DEL 01 AL 15 DE ABRIL DE 2025</v>
      </c>
      <c r="C18" s="420"/>
      <c r="D18" s="420"/>
      <c r="E18" s="420"/>
      <c r="F18" s="420"/>
      <c r="G18" s="420"/>
      <c r="H18" s="420"/>
      <c r="I18" s="420"/>
      <c r="J18" s="420"/>
      <c r="K18" s="420"/>
      <c r="L18" s="420"/>
      <c r="M18" s="420"/>
      <c r="N18" s="420"/>
      <c r="O18" s="420"/>
      <c r="P18" s="420"/>
      <c r="Q18" s="420"/>
      <c r="R18" s="420"/>
      <c r="S18" s="420"/>
      <c r="T18" s="420"/>
      <c r="U18" s="420"/>
      <c r="V18" s="420"/>
      <c r="W18" s="420"/>
      <c r="X18" s="420"/>
      <c r="Y18" s="420"/>
      <c r="Z18" s="420"/>
      <c r="AA18" s="420"/>
      <c r="AB18" s="420"/>
    </row>
    <row r="19" spans="1:28" ht="28.5" customHeight="1" x14ac:dyDescent="0.3">
      <c r="A19" s="138"/>
      <c r="B19" s="232"/>
      <c r="C19" s="204"/>
      <c r="D19" s="205"/>
      <c r="E19" s="241"/>
      <c r="F19" s="206"/>
      <c r="G19" s="233"/>
      <c r="H19" s="242"/>
      <c r="I19" s="210"/>
      <c r="J19" s="210"/>
      <c r="K19" s="212"/>
      <c r="L19" s="213"/>
      <c r="M19" s="213"/>
      <c r="N19" s="213"/>
      <c r="O19" s="213"/>
      <c r="P19" s="214"/>
      <c r="Q19" s="213"/>
      <c r="R19" s="215"/>
      <c r="S19" s="213"/>
      <c r="T19" s="213"/>
      <c r="U19" s="213"/>
      <c r="V19" s="212"/>
      <c r="W19" s="212"/>
      <c r="X19" s="212"/>
      <c r="Y19" s="212"/>
    </row>
    <row r="20" spans="1:28" s="305" customFormat="1" ht="216.75" customHeight="1" x14ac:dyDescent="0.2">
      <c r="A20" s="251" t="s">
        <v>86</v>
      </c>
      <c r="B20" s="274" t="s">
        <v>296</v>
      </c>
      <c r="C20" s="268" t="s">
        <v>107</v>
      </c>
      <c r="D20" s="254" t="s">
        <v>297</v>
      </c>
      <c r="E20" s="347">
        <v>45566</v>
      </c>
      <c r="F20" s="255" t="s">
        <v>73</v>
      </c>
      <c r="G20" s="272">
        <v>15</v>
      </c>
      <c r="H20" s="348">
        <f>I20/G20</f>
        <v>625.93333333333328</v>
      </c>
      <c r="I20" s="260">
        <v>9389</v>
      </c>
      <c r="J20" s="260"/>
      <c r="K20" s="262">
        <f t="shared" si="0"/>
        <v>9389</v>
      </c>
      <c r="L20" s="282">
        <f>IF(I20/15&lt;=SMG,0,J20/2)</f>
        <v>0</v>
      </c>
      <c r="M20" s="301">
        <f>(I20+L20)/G20*30.4</f>
        <v>19028.373333333329</v>
      </c>
      <c r="N20" s="301">
        <f>VLOOKUP(M20,Tarifa,1)</f>
        <v>15487.72</v>
      </c>
      <c r="O20" s="282">
        <f>M20-N20</f>
        <v>3540.65333333333</v>
      </c>
      <c r="P20" s="283">
        <f>VLOOKUP(M20,Tarifa,3)</f>
        <v>0.21360000000000001</v>
      </c>
      <c r="Q20" s="282">
        <f>O20*P20</f>
        <v>756.2835519999993</v>
      </c>
      <c r="R20" s="284">
        <f>VLOOKUP(M20,Tarifa,2)</f>
        <v>1640.18</v>
      </c>
      <c r="S20" s="282">
        <f>Q20+R20</f>
        <v>2396.4635519999993</v>
      </c>
      <c r="T20" s="282">
        <f>VLOOKUP(M20,Credito,2)</f>
        <v>0</v>
      </c>
      <c r="U20" s="282">
        <f>ROUND((S20-T20)/30.4*G20,2)</f>
        <v>1182.47</v>
      </c>
      <c r="V20" s="262">
        <f t="shared" si="1"/>
        <v>0</v>
      </c>
      <c r="W20" s="262">
        <f t="shared" si="2"/>
        <v>1182.47</v>
      </c>
      <c r="X20" s="262">
        <f>SUM(W20:W20)</f>
        <v>1182.47</v>
      </c>
      <c r="Y20" s="262">
        <f>K20+V20-X20</f>
        <v>8206.5300000000007</v>
      </c>
      <c r="Z20" s="349"/>
    </row>
    <row r="21" spans="1:28" s="305" customFormat="1" ht="216.75" customHeight="1" x14ac:dyDescent="0.2">
      <c r="A21" s="251" t="s">
        <v>87</v>
      </c>
      <c r="B21" s="274" t="s">
        <v>295</v>
      </c>
      <c r="C21" s="268" t="s">
        <v>107</v>
      </c>
      <c r="D21" s="254" t="s">
        <v>294</v>
      </c>
      <c r="E21" s="347">
        <v>45566</v>
      </c>
      <c r="F21" s="255" t="s">
        <v>73</v>
      </c>
      <c r="G21" s="272">
        <v>15</v>
      </c>
      <c r="H21" s="348">
        <f>I21/G21</f>
        <v>625.93333333333328</v>
      </c>
      <c r="I21" s="260">
        <v>9389</v>
      </c>
      <c r="J21" s="260"/>
      <c r="K21" s="262">
        <f t="shared" si="0"/>
        <v>9389</v>
      </c>
      <c r="L21" s="282">
        <f>IF(I21/15&lt;=SMG,0,J21/2)</f>
        <v>0</v>
      </c>
      <c r="M21" s="301">
        <f>(I21+L21)/G21*30.4</f>
        <v>19028.373333333329</v>
      </c>
      <c r="N21" s="301">
        <f>VLOOKUP(M21,Tarifa,1)</f>
        <v>15487.72</v>
      </c>
      <c r="O21" s="282">
        <f>M21-N21</f>
        <v>3540.65333333333</v>
      </c>
      <c r="P21" s="283">
        <f>VLOOKUP(M21,Tarifa,3)</f>
        <v>0.21360000000000001</v>
      </c>
      <c r="Q21" s="282">
        <f>O21*P21</f>
        <v>756.2835519999993</v>
      </c>
      <c r="R21" s="284">
        <f>VLOOKUP(M21,Tarifa,2)</f>
        <v>1640.18</v>
      </c>
      <c r="S21" s="282">
        <f>Q21+R21</f>
        <v>2396.4635519999993</v>
      </c>
      <c r="T21" s="282">
        <f>VLOOKUP(M21,Credito,2)</f>
        <v>0</v>
      </c>
      <c r="U21" s="282">
        <f>ROUND((S21-T21)/30.4*G21,2)</f>
        <v>1182.47</v>
      </c>
      <c r="V21" s="262">
        <f t="shared" si="1"/>
        <v>0</v>
      </c>
      <c r="W21" s="262">
        <f t="shared" si="2"/>
        <v>1182.47</v>
      </c>
      <c r="X21" s="262">
        <f>SUM(W21:W21)</f>
        <v>1182.47</v>
      </c>
      <c r="Y21" s="262">
        <f>K21+V21-X21</f>
        <v>8206.5300000000007</v>
      </c>
      <c r="Z21" s="349"/>
    </row>
    <row r="22" spans="1:28" s="305" customFormat="1" ht="216.75" customHeight="1" x14ac:dyDescent="0.2">
      <c r="A22" s="251" t="s">
        <v>88</v>
      </c>
      <c r="B22" s="274" t="s">
        <v>308</v>
      </c>
      <c r="C22" s="268" t="s">
        <v>107</v>
      </c>
      <c r="D22" s="254" t="s">
        <v>300</v>
      </c>
      <c r="E22" s="347">
        <v>45566</v>
      </c>
      <c r="F22" s="255" t="s">
        <v>73</v>
      </c>
      <c r="G22" s="272">
        <v>15</v>
      </c>
      <c r="H22" s="348">
        <f>I22/G22</f>
        <v>625.93333333333328</v>
      </c>
      <c r="I22" s="260">
        <v>9389</v>
      </c>
      <c r="J22" s="260"/>
      <c r="K22" s="262">
        <f t="shared" si="0"/>
        <v>9389</v>
      </c>
      <c r="L22" s="282">
        <f>IF(I22/15&lt;=SMG,0,J22/2)</f>
        <v>0</v>
      </c>
      <c r="M22" s="301">
        <f>(I22+L22)/G22*30.4</f>
        <v>19028.373333333329</v>
      </c>
      <c r="N22" s="301">
        <f>VLOOKUP(M22,Tarifa,1)</f>
        <v>15487.72</v>
      </c>
      <c r="O22" s="282">
        <f>M22-N22</f>
        <v>3540.65333333333</v>
      </c>
      <c r="P22" s="283">
        <f>VLOOKUP(M22,Tarifa,3)</f>
        <v>0.21360000000000001</v>
      </c>
      <c r="Q22" s="282">
        <f>O22*P22</f>
        <v>756.2835519999993</v>
      </c>
      <c r="R22" s="284">
        <f>VLOOKUP(M22,Tarifa,2)</f>
        <v>1640.18</v>
      </c>
      <c r="S22" s="282">
        <f>Q22+R22</f>
        <v>2396.4635519999993</v>
      </c>
      <c r="T22" s="282">
        <f>VLOOKUP(M22,Credito,2)</f>
        <v>0</v>
      </c>
      <c r="U22" s="282">
        <f>ROUND((S22-T22)/30.4*G22,2)</f>
        <v>1182.47</v>
      </c>
      <c r="V22" s="262">
        <f t="shared" si="1"/>
        <v>0</v>
      </c>
      <c r="W22" s="262">
        <f t="shared" si="2"/>
        <v>1182.47</v>
      </c>
      <c r="X22" s="262">
        <f>SUM(W22:W22)</f>
        <v>1182.47</v>
      </c>
      <c r="Y22" s="262">
        <f>K22+V22-X22</f>
        <v>8206.5300000000007</v>
      </c>
      <c r="Z22" s="349"/>
    </row>
    <row r="23" spans="1:28" s="305" customFormat="1" ht="216.75" customHeight="1" x14ac:dyDescent="0.2">
      <c r="A23" s="251" t="s">
        <v>89</v>
      </c>
      <c r="B23" s="274" t="s">
        <v>309</v>
      </c>
      <c r="C23" s="268" t="s">
        <v>107</v>
      </c>
      <c r="D23" s="254" t="s">
        <v>301</v>
      </c>
      <c r="E23" s="347">
        <v>45566</v>
      </c>
      <c r="F23" s="255" t="s">
        <v>73</v>
      </c>
      <c r="G23" s="272">
        <v>15</v>
      </c>
      <c r="H23" s="348">
        <f>I23/G23</f>
        <v>625.93333333333328</v>
      </c>
      <c r="I23" s="260">
        <v>9389</v>
      </c>
      <c r="J23" s="260"/>
      <c r="K23" s="262">
        <f t="shared" si="0"/>
        <v>9389</v>
      </c>
      <c r="L23" s="282">
        <f>IF(I23/15&lt;=SMG,0,J23/2)</f>
        <v>0</v>
      </c>
      <c r="M23" s="301">
        <f>(I23+L23)/G23*30.4</f>
        <v>19028.373333333329</v>
      </c>
      <c r="N23" s="301">
        <f>VLOOKUP(M23,Tarifa,1)</f>
        <v>15487.72</v>
      </c>
      <c r="O23" s="282">
        <f>M23-N23</f>
        <v>3540.65333333333</v>
      </c>
      <c r="P23" s="283">
        <f>VLOOKUP(M23,Tarifa,3)</f>
        <v>0.21360000000000001</v>
      </c>
      <c r="Q23" s="282">
        <f>O23*P23</f>
        <v>756.2835519999993</v>
      </c>
      <c r="R23" s="284">
        <f>VLOOKUP(M23,Tarifa,2)</f>
        <v>1640.18</v>
      </c>
      <c r="S23" s="282">
        <f>Q23+R23</f>
        <v>2396.4635519999993</v>
      </c>
      <c r="T23" s="282">
        <f>VLOOKUP(M23,Credito,2)</f>
        <v>0</v>
      </c>
      <c r="U23" s="282">
        <f>ROUND((S23-T23)/30.4*G23,2)</f>
        <v>1182.47</v>
      </c>
      <c r="V23" s="262">
        <f t="shared" si="1"/>
        <v>0</v>
      </c>
      <c r="W23" s="262">
        <f t="shared" si="2"/>
        <v>1182.47</v>
      </c>
      <c r="X23" s="262">
        <f>SUM(W23:W23)</f>
        <v>1182.47</v>
      </c>
      <c r="Y23" s="262">
        <f>K23+V23-X23</f>
        <v>8206.5300000000007</v>
      </c>
      <c r="Z23" s="349"/>
    </row>
    <row r="24" spans="1:28" ht="21.75" customHeight="1" x14ac:dyDescent="0.25">
      <c r="A24" s="133"/>
      <c r="B24" s="133"/>
      <c r="C24" s="133"/>
      <c r="D24" s="133"/>
      <c r="E24" s="133"/>
      <c r="F24" s="133"/>
      <c r="G24" s="133"/>
      <c r="H24" s="133"/>
      <c r="I24" s="139"/>
      <c r="J24" s="139"/>
      <c r="K24" s="139"/>
      <c r="L24" s="137"/>
      <c r="M24" s="137"/>
      <c r="N24" s="137"/>
      <c r="O24" s="137"/>
      <c r="P24" s="137"/>
      <c r="Q24" s="137"/>
      <c r="R24" s="137"/>
      <c r="S24" s="137"/>
      <c r="T24" s="137"/>
      <c r="U24" s="137"/>
      <c r="V24" s="137"/>
      <c r="W24" s="137"/>
      <c r="X24" s="137"/>
      <c r="Y24" s="137"/>
    </row>
    <row r="25" spans="1:28" ht="40.5" customHeight="1" thickBot="1" x14ac:dyDescent="0.35">
      <c r="A25" s="416" t="s">
        <v>44</v>
      </c>
      <c r="B25" s="417"/>
      <c r="C25" s="417"/>
      <c r="D25" s="417"/>
      <c r="E25" s="417"/>
      <c r="F25" s="417"/>
      <c r="G25" s="417"/>
      <c r="H25" s="418"/>
      <c r="I25" s="199">
        <f>SUM(I9:I24)</f>
        <v>84501</v>
      </c>
      <c r="J25" s="199"/>
      <c r="K25" s="199">
        <f>SUM(K9:K24)</f>
        <v>84501</v>
      </c>
      <c r="L25" s="200">
        <f t="shared" ref="L25:U25" si="6">SUM(L9:L24)</f>
        <v>0</v>
      </c>
      <c r="M25" s="200">
        <f t="shared" si="6"/>
        <v>171255.35999999993</v>
      </c>
      <c r="N25" s="200">
        <f t="shared" si="6"/>
        <v>139389.47999999998</v>
      </c>
      <c r="O25" s="200">
        <f t="shared" si="6"/>
        <v>31865.879999999961</v>
      </c>
      <c r="P25" s="200">
        <f t="shared" si="6"/>
        <v>1.9224000000000001</v>
      </c>
      <c r="Q25" s="200">
        <f t="shared" si="6"/>
        <v>6806.5519679999925</v>
      </c>
      <c r="R25" s="200">
        <f t="shared" si="6"/>
        <v>14761.62</v>
      </c>
      <c r="S25" s="200">
        <f t="shared" si="6"/>
        <v>21568.171967999995</v>
      </c>
      <c r="T25" s="200">
        <f t="shared" si="6"/>
        <v>0</v>
      </c>
      <c r="U25" s="200">
        <f t="shared" si="6"/>
        <v>10642.23</v>
      </c>
      <c r="V25" s="199">
        <f>SUM(V9:V24)</f>
        <v>0</v>
      </c>
      <c r="W25" s="199">
        <f>SUM(W9:W24)</f>
        <v>10642.23</v>
      </c>
      <c r="X25" s="199">
        <f>SUM(X9:X24)</f>
        <v>10642.23</v>
      </c>
      <c r="Y25" s="199">
        <f>SUM(Y9:Y24)</f>
        <v>73858.77</v>
      </c>
    </row>
    <row r="26" spans="1:28" ht="13.5" thickTop="1" x14ac:dyDescent="0.2"/>
  </sheetData>
  <sortState xmlns:xlrd2="http://schemas.microsoft.com/office/spreadsheetml/2017/richdata2" ref="D9:D23">
    <sortCondition ref="D9"/>
  </sortState>
  <mergeCells count="10">
    <mergeCell ref="A25:H25"/>
    <mergeCell ref="A1:Z1"/>
    <mergeCell ref="A2:Z2"/>
    <mergeCell ref="I5:K5"/>
    <mergeCell ref="N5:S5"/>
    <mergeCell ref="W5:X5"/>
    <mergeCell ref="A3:AA3"/>
    <mergeCell ref="B16:AA16"/>
    <mergeCell ref="B17:AA17"/>
    <mergeCell ref="B18:AB18"/>
  </mergeCells>
  <pageMargins left="0.27559055118110237" right="0.39370078740157483" top="0.74803149606299213" bottom="0.19685039370078741" header="0.31496062992125984" footer="0.31496062992125984"/>
  <pageSetup scale="41" orientation="landscape" horizontalDpi="4294967293" verticalDpi="36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Z12"/>
  <sheetViews>
    <sheetView zoomScale="70" zoomScaleNormal="70" workbookViewId="0">
      <selection activeCell="W25" sqref="W25"/>
    </sheetView>
  </sheetViews>
  <sheetFormatPr baseColWidth="10" defaultRowHeight="12.75" x14ac:dyDescent="0.2"/>
  <cols>
    <col min="1" max="1" width="9.140625" customWidth="1"/>
    <col min="2" max="2" width="9.28515625" customWidth="1"/>
    <col min="3" max="3" width="36.28515625" customWidth="1"/>
    <col min="4" max="4" width="17.28515625" customWidth="1"/>
    <col min="5" max="5" width="19.85546875" customWidth="1"/>
    <col min="6" max="6" width="11.5703125" hidden="1" customWidth="1"/>
    <col min="7" max="7" width="9.140625" hidden="1" customWidth="1"/>
    <col min="8" max="8" width="15.85546875" bestFit="1" customWidth="1"/>
    <col min="9" max="9" width="8.7109375" customWidth="1"/>
    <col min="10" max="10" width="15.85546875" bestFit="1" customWidth="1"/>
    <col min="11" max="11" width="11.42578125" hidden="1" customWidth="1"/>
    <col min="12" max="12" width="14.85546875" hidden="1" customWidth="1"/>
    <col min="13" max="13" width="14.7109375" hidden="1" customWidth="1"/>
    <col min="14" max="14" width="13" hidden="1" customWidth="1"/>
    <col min="15" max="15" width="11.42578125" hidden="1" customWidth="1"/>
    <col min="16" max="16" width="13.28515625" hidden="1" customWidth="1"/>
    <col min="17" max="18" width="12.5703125" hidden="1" customWidth="1"/>
    <col min="19" max="19" width="11.42578125" hidden="1" customWidth="1"/>
    <col min="20" max="20" width="12.85546875" hidden="1" customWidth="1"/>
    <col min="21" max="21" width="8.85546875" customWidth="1"/>
    <col min="22" max="22" width="13.85546875" customWidth="1"/>
    <col min="23" max="23" width="15.140625" customWidth="1"/>
    <col min="24" max="24" width="15.85546875" bestFit="1" customWidth="1"/>
    <col min="25" max="25" width="57" customWidth="1"/>
  </cols>
  <sheetData>
    <row r="1" spans="1:26" ht="18" x14ac:dyDescent="0.25">
      <c r="A1" s="429" t="s">
        <v>76</v>
      </c>
      <c r="B1" s="429"/>
      <c r="C1" s="429"/>
      <c r="D1" s="429"/>
      <c r="E1" s="429"/>
      <c r="F1" s="429"/>
      <c r="G1" s="429"/>
      <c r="H1" s="429"/>
      <c r="I1" s="429"/>
      <c r="J1" s="429"/>
      <c r="K1" s="429"/>
      <c r="L1" s="429"/>
      <c r="M1" s="429"/>
      <c r="N1" s="429"/>
      <c r="O1" s="429"/>
      <c r="P1" s="429"/>
      <c r="Q1" s="429"/>
      <c r="R1" s="429"/>
      <c r="S1" s="429"/>
      <c r="T1" s="429"/>
      <c r="U1" s="429"/>
      <c r="V1" s="429"/>
      <c r="W1" s="429"/>
      <c r="X1" s="429"/>
      <c r="Y1" s="429"/>
      <c r="Z1" s="429"/>
    </row>
    <row r="2" spans="1:26" ht="18" x14ac:dyDescent="0.25">
      <c r="A2" s="429" t="s">
        <v>63</v>
      </c>
      <c r="B2" s="429"/>
      <c r="C2" s="429"/>
      <c r="D2" s="429"/>
      <c r="E2" s="429"/>
      <c r="F2" s="429"/>
      <c r="G2" s="429"/>
      <c r="H2" s="429"/>
      <c r="I2" s="429"/>
      <c r="J2" s="429"/>
      <c r="K2" s="429"/>
      <c r="L2" s="429"/>
      <c r="M2" s="429"/>
      <c r="N2" s="429"/>
      <c r="O2" s="429"/>
      <c r="P2" s="429"/>
      <c r="Q2" s="429"/>
      <c r="R2" s="429"/>
      <c r="S2" s="429"/>
      <c r="T2" s="429"/>
      <c r="U2" s="429"/>
      <c r="V2" s="429"/>
      <c r="W2" s="429"/>
      <c r="X2" s="429"/>
      <c r="Y2" s="429"/>
      <c r="Z2" s="429"/>
    </row>
    <row r="3" spans="1:26" ht="19.5" x14ac:dyDescent="0.25">
      <c r="A3" s="420" t="str">
        <f>PRESIDENCIA!A3</f>
        <v>SUELDO  DEL 01 AL 15 DE ABRIL DE 2025</v>
      </c>
      <c r="B3" s="420"/>
      <c r="C3" s="420"/>
      <c r="D3" s="420"/>
      <c r="E3" s="420"/>
      <c r="F3" s="420"/>
      <c r="G3" s="420"/>
      <c r="H3" s="420"/>
      <c r="I3" s="420"/>
      <c r="J3" s="420"/>
      <c r="K3" s="420"/>
      <c r="L3" s="420"/>
      <c r="M3" s="420"/>
      <c r="N3" s="420"/>
      <c r="O3" s="420"/>
      <c r="P3" s="420"/>
      <c r="Q3" s="420"/>
      <c r="R3" s="420"/>
      <c r="S3" s="420"/>
      <c r="T3" s="420"/>
      <c r="U3" s="420"/>
      <c r="V3" s="420"/>
      <c r="W3" s="420"/>
      <c r="X3" s="420"/>
      <c r="Y3" s="420"/>
      <c r="Z3" s="420"/>
    </row>
    <row r="4" spans="1:26" ht="15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</row>
    <row r="5" spans="1:26" x14ac:dyDescent="0.2">
      <c r="A5" s="22"/>
      <c r="B5" s="22"/>
      <c r="C5" s="22"/>
      <c r="D5" s="22"/>
      <c r="E5" s="22"/>
      <c r="F5" s="23" t="s">
        <v>22</v>
      </c>
      <c r="G5" s="23" t="s">
        <v>5</v>
      </c>
      <c r="H5" s="430" t="s">
        <v>1</v>
      </c>
      <c r="I5" s="431"/>
      <c r="J5" s="432"/>
      <c r="K5" s="24" t="s">
        <v>25</v>
      </c>
      <c r="L5" s="25"/>
      <c r="M5" s="433" t="s">
        <v>8</v>
      </c>
      <c r="N5" s="434"/>
      <c r="O5" s="434"/>
      <c r="P5" s="434"/>
      <c r="Q5" s="434"/>
      <c r="R5" s="435"/>
      <c r="S5" s="24" t="s">
        <v>29</v>
      </c>
      <c r="T5" s="24" t="s">
        <v>9</v>
      </c>
      <c r="U5" s="23" t="s">
        <v>52</v>
      </c>
      <c r="V5" s="436" t="s">
        <v>2</v>
      </c>
      <c r="W5" s="437"/>
      <c r="X5" s="23" t="s">
        <v>0</v>
      </c>
      <c r="Y5" s="33"/>
    </row>
    <row r="6" spans="1:26" ht="22.5" x14ac:dyDescent="0.2">
      <c r="A6" s="44" t="s">
        <v>95</v>
      </c>
      <c r="B6" s="44" t="s">
        <v>108</v>
      </c>
      <c r="C6" s="26" t="s">
        <v>21</v>
      </c>
      <c r="D6" s="26"/>
      <c r="E6" s="26"/>
      <c r="F6" s="27" t="s">
        <v>23</v>
      </c>
      <c r="G6" s="26" t="s">
        <v>24</v>
      </c>
      <c r="H6" s="23" t="s">
        <v>5</v>
      </c>
      <c r="I6" s="23" t="s">
        <v>57</v>
      </c>
      <c r="J6" s="23" t="s">
        <v>27</v>
      </c>
      <c r="K6" s="28" t="s">
        <v>26</v>
      </c>
      <c r="L6" s="25" t="s">
        <v>31</v>
      </c>
      <c r="M6" s="25" t="s">
        <v>11</v>
      </c>
      <c r="N6" s="25" t="s">
        <v>33</v>
      </c>
      <c r="O6" s="25" t="s">
        <v>35</v>
      </c>
      <c r="P6" s="25" t="s">
        <v>36</v>
      </c>
      <c r="Q6" s="25" t="s">
        <v>13</v>
      </c>
      <c r="R6" s="25" t="s">
        <v>9</v>
      </c>
      <c r="S6" s="28" t="s">
        <v>39</v>
      </c>
      <c r="T6" s="28" t="s">
        <v>40</v>
      </c>
      <c r="U6" s="26" t="s">
        <v>30</v>
      </c>
      <c r="V6" s="23" t="s">
        <v>192</v>
      </c>
      <c r="W6" s="23" t="s">
        <v>6</v>
      </c>
      <c r="X6" s="26" t="s">
        <v>3</v>
      </c>
      <c r="Y6" s="35" t="s">
        <v>56</v>
      </c>
    </row>
    <row r="7" spans="1:26" x14ac:dyDescent="0.2">
      <c r="A7" s="29"/>
      <c r="B7" s="29"/>
      <c r="C7" s="29"/>
      <c r="D7" s="29"/>
      <c r="E7" s="29"/>
      <c r="F7" s="29"/>
      <c r="G7" s="29"/>
      <c r="H7" s="29" t="s">
        <v>46</v>
      </c>
      <c r="I7" s="29" t="s">
        <v>58</v>
      </c>
      <c r="J7" s="29" t="s">
        <v>28</v>
      </c>
      <c r="K7" s="30" t="s">
        <v>42</v>
      </c>
      <c r="L7" s="24" t="s">
        <v>32</v>
      </c>
      <c r="M7" s="24" t="s">
        <v>12</v>
      </c>
      <c r="N7" s="24" t="s">
        <v>34</v>
      </c>
      <c r="O7" s="24" t="s">
        <v>34</v>
      </c>
      <c r="P7" s="24" t="s">
        <v>37</v>
      </c>
      <c r="Q7" s="24" t="s">
        <v>14</v>
      </c>
      <c r="R7" s="24" t="s">
        <v>38</v>
      </c>
      <c r="S7" s="28" t="s">
        <v>18</v>
      </c>
      <c r="T7" s="31" t="s">
        <v>41</v>
      </c>
      <c r="U7" s="29" t="s">
        <v>51</v>
      </c>
      <c r="V7" s="29"/>
      <c r="W7" s="29" t="s">
        <v>43</v>
      </c>
      <c r="X7" s="29" t="s">
        <v>4</v>
      </c>
      <c r="Y7" s="34"/>
    </row>
    <row r="8" spans="1:26" ht="40.5" x14ac:dyDescent="0.3">
      <c r="A8" s="38"/>
      <c r="B8" s="38"/>
      <c r="C8" s="226" t="s">
        <v>72</v>
      </c>
      <c r="D8" s="228" t="s">
        <v>198</v>
      </c>
      <c r="E8" s="227" t="s">
        <v>60</v>
      </c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9"/>
      <c r="U8" s="38"/>
      <c r="V8" s="38"/>
      <c r="W8" s="38"/>
      <c r="X8" s="38"/>
      <c r="Y8" s="88"/>
    </row>
    <row r="9" spans="1:26" s="305" customFormat="1" ht="222" customHeight="1" x14ac:dyDescent="0.2">
      <c r="A9" s="274" t="s">
        <v>310</v>
      </c>
      <c r="B9" s="268" t="s">
        <v>107</v>
      </c>
      <c r="C9" s="254" t="s">
        <v>287</v>
      </c>
      <c r="D9" s="346">
        <v>45566</v>
      </c>
      <c r="E9" s="257" t="s">
        <v>178</v>
      </c>
      <c r="F9" s="258">
        <v>15</v>
      </c>
      <c r="G9" s="259">
        <f>H9/F9</f>
        <v>1332.8</v>
      </c>
      <c r="H9" s="260">
        <v>19992</v>
      </c>
      <c r="I9" s="261">
        <v>0</v>
      </c>
      <c r="J9" s="262">
        <f>SUM(H9:I9)</f>
        <v>19992</v>
      </c>
      <c r="K9" s="282">
        <f>IF(H9/15&lt;=SMG,0,I9/2)</f>
        <v>0</v>
      </c>
      <c r="L9" s="301">
        <f>(H9+K9)/F9*30.4</f>
        <v>40517.119999999995</v>
      </c>
      <c r="M9" s="301">
        <f>VLOOKUP(L9,Tarifa,1)</f>
        <v>31236.5</v>
      </c>
      <c r="N9" s="282">
        <f>L9-M9</f>
        <v>9280.6199999999953</v>
      </c>
      <c r="O9" s="283">
        <f>VLOOKUP(L9,Tarifa,3)</f>
        <v>0.23519999999999999</v>
      </c>
      <c r="P9" s="282">
        <f>N9*O9</f>
        <v>2182.8018239999988</v>
      </c>
      <c r="Q9" s="284">
        <f>VLOOKUP(L9,Tarifa,2)</f>
        <v>5004.12</v>
      </c>
      <c r="R9" s="282">
        <f>P9+Q9</f>
        <v>7186.9218239999991</v>
      </c>
      <c r="S9" s="282">
        <f>VLOOKUP(L9,Credito,2)</f>
        <v>0</v>
      </c>
      <c r="T9" s="282">
        <f>ROUND((R9-S9)/30.4*F9,2)</f>
        <v>3546.18</v>
      </c>
      <c r="U9" s="262">
        <f>-IF(T9&gt;0,0,0)</f>
        <v>0</v>
      </c>
      <c r="V9" s="262">
        <f>IF(H9/15&lt;=SMG,0,IF(T9&lt;0,0,T9))</f>
        <v>3546.18</v>
      </c>
      <c r="W9" s="262">
        <f>SUM(V9:V9)</f>
        <v>3546.18</v>
      </c>
      <c r="X9" s="262">
        <f>J9+U9-W9</f>
        <v>16445.82</v>
      </c>
      <c r="Y9" s="352"/>
    </row>
    <row r="10" spans="1:26" ht="18" x14ac:dyDescent="0.25">
      <c r="A10" s="133"/>
      <c r="B10" s="133"/>
      <c r="C10" s="133"/>
      <c r="D10" s="133"/>
      <c r="E10" s="133"/>
      <c r="F10" s="134"/>
      <c r="G10" s="133"/>
      <c r="H10" s="135"/>
      <c r="I10" s="135"/>
      <c r="J10" s="135"/>
      <c r="K10" s="136"/>
      <c r="L10" s="137"/>
      <c r="M10" s="137"/>
      <c r="N10" s="137"/>
      <c r="O10" s="137"/>
      <c r="P10" s="137"/>
      <c r="Q10" s="137"/>
      <c r="R10" s="137"/>
      <c r="S10" s="137"/>
      <c r="T10" s="137"/>
      <c r="U10" s="137"/>
      <c r="V10" s="137"/>
      <c r="W10" s="137"/>
      <c r="X10" s="137"/>
    </row>
    <row r="11" spans="1:26" ht="41.25" customHeight="1" thickBot="1" x14ac:dyDescent="0.3">
      <c r="A11" s="417"/>
      <c r="B11" s="417"/>
      <c r="C11" s="417"/>
      <c r="D11" s="417"/>
      <c r="E11" s="417"/>
      <c r="F11" s="417"/>
      <c r="G11" s="418"/>
      <c r="H11" s="131">
        <f>SUM(H9:H9)</f>
        <v>19992</v>
      </c>
      <c r="I11" s="131">
        <f>SUM(I9:I9)</f>
        <v>0</v>
      </c>
      <c r="J11" s="131">
        <f>SUM(J9:J9)</f>
        <v>19992</v>
      </c>
      <c r="K11" s="132">
        <f t="shared" ref="K11:T11" si="0">SUM(K10:K10)</f>
        <v>0</v>
      </c>
      <c r="L11" s="132">
        <f t="shared" si="0"/>
        <v>0</v>
      </c>
      <c r="M11" s="132">
        <f t="shared" si="0"/>
        <v>0</v>
      </c>
      <c r="N11" s="132">
        <f t="shared" si="0"/>
        <v>0</v>
      </c>
      <c r="O11" s="132">
        <f t="shared" si="0"/>
        <v>0</v>
      </c>
      <c r="P11" s="132">
        <f t="shared" si="0"/>
        <v>0</v>
      </c>
      <c r="Q11" s="132">
        <f t="shared" si="0"/>
        <v>0</v>
      </c>
      <c r="R11" s="132">
        <f t="shared" si="0"/>
        <v>0</v>
      </c>
      <c r="S11" s="132">
        <f t="shared" si="0"/>
        <v>0</v>
      </c>
      <c r="T11" s="132">
        <f t="shared" si="0"/>
        <v>0</v>
      </c>
      <c r="U11" s="131">
        <f>SUM(U9:U9)</f>
        <v>0</v>
      </c>
      <c r="V11" s="131">
        <f>SUM(V9:V9)</f>
        <v>3546.18</v>
      </c>
      <c r="W11" s="131">
        <f>SUM(W9:W9)</f>
        <v>3546.18</v>
      </c>
      <c r="X11" s="131">
        <f>SUM(X9:X9)</f>
        <v>16445.82</v>
      </c>
    </row>
    <row r="12" spans="1:26" ht="13.5" thickTop="1" x14ac:dyDescent="0.2"/>
  </sheetData>
  <mergeCells count="7">
    <mergeCell ref="A11:G11"/>
    <mergeCell ref="A1:Z1"/>
    <mergeCell ref="A2:Z2"/>
    <mergeCell ref="A3:Z3"/>
    <mergeCell ref="H5:J5"/>
    <mergeCell ref="M5:R5"/>
    <mergeCell ref="V5:W5"/>
  </mergeCells>
  <pageMargins left="0.27559055118110237" right="0.27559055118110237" top="0.74803149606299213" bottom="0.74803149606299213" header="0.31496062992125984" footer="0.31496062992125984"/>
  <pageSetup scale="40" orientation="landscape" horizontalDpi="4294967293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10</vt:i4>
      </vt:variant>
    </vt:vector>
  </HeadingPairs>
  <TitlesOfParts>
    <vt:vector size="22" baseType="lpstr">
      <vt:lpstr>tarifa</vt:lpstr>
      <vt:lpstr>PRESIDENCIA</vt:lpstr>
      <vt:lpstr>CONTRALORIA </vt:lpstr>
      <vt:lpstr>OBRAS PUBLICAS</vt:lpstr>
      <vt:lpstr>SERV.PBCOS</vt:lpstr>
      <vt:lpstr>PROGRAMAS</vt:lpstr>
      <vt:lpstr>HDA.MPAL</vt:lpstr>
      <vt:lpstr>REGIDORES 2</vt:lpstr>
      <vt:lpstr>SINDICO</vt:lpstr>
      <vt:lpstr>CHOFERES</vt:lpstr>
      <vt:lpstr>SEGURIDAD </vt:lpstr>
      <vt:lpstr>SERV.MEDICOS</vt:lpstr>
      <vt:lpstr>'CONTRALORIA '!Área_de_impresión</vt:lpstr>
      <vt:lpstr>SINDICO!Área_de_impresión</vt:lpstr>
      <vt:lpstr>Credito</vt:lpstr>
      <vt:lpstr>Credito1</vt:lpstr>
      <vt:lpstr>SMG</vt:lpstr>
      <vt:lpstr>Subsidio</vt:lpstr>
      <vt:lpstr>Tarifa</vt:lpstr>
      <vt:lpstr>Tarifa1</vt:lpstr>
      <vt:lpstr>PRESIDENCIA!Títulos_a_imprimir</vt:lpstr>
      <vt:lpstr>UMA</vt:lpstr>
    </vt:vector>
  </TitlesOfParts>
  <Company>FAMILIAR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Julio Cesar</dc:creator>
  <cp:lastModifiedBy>Contabilidad</cp:lastModifiedBy>
  <cp:lastPrinted>2025-04-30T21:31:12Z</cp:lastPrinted>
  <dcterms:created xsi:type="dcterms:W3CDTF">2000-05-05T04:08:27Z</dcterms:created>
  <dcterms:modified xsi:type="dcterms:W3CDTF">2025-11-18T17:20:26Z</dcterms:modified>
</cp:coreProperties>
</file>