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SEP 2024\"/>
    </mc:Choice>
  </mc:AlternateContent>
  <xr:revisionPtr revIDLastSave="0" documentId="13_ncr:1_{1101D4E3-C000-430C-A377-697D4367E41A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SINDICO!$1:$22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35" l="1"/>
  <c r="K27" i="135" s="1"/>
  <c r="I27" i="135"/>
  <c r="K23" i="120"/>
  <c r="L23" i="120"/>
  <c r="M23" i="120" s="1"/>
  <c r="L24" i="120"/>
  <c r="M24" i="120" s="1"/>
  <c r="T24" i="120" s="1"/>
  <c r="K24" i="120"/>
  <c r="L13" i="120"/>
  <c r="M13" i="120" s="1"/>
  <c r="K13" i="120"/>
  <c r="L21" i="120"/>
  <c r="M21" i="120" s="1"/>
  <c r="K21" i="120"/>
  <c r="X17" i="133"/>
  <c r="J17" i="133"/>
  <c r="I17" i="133"/>
  <c r="W12" i="136"/>
  <c r="I12" i="136"/>
  <c r="H12" i="136"/>
  <c r="X8" i="119"/>
  <c r="J8" i="119"/>
  <c r="X32" i="123"/>
  <c r="J32" i="123"/>
  <c r="I32" i="123"/>
  <c r="L36" i="123"/>
  <c r="M36" i="123" s="1"/>
  <c r="K36" i="123"/>
  <c r="L37" i="123"/>
  <c r="M37" i="123" s="1"/>
  <c r="K37" i="123"/>
  <c r="L35" i="123"/>
  <c r="M35" i="123" s="1"/>
  <c r="K35" i="123"/>
  <c r="L18" i="123"/>
  <c r="M18" i="123" s="1"/>
  <c r="K18" i="123"/>
  <c r="L15" i="121"/>
  <c r="M15" i="121" s="1"/>
  <c r="K15" i="121"/>
  <c r="L12" i="121"/>
  <c r="M12" i="121" s="1"/>
  <c r="K12" i="121"/>
  <c r="L16" i="120"/>
  <c r="M16" i="120" s="1"/>
  <c r="K16" i="120"/>
  <c r="K10" i="136"/>
  <c r="L10" i="136" s="1"/>
  <c r="J10" i="136"/>
  <c r="W23" i="123"/>
  <c r="Y23" i="123" s="1"/>
  <c r="L23" i="123"/>
  <c r="M23" i="123" s="1"/>
  <c r="T23" i="123" s="1"/>
  <c r="K23" i="123"/>
  <c r="L22" i="123"/>
  <c r="M22" i="123" s="1"/>
  <c r="K22" i="123"/>
  <c r="W15" i="132"/>
  <c r="Y15" i="132" s="1"/>
  <c r="L15" i="132"/>
  <c r="M15" i="132" s="1"/>
  <c r="K15" i="132"/>
  <c r="H15" i="132"/>
  <c r="L14" i="132"/>
  <c r="M14" i="132" s="1"/>
  <c r="K14" i="132"/>
  <c r="R27" i="135" l="1"/>
  <c r="P27" i="135"/>
  <c r="N27" i="135"/>
  <c r="L27" i="135"/>
  <c r="M27" i="135" s="1"/>
  <c r="R23" i="120"/>
  <c r="N23" i="120"/>
  <c r="O23" i="120" s="1"/>
  <c r="T23" i="120"/>
  <c r="P23" i="120"/>
  <c r="N24" i="120"/>
  <c r="O24" i="120" s="1"/>
  <c r="P24" i="120"/>
  <c r="R24" i="120"/>
  <c r="T13" i="120"/>
  <c r="R13" i="120"/>
  <c r="P13" i="120"/>
  <c r="N13" i="120"/>
  <c r="O13" i="120" s="1"/>
  <c r="T21" i="120"/>
  <c r="R21" i="120"/>
  <c r="P21" i="120"/>
  <c r="N21" i="120"/>
  <c r="O21" i="120" s="1"/>
  <c r="T36" i="123"/>
  <c r="R36" i="123"/>
  <c r="P36" i="123"/>
  <c r="N36" i="123"/>
  <c r="O36" i="123" s="1"/>
  <c r="Q36" i="123" s="1"/>
  <c r="T37" i="123"/>
  <c r="R37" i="123"/>
  <c r="P37" i="123"/>
  <c r="N37" i="123"/>
  <c r="O37" i="123" s="1"/>
  <c r="Q37" i="123" s="1"/>
  <c r="T35" i="123"/>
  <c r="R35" i="123"/>
  <c r="P35" i="123"/>
  <c r="N35" i="123"/>
  <c r="O35" i="123" s="1"/>
  <c r="T18" i="123"/>
  <c r="R18" i="123"/>
  <c r="P18" i="123"/>
  <c r="N18" i="123"/>
  <c r="O18" i="123" s="1"/>
  <c r="T15" i="121"/>
  <c r="R15" i="121"/>
  <c r="P15" i="121"/>
  <c r="N15" i="121"/>
  <c r="O15" i="121" s="1"/>
  <c r="T12" i="121"/>
  <c r="R12" i="121"/>
  <c r="P12" i="121"/>
  <c r="N12" i="121"/>
  <c r="O12" i="121" s="1"/>
  <c r="T16" i="120"/>
  <c r="R16" i="120"/>
  <c r="P16" i="120"/>
  <c r="N16" i="120"/>
  <c r="O16" i="120" s="1"/>
  <c r="S10" i="136"/>
  <c r="Q10" i="136"/>
  <c r="O10" i="136"/>
  <c r="M10" i="136"/>
  <c r="N10" i="136" s="1"/>
  <c r="N23" i="123"/>
  <c r="O23" i="123" s="1"/>
  <c r="P23" i="123"/>
  <c r="R23" i="123"/>
  <c r="T22" i="123"/>
  <c r="R22" i="123"/>
  <c r="P22" i="123"/>
  <c r="N22" i="123"/>
  <c r="O22" i="123" s="1"/>
  <c r="T15" i="132"/>
  <c r="R15" i="132"/>
  <c r="P15" i="132"/>
  <c r="N15" i="132"/>
  <c r="O15" i="132" s="1"/>
  <c r="T14" i="132"/>
  <c r="R14" i="132"/>
  <c r="P14" i="132"/>
  <c r="N14" i="132"/>
  <c r="O14" i="132" s="1"/>
  <c r="Q14" i="132" s="1"/>
  <c r="S14" i="132" s="1"/>
  <c r="U14" i="132" l="1"/>
  <c r="S37" i="123"/>
  <c r="U37" i="123" s="1"/>
  <c r="Q35" i="123"/>
  <c r="S35" i="123" s="1"/>
  <c r="U35" i="123" s="1"/>
  <c r="O27" i="135"/>
  <c r="Q27" i="135" s="1"/>
  <c r="S27" i="135" s="1"/>
  <c r="U27" i="135" s="1"/>
  <c r="W27" i="135" s="1"/>
  <c r="S36" i="123"/>
  <c r="U36" i="123" s="1"/>
  <c r="Q23" i="120"/>
  <c r="S23" i="120" s="1"/>
  <c r="U23" i="120" s="1"/>
  <c r="Q24" i="120"/>
  <c r="S24" i="120" s="1"/>
  <c r="U24" i="120" s="1"/>
  <c r="Q13" i="120"/>
  <c r="S13" i="120" s="1"/>
  <c r="U13" i="120" s="1"/>
  <c r="V13" i="120" s="1"/>
  <c r="Q21" i="120"/>
  <c r="S21" i="120" s="1"/>
  <c r="U21" i="120" s="1"/>
  <c r="W21" i="120" s="1"/>
  <c r="Y21" i="120" s="1"/>
  <c r="W36" i="123"/>
  <c r="Y36" i="123" s="1"/>
  <c r="V36" i="123"/>
  <c r="W37" i="123"/>
  <c r="Y37" i="123" s="1"/>
  <c r="V37" i="123"/>
  <c r="W35" i="123"/>
  <c r="Y35" i="123" s="1"/>
  <c r="V35" i="123"/>
  <c r="Q15" i="121"/>
  <c r="S15" i="121" s="1"/>
  <c r="U15" i="121" s="1"/>
  <c r="Q15" i="132"/>
  <c r="S15" i="132" s="1"/>
  <c r="U15" i="132" s="1"/>
  <c r="V15" i="132" s="1"/>
  <c r="Z15" i="132" s="1"/>
  <c r="P10" i="136"/>
  <c r="R10" i="136" s="1"/>
  <c r="T10" i="136" s="1"/>
  <c r="V10" i="136" s="1"/>
  <c r="X10" i="136" s="1"/>
  <c r="Q18" i="123"/>
  <c r="S18" i="123" s="1"/>
  <c r="U18" i="123" s="1"/>
  <c r="W18" i="123" s="1"/>
  <c r="Y18" i="123" s="1"/>
  <c r="Q12" i="121"/>
  <c r="S12" i="121" s="1"/>
  <c r="U12" i="121" s="1"/>
  <c r="W12" i="121" s="1"/>
  <c r="Y12" i="121" s="1"/>
  <c r="Q22" i="123"/>
  <c r="S22" i="123" s="1"/>
  <c r="U22" i="123" s="1"/>
  <c r="Q16" i="120"/>
  <c r="S16" i="120" s="1"/>
  <c r="U16" i="120" s="1"/>
  <c r="W16" i="120" s="1"/>
  <c r="Y16" i="120" s="1"/>
  <c r="Q23" i="123"/>
  <c r="S23" i="123" s="1"/>
  <c r="U23" i="123" s="1"/>
  <c r="V23" i="123" s="1"/>
  <c r="Z23" i="123" s="1"/>
  <c r="V14" i="132"/>
  <c r="W14" i="132"/>
  <c r="Y14" i="132" s="1"/>
  <c r="U10" i="136" l="1"/>
  <c r="Z37" i="123"/>
  <c r="T27" i="135"/>
  <c r="X27" i="135" s="1"/>
  <c r="Z36" i="123"/>
  <c r="Z35" i="123"/>
  <c r="W23" i="120"/>
  <c r="Y23" i="120" s="1"/>
  <c r="V23" i="120"/>
  <c r="W24" i="120"/>
  <c r="Y24" i="120" s="1"/>
  <c r="V24" i="120"/>
  <c r="W13" i="120"/>
  <c r="Y13" i="120" s="1"/>
  <c r="Z13" i="120" s="1"/>
  <c r="V21" i="120"/>
  <c r="Z21" i="120" s="1"/>
  <c r="W15" i="121"/>
  <c r="Y15" i="121" s="1"/>
  <c r="V15" i="121"/>
  <c r="Y10" i="136"/>
  <c r="V18" i="123"/>
  <c r="Z18" i="123" s="1"/>
  <c r="V12" i="121"/>
  <c r="Z12" i="121"/>
  <c r="W22" i="123"/>
  <c r="Y22" i="123" s="1"/>
  <c r="V22" i="123"/>
  <c r="V16" i="120"/>
  <c r="Z16" i="120" s="1"/>
  <c r="Z14" i="132"/>
  <c r="Z15" i="121" l="1"/>
  <c r="Z23" i="120"/>
  <c r="Z24" i="120"/>
  <c r="Z22" i="123"/>
  <c r="L11" i="133"/>
  <c r="M11" i="133" s="1"/>
  <c r="K11" i="133"/>
  <c r="L10" i="133"/>
  <c r="M10" i="133" s="1"/>
  <c r="K10" i="133"/>
  <c r="L9" i="133"/>
  <c r="M9" i="133" s="1"/>
  <c r="K9" i="133"/>
  <c r="J29" i="135"/>
  <c r="K29" i="135" s="1"/>
  <c r="I29" i="135"/>
  <c r="L10" i="134"/>
  <c r="M10" i="134" s="1"/>
  <c r="K10" i="134"/>
  <c r="L13" i="132"/>
  <c r="M13" i="132" s="1"/>
  <c r="K13" i="132"/>
  <c r="L13" i="123"/>
  <c r="M13" i="123" s="1"/>
  <c r="K13" i="123"/>
  <c r="H13" i="123"/>
  <c r="L25" i="120"/>
  <c r="M25" i="120" s="1"/>
  <c r="K25" i="120"/>
  <c r="T11" i="133" l="1"/>
  <c r="R11" i="133"/>
  <c r="P11" i="133"/>
  <c r="N11" i="133"/>
  <c r="O11" i="133" s="1"/>
  <c r="T10" i="133"/>
  <c r="R10" i="133"/>
  <c r="P10" i="133"/>
  <c r="N10" i="133"/>
  <c r="O10" i="133" s="1"/>
  <c r="Q10" i="133" s="1"/>
  <c r="T9" i="133"/>
  <c r="R9" i="133"/>
  <c r="P9" i="133"/>
  <c r="N9" i="133"/>
  <c r="O9" i="133" s="1"/>
  <c r="Q9" i="133" s="1"/>
  <c r="S9" i="133" s="1"/>
  <c r="R29" i="135"/>
  <c r="P29" i="135"/>
  <c r="N29" i="135"/>
  <c r="L29" i="135"/>
  <c r="M29" i="135" s="1"/>
  <c r="T10" i="134"/>
  <c r="R10" i="134"/>
  <c r="N10" i="134"/>
  <c r="O10" i="134" s="1"/>
  <c r="P10" i="134"/>
  <c r="T13" i="132"/>
  <c r="R13" i="132"/>
  <c r="P13" i="132"/>
  <c r="N13" i="132"/>
  <c r="O13" i="132" s="1"/>
  <c r="T13" i="123"/>
  <c r="R13" i="123"/>
  <c r="P13" i="123"/>
  <c r="N13" i="123"/>
  <c r="O13" i="123" s="1"/>
  <c r="T25" i="120"/>
  <c r="R25" i="120"/>
  <c r="P25" i="120"/>
  <c r="N25" i="120"/>
  <c r="O25" i="120" s="1"/>
  <c r="U9" i="133" l="1"/>
  <c r="S10" i="133"/>
  <c r="U10" i="133" s="1"/>
  <c r="Q10" i="134"/>
  <c r="S10" i="134" s="1"/>
  <c r="U10" i="134" s="1"/>
  <c r="Q11" i="133"/>
  <c r="S11" i="133" s="1"/>
  <c r="U11" i="133" s="1"/>
  <c r="V11" i="133" s="1"/>
  <c r="O29" i="135"/>
  <c r="Q29" i="135" s="1"/>
  <c r="S29" i="135" s="1"/>
  <c r="T29" i="135" s="1"/>
  <c r="Q25" i="120"/>
  <c r="S25" i="120"/>
  <c r="U25" i="120" s="1"/>
  <c r="Q13" i="132"/>
  <c r="S13" i="132" s="1"/>
  <c r="U13" i="132" s="1"/>
  <c r="W13" i="132" s="1"/>
  <c r="Y13" i="132" s="1"/>
  <c r="W10" i="133"/>
  <c r="Y10" i="133" s="1"/>
  <c r="V10" i="133"/>
  <c r="W9" i="133"/>
  <c r="Y9" i="133" s="1"/>
  <c r="V9" i="133"/>
  <c r="Q13" i="123"/>
  <c r="S13" i="123" s="1"/>
  <c r="U13" i="123" s="1"/>
  <c r="W13" i="123" s="1"/>
  <c r="Y13" i="123" s="1"/>
  <c r="U29" i="135"/>
  <c r="W29" i="135" s="1"/>
  <c r="W10" i="134"/>
  <c r="Y10" i="134" s="1"/>
  <c r="V10" i="134"/>
  <c r="W25" i="120"/>
  <c r="Y25" i="120" s="1"/>
  <c r="V25" i="120"/>
  <c r="W11" i="133" l="1"/>
  <c r="Y11" i="133" s="1"/>
  <c r="Z10" i="133"/>
  <c r="V13" i="132"/>
  <c r="Z11" i="133"/>
  <c r="V13" i="123"/>
  <c r="Z13" i="123" s="1"/>
  <c r="Z13" i="132"/>
  <c r="Z9" i="133"/>
  <c r="X29" i="135"/>
  <c r="Z10" i="134"/>
  <c r="Z25" i="120"/>
  <c r="G10" i="136" l="1"/>
  <c r="K9" i="136" l="1"/>
  <c r="L9" i="136" s="1"/>
  <c r="J9" i="136"/>
  <c r="J12" i="136" s="1"/>
  <c r="G9" i="136"/>
  <c r="J18" i="135"/>
  <c r="K18" i="135" s="1"/>
  <c r="I18" i="135"/>
  <c r="L10" i="120"/>
  <c r="M10" i="120" s="1"/>
  <c r="K10" i="120"/>
  <c r="S9" i="136" l="1"/>
  <c r="Q9" i="136"/>
  <c r="O9" i="136"/>
  <c r="M9" i="136"/>
  <c r="N9" i="136" s="1"/>
  <c r="R18" i="135"/>
  <c r="P18" i="135"/>
  <c r="N18" i="135"/>
  <c r="L18" i="135"/>
  <c r="M18" i="135" s="1"/>
  <c r="T10" i="120"/>
  <c r="R10" i="120"/>
  <c r="P10" i="120"/>
  <c r="N10" i="120"/>
  <c r="O10" i="120" s="1"/>
  <c r="P9" i="136" l="1"/>
  <c r="R9" i="136" s="1"/>
  <c r="T9" i="136" s="1"/>
  <c r="U9" i="136" s="1"/>
  <c r="U12" i="136" s="1"/>
  <c r="V9" i="136"/>
  <c r="O18" i="135"/>
  <c r="Q18" i="135" s="1"/>
  <c r="S18" i="135" s="1"/>
  <c r="T18" i="135" s="1"/>
  <c r="Q10" i="120"/>
  <c r="S10" i="120" s="1"/>
  <c r="U10" i="120" s="1"/>
  <c r="W10" i="120" s="1"/>
  <c r="Y10" i="120" s="1"/>
  <c r="X9" i="136" l="1"/>
  <c r="X12" i="136" s="1"/>
  <c r="V12" i="136"/>
  <c r="U18" i="135"/>
  <c r="W18" i="135" s="1"/>
  <c r="X18" i="135" s="1"/>
  <c r="Y9" i="136"/>
  <c r="Y12" i="136" s="1"/>
  <c r="V10" i="120"/>
  <c r="Z10" i="120" s="1"/>
  <c r="L12" i="134" l="1"/>
  <c r="M12" i="134" s="1"/>
  <c r="K12" i="134"/>
  <c r="K11" i="134" s="1"/>
  <c r="H12" i="134"/>
  <c r="X11" i="134"/>
  <c r="J11" i="134"/>
  <c r="I11" i="134"/>
  <c r="T12" i="134" l="1"/>
  <c r="R12" i="134"/>
  <c r="P12" i="134"/>
  <c r="N12" i="134"/>
  <c r="O12" i="134" s="1"/>
  <c r="Q12" i="134" l="1"/>
  <c r="S12" i="134" s="1"/>
  <c r="U12" i="134" s="1"/>
  <c r="W12" i="134"/>
  <c r="V12" i="134"/>
  <c r="V11" i="134" l="1"/>
  <c r="W11" i="134"/>
  <c r="Y12" i="134"/>
  <c r="Y11" i="134" s="1"/>
  <c r="Z12" i="134" l="1"/>
  <c r="Z11" i="134" s="1"/>
  <c r="W21" i="123" l="1"/>
  <c r="Y21" i="123" s="1"/>
  <c r="L21" i="123"/>
  <c r="M21" i="123" s="1"/>
  <c r="K21" i="123"/>
  <c r="T21" i="123" l="1"/>
  <c r="R21" i="123"/>
  <c r="P21" i="123"/>
  <c r="N21" i="123"/>
  <c r="O21" i="123" s="1"/>
  <c r="L22" i="120"/>
  <c r="M22" i="120" s="1"/>
  <c r="K22" i="120"/>
  <c r="L29" i="123"/>
  <c r="M29" i="123" s="1"/>
  <c r="K29" i="123"/>
  <c r="K28" i="123" s="1"/>
  <c r="H29" i="123"/>
  <c r="X28" i="123"/>
  <c r="J28" i="123"/>
  <c r="I28" i="123"/>
  <c r="L34" i="123"/>
  <c r="M34" i="123" s="1"/>
  <c r="K34" i="123"/>
  <c r="H34" i="123"/>
  <c r="L18" i="119"/>
  <c r="M18" i="119" s="1"/>
  <c r="K18" i="119"/>
  <c r="L27" i="121"/>
  <c r="M27" i="121" s="1"/>
  <c r="K27" i="121"/>
  <c r="W18" i="121"/>
  <c r="Y18" i="121" s="1"/>
  <c r="L18" i="121"/>
  <c r="M18" i="121" s="1"/>
  <c r="K18" i="121"/>
  <c r="L33" i="123"/>
  <c r="M33" i="123" s="1"/>
  <c r="K33" i="123"/>
  <c r="K32" i="123" s="1"/>
  <c r="H33" i="123"/>
  <c r="L15" i="120"/>
  <c r="M15" i="120" s="1"/>
  <c r="K15" i="120"/>
  <c r="Q21" i="123" l="1"/>
  <c r="S21" i="123" s="1"/>
  <c r="U21" i="123" s="1"/>
  <c r="V21" i="123" s="1"/>
  <c r="Z21" i="123" s="1"/>
  <c r="T22" i="120"/>
  <c r="R22" i="120"/>
  <c r="P22" i="120"/>
  <c r="N22" i="120"/>
  <c r="O22" i="120" s="1"/>
  <c r="T29" i="123"/>
  <c r="R29" i="123"/>
  <c r="P29" i="123"/>
  <c r="N29" i="123"/>
  <c r="O29" i="123" s="1"/>
  <c r="T34" i="123"/>
  <c r="R34" i="123"/>
  <c r="P34" i="123"/>
  <c r="N34" i="123"/>
  <c r="O34" i="123" s="1"/>
  <c r="T18" i="119"/>
  <c r="R18" i="119"/>
  <c r="P18" i="119"/>
  <c r="N18" i="119"/>
  <c r="O18" i="119" s="1"/>
  <c r="T27" i="121"/>
  <c r="R27" i="121"/>
  <c r="P27" i="121"/>
  <c r="N27" i="121"/>
  <c r="O27" i="121" s="1"/>
  <c r="P18" i="121"/>
  <c r="N18" i="121"/>
  <c r="O18" i="121" s="1"/>
  <c r="T18" i="121"/>
  <c r="R18" i="121"/>
  <c r="R33" i="123"/>
  <c r="P33" i="123"/>
  <c r="N33" i="123"/>
  <c r="O33" i="123" s="1"/>
  <c r="T33" i="123"/>
  <c r="T15" i="120"/>
  <c r="R15" i="120"/>
  <c r="P15" i="120"/>
  <c r="N15" i="120"/>
  <c r="O15" i="120" s="1"/>
  <c r="Q18" i="119" l="1"/>
  <c r="S18" i="119" s="1"/>
  <c r="U18" i="119" s="1"/>
  <c r="W18" i="119" s="1"/>
  <c r="Y18" i="119" s="1"/>
  <c r="Q27" i="121"/>
  <c r="S27" i="121"/>
  <c r="U27" i="121" s="1"/>
  <c r="Q18" i="121"/>
  <c r="S18" i="121" s="1"/>
  <c r="U18" i="121" s="1"/>
  <c r="V18" i="121" s="1"/>
  <c r="Z18" i="121" s="1"/>
  <c r="Q33" i="123"/>
  <c r="S33" i="123" s="1"/>
  <c r="Q22" i="120"/>
  <c r="S22" i="120" s="1"/>
  <c r="U22" i="120" s="1"/>
  <c r="Q29" i="123"/>
  <c r="S29" i="123" s="1"/>
  <c r="U29" i="123" s="1"/>
  <c r="V29" i="123" s="1"/>
  <c r="Q34" i="123"/>
  <c r="S34" i="123" s="1"/>
  <c r="U34" i="123" s="1"/>
  <c r="V34" i="123" s="1"/>
  <c r="Q15" i="120"/>
  <c r="S15" i="120" s="1"/>
  <c r="U15" i="120" s="1"/>
  <c r="V15" i="120" s="1"/>
  <c r="W27" i="121"/>
  <c r="Y27" i="121" s="1"/>
  <c r="V27" i="121"/>
  <c r="U33" i="123"/>
  <c r="V33" i="123" s="1"/>
  <c r="V32" i="123" l="1"/>
  <c r="W29" i="123"/>
  <c r="Y29" i="123" s="1"/>
  <c r="V18" i="119"/>
  <c r="V22" i="120"/>
  <c r="W22" i="120"/>
  <c r="Y22" i="120" s="1"/>
  <c r="W34" i="123"/>
  <c r="Y34" i="123" s="1"/>
  <c r="Z34" i="123" s="1"/>
  <c r="W15" i="120"/>
  <c r="Y15" i="120" s="1"/>
  <c r="Z15" i="120" s="1"/>
  <c r="Z29" i="123"/>
  <c r="V28" i="123"/>
  <c r="Y28" i="123"/>
  <c r="W28" i="123"/>
  <c r="W33" i="123"/>
  <c r="Z18" i="119"/>
  <c r="Z27" i="121"/>
  <c r="Y33" i="123" l="1"/>
  <c r="W32" i="123"/>
  <c r="Z22" i="120"/>
  <c r="Z28" i="123"/>
  <c r="Z33" i="123" l="1"/>
  <c r="Z32" i="123" s="1"/>
  <c r="Y32" i="123"/>
  <c r="H10" i="134"/>
  <c r="J28" i="135" l="1"/>
  <c r="K28" i="135" s="1"/>
  <c r="I28" i="135"/>
  <c r="R28" i="135" l="1"/>
  <c r="P28" i="135"/>
  <c r="N28" i="135"/>
  <c r="L28" i="135"/>
  <c r="M28" i="135" s="1"/>
  <c r="O28" i="135" l="1"/>
  <c r="Q28" i="135" s="1"/>
  <c r="S28" i="135" s="1"/>
  <c r="U28" i="135" s="1"/>
  <c r="W28" i="135" s="1"/>
  <c r="T28" i="135" l="1"/>
  <c r="X28" i="135" s="1"/>
  <c r="J14" i="135"/>
  <c r="K14" i="135" s="1"/>
  <c r="I14" i="135"/>
  <c r="J19" i="135"/>
  <c r="K19" i="135" s="1"/>
  <c r="I19" i="135"/>
  <c r="H31" i="135"/>
  <c r="X8" i="121"/>
  <c r="J8" i="121"/>
  <c r="I8" i="121"/>
  <c r="X16" i="119"/>
  <c r="J16" i="119"/>
  <c r="I16" i="119"/>
  <c r="L15" i="133"/>
  <c r="M15" i="133" s="1"/>
  <c r="K15" i="133"/>
  <c r="H15" i="133"/>
  <c r="X15" i="123"/>
  <c r="J15" i="123"/>
  <c r="I15" i="123"/>
  <c r="X11" i="123"/>
  <c r="J11" i="123"/>
  <c r="I11" i="123"/>
  <c r="L20" i="120"/>
  <c r="M20" i="120" s="1"/>
  <c r="K20" i="120"/>
  <c r="L14" i="133"/>
  <c r="M14" i="133" s="1"/>
  <c r="K14" i="133"/>
  <c r="L13" i="121"/>
  <c r="M13" i="121" s="1"/>
  <c r="K13" i="121"/>
  <c r="R14" i="135" l="1"/>
  <c r="P14" i="135"/>
  <c r="N14" i="135"/>
  <c r="L14" i="135"/>
  <c r="M14" i="135" s="1"/>
  <c r="R19" i="135"/>
  <c r="P19" i="135"/>
  <c r="N19" i="135"/>
  <c r="L19" i="135"/>
  <c r="M19" i="135" s="1"/>
  <c r="T15" i="133"/>
  <c r="R15" i="133"/>
  <c r="P15" i="133"/>
  <c r="N15" i="133"/>
  <c r="O15" i="133" s="1"/>
  <c r="T20" i="120"/>
  <c r="R20" i="120"/>
  <c r="P20" i="120"/>
  <c r="N20" i="120"/>
  <c r="O20" i="120" s="1"/>
  <c r="T14" i="133"/>
  <c r="R14" i="133"/>
  <c r="P14" i="133"/>
  <c r="N14" i="133"/>
  <c r="O14" i="133" s="1"/>
  <c r="T13" i="121"/>
  <c r="P13" i="121"/>
  <c r="R13" i="121"/>
  <c r="N13" i="121"/>
  <c r="O13" i="121" s="1"/>
  <c r="J30" i="135"/>
  <c r="K30" i="135" s="1"/>
  <c r="I30" i="135"/>
  <c r="J26" i="135"/>
  <c r="K26" i="135" s="1"/>
  <c r="I26" i="135"/>
  <c r="J25" i="135"/>
  <c r="K25" i="135" s="1"/>
  <c r="I25" i="135"/>
  <c r="J24" i="135"/>
  <c r="K24" i="135" s="1"/>
  <c r="R24" i="135" s="1"/>
  <c r="I24" i="135"/>
  <c r="J23" i="135"/>
  <c r="K23" i="135" s="1"/>
  <c r="R23" i="135" s="1"/>
  <c r="I23" i="135"/>
  <c r="J22" i="135"/>
  <c r="K22" i="135" s="1"/>
  <c r="I22" i="135"/>
  <c r="J21" i="135"/>
  <c r="K21" i="135" s="1"/>
  <c r="I21" i="135"/>
  <c r="J20" i="135"/>
  <c r="K20" i="135" s="1"/>
  <c r="R20" i="135" s="1"/>
  <c r="I20" i="135"/>
  <c r="J17" i="135"/>
  <c r="K17" i="135" s="1"/>
  <c r="R17" i="135" s="1"/>
  <c r="I17" i="135"/>
  <c r="J16" i="135"/>
  <c r="K16" i="135" s="1"/>
  <c r="I16" i="135"/>
  <c r="J15" i="135"/>
  <c r="K15" i="135" s="1"/>
  <c r="I15" i="135"/>
  <c r="L14" i="123"/>
  <c r="M14" i="123" s="1"/>
  <c r="K14" i="123"/>
  <c r="H14" i="123"/>
  <c r="X23" i="121"/>
  <c r="J23" i="121"/>
  <c r="I23" i="121"/>
  <c r="L22" i="121"/>
  <c r="M22" i="121" s="1"/>
  <c r="K22" i="121"/>
  <c r="X21" i="121"/>
  <c r="J21" i="121"/>
  <c r="I21" i="121"/>
  <c r="L28" i="121"/>
  <c r="M28" i="121" s="1"/>
  <c r="K28" i="121"/>
  <c r="A3" i="136"/>
  <c r="W20" i="119"/>
  <c r="Y20" i="119" s="1"/>
  <c r="Y19" i="119" s="1"/>
  <c r="L20" i="119"/>
  <c r="M20" i="119" s="1"/>
  <c r="K20" i="119"/>
  <c r="X19" i="119"/>
  <c r="J19" i="119"/>
  <c r="I19" i="119"/>
  <c r="Q14" i="133" l="1"/>
  <c r="Q15" i="133"/>
  <c r="S15" i="133" s="1"/>
  <c r="U15" i="133" s="1"/>
  <c r="S14" i="133"/>
  <c r="U14" i="133" s="1"/>
  <c r="Q20" i="120"/>
  <c r="O14" i="135"/>
  <c r="Q14" i="135" s="1"/>
  <c r="S14" i="135" s="1"/>
  <c r="T14" i="135" s="1"/>
  <c r="O19" i="135"/>
  <c r="Q19" i="135" s="1"/>
  <c r="S19" i="135" s="1"/>
  <c r="U19" i="135" s="1"/>
  <c r="W19" i="135" s="1"/>
  <c r="S20" i="120"/>
  <c r="U20" i="120" s="1"/>
  <c r="V20" i="120" s="1"/>
  <c r="W15" i="133"/>
  <c r="V15" i="133"/>
  <c r="W14" i="133"/>
  <c r="Y14" i="133" s="1"/>
  <c r="V14" i="133"/>
  <c r="Q13" i="121"/>
  <c r="S13" i="121" s="1"/>
  <c r="U13" i="121" s="1"/>
  <c r="P24" i="135"/>
  <c r="L20" i="135"/>
  <c r="M20" i="135" s="1"/>
  <c r="L24" i="135"/>
  <c r="M24" i="135" s="1"/>
  <c r="P20" i="135"/>
  <c r="P21" i="135"/>
  <c r="L21" i="135"/>
  <c r="M21" i="135" s="1"/>
  <c r="R21" i="135"/>
  <c r="N21" i="135"/>
  <c r="P25" i="135"/>
  <c r="L25" i="135"/>
  <c r="M25" i="135" s="1"/>
  <c r="R25" i="135"/>
  <c r="N25" i="135"/>
  <c r="P22" i="135"/>
  <c r="L22" i="135"/>
  <c r="M22" i="135" s="1"/>
  <c r="R22" i="135"/>
  <c r="N22" i="135"/>
  <c r="P26" i="135"/>
  <c r="L26" i="135"/>
  <c r="M26" i="135" s="1"/>
  <c r="N26" i="135"/>
  <c r="R26" i="135"/>
  <c r="R30" i="135"/>
  <c r="N30" i="135"/>
  <c r="L30" i="135"/>
  <c r="M30" i="135" s="1"/>
  <c r="P30" i="135"/>
  <c r="L23" i="135"/>
  <c r="M23" i="135" s="1"/>
  <c r="P23" i="135"/>
  <c r="N20" i="135"/>
  <c r="N24" i="135"/>
  <c r="N23" i="135"/>
  <c r="P16" i="135"/>
  <c r="L16" i="135"/>
  <c r="M16" i="135" s="1"/>
  <c r="R16" i="135"/>
  <c r="N16" i="135"/>
  <c r="P15" i="135"/>
  <c r="L15" i="135"/>
  <c r="M15" i="135" s="1"/>
  <c r="R15" i="135"/>
  <c r="N15" i="135"/>
  <c r="L17" i="135"/>
  <c r="M17" i="135" s="1"/>
  <c r="P17" i="135"/>
  <c r="N17" i="135"/>
  <c r="R14" i="123"/>
  <c r="N14" i="123"/>
  <c r="O14" i="123" s="1"/>
  <c r="T14" i="123"/>
  <c r="P14" i="123"/>
  <c r="T22" i="121"/>
  <c r="P22" i="121"/>
  <c r="R22" i="121"/>
  <c r="N22" i="121"/>
  <c r="O22" i="121" s="1"/>
  <c r="N28" i="121"/>
  <c r="O28" i="121" s="1"/>
  <c r="T28" i="121"/>
  <c r="P28" i="121"/>
  <c r="R28" i="121"/>
  <c r="W19" i="119"/>
  <c r="P20" i="119"/>
  <c r="R20" i="119"/>
  <c r="N20" i="119"/>
  <c r="O20" i="119" s="1"/>
  <c r="T20" i="119"/>
  <c r="K19" i="119"/>
  <c r="Y15" i="133" l="1"/>
  <c r="Q20" i="119"/>
  <c r="S20" i="119"/>
  <c r="U20" i="119" s="1"/>
  <c r="V19" i="119" s="1"/>
  <c r="W20" i="120"/>
  <c r="Y20" i="120" s="1"/>
  <c r="Z20" i="120" s="1"/>
  <c r="Z15" i="133"/>
  <c r="U14" i="135"/>
  <c r="W14" i="135" s="1"/>
  <c r="X14" i="135" s="1"/>
  <c r="T19" i="135"/>
  <c r="X19" i="135" s="1"/>
  <c r="V31" i="135"/>
  <c r="Z14" i="133"/>
  <c r="O30" i="135"/>
  <c r="O24" i="135"/>
  <c r="Q24" i="135" s="1"/>
  <c r="S24" i="135" s="1"/>
  <c r="U24" i="135" s="1"/>
  <c r="W24" i="135" s="1"/>
  <c r="W13" i="121"/>
  <c r="V13" i="121"/>
  <c r="O15" i="135"/>
  <c r="Q15" i="135" s="1"/>
  <c r="S15" i="135" s="1"/>
  <c r="T15" i="135" s="1"/>
  <c r="O22" i="135"/>
  <c r="Q22" i="135" s="1"/>
  <c r="S22" i="135" s="1"/>
  <c r="O25" i="135"/>
  <c r="Q25" i="135" s="1"/>
  <c r="S25" i="135" s="1"/>
  <c r="T25" i="135" s="1"/>
  <c r="O21" i="135"/>
  <c r="Q21" i="135" s="1"/>
  <c r="S21" i="135" s="1"/>
  <c r="U21" i="135" s="1"/>
  <c r="W21" i="135" s="1"/>
  <c r="Q30" i="135"/>
  <c r="S30" i="135" s="1"/>
  <c r="T30" i="135" s="1"/>
  <c r="O17" i="135"/>
  <c r="Q17" i="135" s="1"/>
  <c r="S17" i="135" s="1"/>
  <c r="O16" i="135"/>
  <c r="Q16" i="135" s="1"/>
  <c r="S16" i="135" s="1"/>
  <c r="U16" i="135" s="1"/>
  <c r="W16" i="135" s="1"/>
  <c r="O26" i="135"/>
  <c r="Q26" i="135" s="1"/>
  <c r="S26" i="135" s="1"/>
  <c r="U26" i="135" s="1"/>
  <c r="W26" i="135" s="1"/>
  <c r="U22" i="135"/>
  <c r="W22" i="135" s="1"/>
  <c r="T22" i="135"/>
  <c r="O23" i="135"/>
  <c r="Q23" i="135" s="1"/>
  <c r="S23" i="135" s="1"/>
  <c r="O20" i="135"/>
  <c r="Q20" i="135" s="1"/>
  <c r="S20" i="135" s="1"/>
  <c r="Q14" i="123"/>
  <c r="S14" i="123" s="1"/>
  <c r="U14" i="123" s="1"/>
  <c r="Y14" i="123" s="1"/>
  <c r="Q22" i="121"/>
  <c r="S22" i="121" s="1"/>
  <c r="U22" i="121" s="1"/>
  <c r="V22" i="121" s="1"/>
  <c r="Q28" i="121"/>
  <c r="S28" i="121" s="1"/>
  <c r="U28" i="121" s="1"/>
  <c r="V28" i="121" s="1"/>
  <c r="U30" i="135" l="1"/>
  <c r="W30" i="135" s="1"/>
  <c r="X30" i="135" s="1"/>
  <c r="T21" i="135"/>
  <c r="T24" i="135"/>
  <c r="U25" i="135"/>
  <c r="W25" i="135" s="1"/>
  <c r="Y13" i="121"/>
  <c r="Z13" i="121" s="1"/>
  <c r="X22" i="135"/>
  <c r="U15" i="135"/>
  <c r="W15" i="135" s="1"/>
  <c r="T26" i="135"/>
  <c r="T16" i="135"/>
  <c r="X24" i="135"/>
  <c r="X26" i="135"/>
  <c r="X21" i="135"/>
  <c r="U23" i="135"/>
  <c r="W23" i="135" s="1"/>
  <c r="T23" i="135"/>
  <c r="U20" i="135"/>
  <c r="W20" i="135" s="1"/>
  <c r="T20" i="135"/>
  <c r="X25" i="135"/>
  <c r="X16" i="135"/>
  <c r="T17" i="135"/>
  <c r="U17" i="135"/>
  <c r="W17" i="135" s="1"/>
  <c r="X15" i="135"/>
  <c r="V14" i="123"/>
  <c r="Z14" i="123" s="1"/>
  <c r="W22" i="121"/>
  <c r="Y22" i="121" s="1"/>
  <c r="Z22" i="121" s="1"/>
  <c r="W28" i="121"/>
  <c r="Y28" i="121" s="1"/>
  <c r="Z28" i="121" s="1"/>
  <c r="Z20" i="119"/>
  <c r="Z19" i="119" s="1"/>
  <c r="X20" i="135" l="1"/>
  <c r="X23" i="135"/>
  <c r="X17" i="135"/>
  <c r="J13" i="135"/>
  <c r="K13" i="135" s="1"/>
  <c r="I13" i="135"/>
  <c r="J11" i="135"/>
  <c r="K11" i="135" s="1"/>
  <c r="I11" i="135"/>
  <c r="L11" i="121"/>
  <c r="M11" i="121" s="1"/>
  <c r="K11" i="121"/>
  <c r="R13" i="135" l="1"/>
  <c r="N13" i="135"/>
  <c r="P13" i="135"/>
  <c r="L13" i="135"/>
  <c r="M13" i="135" s="1"/>
  <c r="R11" i="135"/>
  <c r="N11" i="135"/>
  <c r="P11" i="135"/>
  <c r="L11" i="135"/>
  <c r="M11" i="135" s="1"/>
  <c r="T11" i="121"/>
  <c r="P11" i="121"/>
  <c r="R11" i="121"/>
  <c r="N11" i="121"/>
  <c r="O11" i="121" s="1"/>
  <c r="O13" i="135" l="1"/>
  <c r="Q13" i="135" s="1"/>
  <c r="S13" i="135" s="1"/>
  <c r="O11" i="135"/>
  <c r="Q11" i="135" s="1"/>
  <c r="S11" i="135" s="1"/>
  <c r="T11" i="135" s="1"/>
  <c r="Q11" i="121"/>
  <c r="S11" i="121" s="1"/>
  <c r="U11" i="121" s="1"/>
  <c r="W11" i="121" s="1"/>
  <c r="Y11" i="121" l="1"/>
  <c r="T13" i="135"/>
  <c r="U13" i="135"/>
  <c r="W13" i="135" s="1"/>
  <c r="X13" i="135" s="1"/>
  <c r="U11" i="135"/>
  <c r="W11" i="135" s="1"/>
  <c r="X11" i="135" s="1"/>
  <c r="V11" i="121"/>
  <c r="Z11" i="121" l="1"/>
  <c r="A3" i="132"/>
  <c r="A3" i="133" s="1"/>
  <c r="A3" i="131"/>
  <c r="A3" i="118"/>
  <c r="A3" i="123"/>
  <c r="A3" i="121"/>
  <c r="A3" i="120"/>
  <c r="B3" i="134"/>
  <c r="L12" i="132" l="1"/>
  <c r="M12" i="132" s="1"/>
  <c r="K12" i="132"/>
  <c r="X19" i="123"/>
  <c r="J19" i="123"/>
  <c r="I19" i="123"/>
  <c r="T12" i="132" l="1"/>
  <c r="P12" i="132"/>
  <c r="R12" i="132"/>
  <c r="N12" i="132"/>
  <c r="O12" i="132" s="1"/>
  <c r="Q12" i="132" l="1"/>
  <c r="S12" i="132" s="1"/>
  <c r="U12" i="132" s="1"/>
  <c r="V12" i="132" s="1"/>
  <c r="W12" i="132" l="1"/>
  <c r="Y12" i="132" s="1"/>
  <c r="Z12" i="132" l="1"/>
  <c r="L27" i="123"/>
  <c r="M27" i="123" s="1"/>
  <c r="T27" i="123" s="1"/>
  <c r="K27" i="123"/>
  <c r="L16" i="121"/>
  <c r="M16" i="121" s="1"/>
  <c r="K16" i="121"/>
  <c r="I24" i="123"/>
  <c r="N27" i="123" l="1"/>
  <c r="O27" i="123" s="1"/>
  <c r="R27" i="123"/>
  <c r="P27" i="123"/>
  <c r="T16" i="121"/>
  <c r="P16" i="121"/>
  <c r="R16" i="121"/>
  <c r="N16" i="121"/>
  <c r="O16" i="121" s="1"/>
  <c r="J24" i="123"/>
  <c r="X24" i="123"/>
  <c r="J8" i="123"/>
  <c r="X8" i="123"/>
  <c r="I8" i="123"/>
  <c r="Q16" i="121" l="1"/>
  <c r="S16" i="121" s="1"/>
  <c r="U16" i="121" s="1"/>
  <c r="V16" i="121" s="1"/>
  <c r="Q27" i="123"/>
  <c r="S27" i="123" s="1"/>
  <c r="U27" i="123" s="1"/>
  <c r="V27" i="123" s="1"/>
  <c r="W16" i="121" l="1"/>
  <c r="Y16" i="121" s="1"/>
  <c r="Z16" i="121" s="1"/>
  <c r="W27" i="123"/>
  <c r="Y27" i="123" s="1"/>
  <c r="Z27" i="123" s="1"/>
  <c r="L25" i="123"/>
  <c r="K25" i="123"/>
  <c r="L26" i="120"/>
  <c r="M26" i="120" s="1"/>
  <c r="K26" i="120"/>
  <c r="M25" i="123" l="1"/>
  <c r="T25" i="123" s="1"/>
  <c r="T26" i="120"/>
  <c r="P26" i="120"/>
  <c r="R26" i="120"/>
  <c r="N26" i="120"/>
  <c r="O26" i="120" s="1"/>
  <c r="R25" i="123" l="1"/>
  <c r="Q26" i="120"/>
  <c r="S26" i="120" s="1"/>
  <c r="U26" i="120" s="1"/>
  <c r="N25" i="123"/>
  <c r="P25" i="123"/>
  <c r="W26" i="120" l="1"/>
  <c r="Y26" i="120" s="1"/>
  <c r="V26" i="120"/>
  <c r="O25" i="123"/>
  <c r="L20" i="123"/>
  <c r="K20" i="123"/>
  <c r="K19" i="123" s="1"/>
  <c r="L17" i="120"/>
  <c r="M17" i="120" s="1"/>
  <c r="K17" i="120"/>
  <c r="Z26" i="120" l="1"/>
  <c r="M20" i="123"/>
  <c r="M19" i="123" s="1"/>
  <c r="L19" i="123"/>
  <c r="Q25" i="123"/>
  <c r="R17" i="120"/>
  <c r="N17" i="120"/>
  <c r="O17" i="120" s="1"/>
  <c r="T17" i="120"/>
  <c r="P17" i="120"/>
  <c r="R20" i="123" l="1"/>
  <c r="R19" i="123" s="1"/>
  <c r="T20" i="123"/>
  <c r="T19" i="123" s="1"/>
  <c r="S25" i="123"/>
  <c r="N20" i="123"/>
  <c r="P20" i="123"/>
  <c r="P19" i="123" s="1"/>
  <c r="Q17" i="120"/>
  <c r="S17" i="120" s="1"/>
  <c r="U17" i="120" s="1"/>
  <c r="V17" i="120" s="1"/>
  <c r="O20" i="123" l="1"/>
  <c r="N19" i="123"/>
  <c r="U25" i="123"/>
  <c r="V25" i="123" s="1"/>
  <c r="W17" i="120"/>
  <c r="Y17" i="120" s="1"/>
  <c r="Z17" i="120" s="1"/>
  <c r="L16" i="133"/>
  <c r="M16" i="133" s="1"/>
  <c r="T16" i="133" s="1"/>
  <c r="K16" i="133"/>
  <c r="H16" i="133"/>
  <c r="L20" i="121"/>
  <c r="M20" i="121" s="1"/>
  <c r="K20" i="121"/>
  <c r="W25" i="123" l="1"/>
  <c r="O19" i="123"/>
  <c r="Q20" i="123"/>
  <c r="N16" i="133"/>
  <c r="O16" i="133" s="1"/>
  <c r="R16" i="133"/>
  <c r="P16" i="133"/>
  <c r="P20" i="121"/>
  <c r="R20" i="121"/>
  <c r="N20" i="121"/>
  <c r="O20" i="121" s="1"/>
  <c r="T20" i="121"/>
  <c r="S20" i="123" l="1"/>
  <c r="Q19" i="123"/>
  <c r="Y25" i="123"/>
  <c r="Q20" i="121"/>
  <c r="S20" i="121" s="1"/>
  <c r="U20" i="121" s="1"/>
  <c r="V20" i="121" s="1"/>
  <c r="Q16" i="133"/>
  <c r="S16" i="133" s="1"/>
  <c r="U16" i="133" s="1"/>
  <c r="W16" i="133" l="1"/>
  <c r="Y16" i="133" s="1"/>
  <c r="V16" i="133"/>
  <c r="W20" i="121"/>
  <c r="Y20" i="121" s="1"/>
  <c r="Z20" i="121" s="1"/>
  <c r="U20" i="123"/>
  <c r="V20" i="123" s="1"/>
  <c r="S19" i="123"/>
  <c r="Z25" i="123"/>
  <c r="Z16" i="133" l="1"/>
  <c r="W20" i="123"/>
  <c r="W19" i="123" s="1"/>
  <c r="U19" i="123"/>
  <c r="V19" i="123"/>
  <c r="Y20" i="123" l="1"/>
  <c r="Y19" i="123" s="1"/>
  <c r="K18" i="120"/>
  <c r="L18" i="120"/>
  <c r="M18" i="120" s="1"/>
  <c r="L11" i="120"/>
  <c r="M11" i="120" s="1"/>
  <c r="K11" i="120"/>
  <c r="L17" i="121"/>
  <c r="M17" i="121" s="1"/>
  <c r="K17" i="121"/>
  <c r="L26" i="123"/>
  <c r="K26" i="123"/>
  <c r="K24" i="123" s="1"/>
  <c r="L10" i="121"/>
  <c r="M10" i="121" s="1"/>
  <c r="K10" i="121"/>
  <c r="L9" i="121"/>
  <c r="M9" i="121" s="1"/>
  <c r="K9" i="121"/>
  <c r="L9" i="132"/>
  <c r="M9" i="132" s="1"/>
  <c r="K9" i="132"/>
  <c r="L11" i="132"/>
  <c r="M11" i="132" s="1"/>
  <c r="K11" i="132"/>
  <c r="J9" i="135"/>
  <c r="K9" i="135" s="1"/>
  <c r="I9" i="135"/>
  <c r="M26" i="123" l="1"/>
  <c r="M24" i="123" s="1"/>
  <c r="L24" i="123"/>
  <c r="Z20" i="123"/>
  <c r="Z19" i="123" s="1"/>
  <c r="P18" i="120"/>
  <c r="T18" i="120"/>
  <c r="N18" i="120"/>
  <c r="O18" i="120" s="1"/>
  <c r="R18" i="120"/>
  <c r="T11" i="120"/>
  <c r="N11" i="120"/>
  <c r="O11" i="120" s="1"/>
  <c r="R11" i="120"/>
  <c r="P11" i="120"/>
  <c r="T17" i="121"/>
  <c r="P17" i="121"/>
  <c r="R17" i="121"/>
  <c r="N17" i="121"/>
  <c r="O17" i="121" s="1"/>
  <c r="R10" i="121"/>
  <c r="N10" i="121"/>
  <c r="O10" i="121" s="1"/>
  <c r="T10" i="121"/>
  <c r="P10" i="121"/>
  <c r="R9" i="121"/>
  <c r="T9" i="121"/>
  <c r="P9" i="121"/>
  <c r="N9" i="121"/>
  <c r="O9" i="121" s="1"/>
  <c r="T9" i="132"/>
  <c r="P9" i="132"/>
  <c r="R9" i="132"/>
  <c r="N9" i="132"/>
  <c r="O9" i="132" s="1"/>
  <c r="P11" i="132"/>
  <c r="R11" i="132"/>
  <c r="N11" i="132"/>
  <c r="O11" i="132" s="1"/>
  <c r="T11" i="132"/>
  <c r="R9" i="135"/>
  <c r="N9" i="135"/>
  <c r="P9" i="135"/>
  <c r="L9" i="135"/>
  <c r="M9" i="135" s="1"/>
  <c r="T26" i="123" l="1"/>
  <c r="T24" i="123" s="1"/>
  <c r="R26" i="123"/>
  <c r="R24" i="123" s="1"/>
  <c r="Q17" i="121"/>
  <c r="S17" i="121" s="1"/>
  <c r="U17" i="121" s="1"/>
  <c r="N26" i="123"/>
  <c r="P26" i="123"/>
  <c r="P24" i="123" s="1"/>
  <c r="Q9" i="121"/>
  <c r="S9" i="121" s="1"/>
  <c r="U9" i="121" s="1"/>
  <c r="Q10" i="121"/>
  <c r="S10" i="121" s="1"/>
  <c r="U10" i="121" s="1"/>
  <c r="Q18" i="120"/>
  <c r="S18" i="120" s="1"/>
  <c r="U18" i="120" s="1"/>
  <c r="Q11" i="120"/>
  <c r="S11" i="120" s="1"/>
  <c r="U11" i="120" s="1"/>
  <c r="V11" i="120" s="1"/>
  <c r="O9" i="135"/>
  <c r="Q9" i="135" s="1"/>
  <c r="S9" i="135" s="1"/>
  <c r="T9" i="135" s="1"/>
  <c r="Q11" i="132"/>
  <c r="S11" i="132" s="1"/>
  <c r="U11" i="132" s="1"/>
  <c r="V11" i="132" s="1"/>
  <c r="Q9" i="132"/>
  <c r="S9" i="132" s="1"/>
  <c r="U9" i="132" s="1"/>
  <c r="W10" i="121" l="1"/>
  <c r="V10" i="121"/>
  <c r="W17" i="121"/>
  <c r="Y17" i="121" s="1"/>
  <c r="V17" i="121"/>
  <c r="W9" i="132"/>
  <c r="Y9" i="132" s="1"/>
  <c r="V9" i="132"/>
  <c r="W18" i="120"/>
  <c r="Y18" i="120" s="1"/>
  <c r="V18" i="120"/>
  <c r="W9" i="121"/>
  <c r="Y9" i="121" s="1"/>
  <c r="V9" i="121"/>
  <c r="O26" i="123"/>
  <c r="N24" i="123"/>
  <c r="U9" i="135"/>
  <c r="W11" i="120"/>
  <c r="Y11" i="120" s="1"/>
  <c r="Z11" i="120" s="1"/>
  <c r="W11" i="132"/>
  <c r="Y11" i="132" s="1"/>
  <c r="Z11" i="132" s="1"/>
  <c r="Y10" i="121" l="1"/>
  <c r="Z10" i="121" s="1"/>
  <c r="W9" i="135"/>
  <c r="Z9" i="132"/>
  <c r="Z18" i="120"/>
  <c r="Z17" i="121"/>
  <c r="Z9" i="121"/>
  <c r="O24" i="123"/>
  <c r="Q26" i="123"/>
  <c r="X9" i="135"/>
  <c r="S26" i="123" l="1"/>
  <c r="Q24" i="123"/>
  <c r="L25" i="121"/>
  <c r="M25" i="121" s="1"/>
  <c r="K25" i="121"/>
  <c r="L24" i="121"/>
  <c r="M24" i="121" s="1"/>
  <c r="T24" i="121" s="1"/>
  <c r="K24" i="121"/>
  <c r="L14" i="121"/>
  <c r="M14" i="121" s="1"/>
  <c r="K14" i="121"/>
  <c r="L14" i="120"/>
  <c r="M14" i="120" s="1"/>
  <c r="K14" i="120"/>
  <c r="L19" i="120"/>
  <c r="M19" i="120" s="1"/>
  <c r="K19" i="120"/>
  <c r="J12" i="135"/>
  <c r="K12" i="135" s="1"/>
  <c r="I12" i="135"/>
  <c r="K23" i="121" l="1"/>
  <c r="U26" i="123"/>
  <c r="V26" i="123" s="1"/>
  <c r="S24" i="123"/>
  <c r="T25" i="121"/>
  <c r="P25" i="121"/>
  <c r="R25" i="121"/>
  <c r="N25" i="121"/>
  <c r="O25" i="121" s="1"/>
  <c r="N24" i="121"/>
  <c r="O24" i="121" s="1"/>
  <c r="R24" i="121"/>
  <c r="P24" i="121"/>
  <c r="R14" i="121"/>
  <c r="N14" i="121"/>
  <c r="O14" i="121" s="1"/>
  <c r="T14" i="121"/>
  <c r="P14" i="121"/>
  <c r="P14" i="120"/>
  <c r="T14" i="120"/>
  <c r="R14" i="120"/>
  <c r="N14" i="120"/>
  <c r="O14" i="120" s="1"/>
  <c r="T19" i="120"/>
  <c r="P19" i="120"/>
  <c r="R19" i="120"/>
  <c r="N19" i="120"/>
  <c r="O19" i="120" s="1"/>
  <c r="R12" i="135"/>
  <c r="N12" i="135"/>
  <c r="P12" i="135"/>
  <c r="L12" i="135"/>
  <c r="M12" i="135" s="1"/>
  <c r="U24" i="123" l="1"/>
  <c r="W26" i="123"/>
  <c r="Q19" i="120"/>
  <c r="S19" i="120" s="1"/>
  <c r="U19" i="120" s="1"/>
  <c r="V19" i="120" s="1"/>
  <c r="Q14" i="120"/>
  <c r="S14" i="120" s="1"/>
  <c r="U14" i="120" s="1"/>
  <c r="V14" i="120" s="1"/>
  <c r="Q25" i="121"/>
  <c r="S25" i="121" s="1"/>
  <c r="U25" i="121" s="1"/>
  <c r="V25" i="121" s="1"/>
  <c r="Q24" i="121"/>
  <c r="S24" i="121" s="1"/>
  <c r="U24" i="121" s="1"/>
  <c r="W25" i="121"/>
  <c r="Y25" i="121" s="1"/>
  <c r="Q14" i="121"/>
  <c r="S14" i="121" s="1"/>
  <c r="U14" i="121" s="1"/>
  <c r="V14" i="121" s="1"/>
  <c r="O12" i="135"/>
  <c r="Q12" i="135" s="1"/>
  <c r="S12" i="135" s="1"/>
  <c r="T12" i="135" s="1"/>
  <c r="W24" i="121" l="1"/>
  <c r="W23" i="121" s="1"/>
  <c r="V24" i="121"/>
  <c r="V23" i="121" s="1"/>
  <c r="V24" i="123"/>
  <c r="W24" i="123"/>
  <c r="Y26" i="123"/>
  <c r="Y24" i="123" s="1"/>
  <c r="W19" i="120"/>
  <c r="Y19" i="120" s="1"/>
  <c r="W14" i="120"/>
  <c r="Y14" i="120" s="1"/>
  <c r="Z14" i="120" s="1"/>
  <c r="Z25" i="121"/>
  <c r="W14" i="121"/>
  <c r="Y14" i="121" s="1"/>
  <c r="Z14" i="121" s="1"/>
  <c r="U12" i="135"/>
  <c r="W12" i="135" s="1"/>
  <c r="Y24" i="121" l="1"/>
  <c r="Y23" i="121" s="1"/>
  <c r="Z19" i="120"/>
  <c r="Z26" i="123"/>
  <c r="Z24" i="123" s="1"/>
  <c r="X12" i="135"/>
  <c r="Z24" i="121" l="1"/>
  <c r="Z23" i="121" s="1"/>
  <c r="L13" i="133"/>
  <c r="M13" i="133" s="1"/>
  <c r="K13" i="133"/>
  <c r="L10" i="118"/>
  <c r="M10" i="118" s="1"/>
  <c r="T10" i="118" s="1"/>
  <c r="K10" i="118"/>
  <c r="L10" i="119"/>
  <c r="M10" i="119" s="1"/>
  <c r="K10" i="119"/>
  <c r="L16" i="123"/>
  <c r="M16" i="123" s="1"/>
  <c r="K16" i="123"/>
  <c r="T13" i="133" l="1"/>
  <c r="P13" i="133"/>
  <c r="R13" i="133"/>
  <c r="N13" i="133"/>
  <c r="O13" i="133" s="1"/>
  <c r="N10" i="118"/>
  <c r="O10" i="118" s="1"/>
  <c r="R10" i="118"/>
  <c r="P10" i="118"/>
  <c r="T10" i="119"/>
  <c r="R10" i="119"/>
  <c r="N10" i="119"/>
  <c r="O10" i="119" s="1"/>
  <c r="P10" i="119"/>
  <c r="T16" i="123"/>
  <c r="P16" i="123"/>
  <c r="R16" i="123"/>
  <c r="N16" i="123"/>
  <c r="O16" i="123" s="1"/>
  <c r="Q10" i="119" l="1"/>
  <c r="S10" i="119"/>
  <c r="U10" i="119" s="1"/>
  <c r="Q16" i="123"/>
  <c r="S16" i="123" s="1"/>
  <c r="U16" i="123" s="1"/>
  <c r="V16" i="123" s="1"/>
  <c r="Q13" i="133"/>
  <c r="S13" i="133" s="1"/>
  <c r="U13" i="133" s="1"/>
  <c r="Q10" i="118"/>
  <c r="S10" i="118" s="1"/>
  <c r="U10" i="118" s="1"/>
  <c r="V10" i="118" s="1"/>
  <c r="W10" i="119" l="1"/>
  <c r="V10" i="119"/>
  <c r="W13" i="133"/>
  <c r="Y13" i="133" s="1"/>
  <c r="V13" i="133"/>
  <c r="W10" i="118"/>
  <c r="Y10" i="118" s="1"/>
  <c r="W16" i="123"/>
  <c r="Y16" i="123" l="1"/>
  <c r="Y10" i="119"/>
  <c r="Z10" i="119" s="1"/>
  <c r="Z13" i="133"/>
  <c r="Z10" i="118"/>
  <c r="Z16" i="123"/>
  <c r="L12" i="123"/>
  <c r="M12" i="123" s="1"/>
  <c r="K12" i="123"/>
  <c r="K11" i="123" s="1"/>
  <c r="L31" i="123"/>
  <c r="M31" i="123" s="1"/>
  <c r="K31" i="123"/>
  <c r="L9" i="120"/>
  <c r="M9" i="120" s="1"/>
  <c r="K9" i="120"/>
  <c r="L17" i="119"/>
  <c r="M17" i="119" s="1"/>
  <c r="K17" i="119"/>
  <c r="K16" i="119" s="1"/>
  <c r="L15" i="119"/>
  <c r="M15" i="119" s="1"/>
  <c r="K15" i="119"/>
  <c r="T12" i="123" l="1"/>
  <c r="P12" i="123"/>
  <c r="R12" i="123"/>
  <c r="N12" i="123"/>
  <c r="O12" i="123" s="1"/>
  <c r="R31" i="123"/>
  <c r="N31" i="123"/>
  <c r="O31" i="123" s="1"/>
  <c r="T31" i="123"/>
  <c r="P31" i="123"/>
  <c r="T9" i="120"/>
  <c r="P9" i="120"/>
  <c r="R9" i="120"/>
  <c r="N9" i="120"/>
  <c r="O9" i="120" s="1"/>
  <c r="T17" i="119"/>
  <c r="P17" i="119"/>
  <c r="R17" i="119"/>
  <c r="N17" i="119"/>
  <c r="O17" i="119" s="1"/>
  <c r="T15" i="119"/>
  <c r="P15" i="119"/>
  <c r="R15" i="119"/>
  <c r="N15" i="119"/>
  <c r="O15" i="119" s="1"/>
  <c r="X13" i="134"/>
  <c r="J13" i="134"/>
  <c r="I13" i="134"/>
  <c r="L14" i="134"/>
  <c r="M14" i="134" s="1"/>
  <c r="K14" i="134"/>
  <c r="K13" i="134" s="1"/>
  <c r="H14" i="134"/>
  <c r="Q15" i="119" l="1"/>
  <c r="S15" i="119" s="1"/>
  <c r="U15" i="119" s="1"/>
  <c r="Q9" i="120"/>
  <c r="S9" i="120" s="1"/>
  <c r="U9" i="120" s="1"/>
  <c r="V9" i="120" s="1"/>
  <c r="Q12" i="123"/>
  <c r="S12" i="123" s="1"/>
  <c r="U12" i="123" s="1"/>
  <c r="Q31" i="123"/>
  <c r="S31" i="123" s="1"/>
  <c r="U31" i="123" s="1"/>
  <c r="Q17" i="119"/>
  <c r="S17" i="119" s="1"/>
  <c r="U17" i="119" s="1"/>
  <c r="R14" i="134"/>
  <c r="N14" i="134"/>
  <c r="O14" i="134" s="1"/>
  <c r="P14" i="134"/>
  <c r="T14" i="134"/>
  <c r="W17" i="119" l="1"/>
  <c r="V17" i="119"/>
  <c r="V16" i="119" s="1"/>
  <c r="W12" i="123"/>
  <c r="V12" i="123"/>
  <c r="V11" i="123" s="1"/>
  <c r="W31" i="123"/>
  <c r="Y31" i="123" s="1"/>
  <c r="V31" i="123"/>
  <c r="W15" i="119"/>
  <c r="Y15" i="119" s="1"/>
  <c r="V15" i="119"/>
  <c r="Q14" i="134"/>
  <c r="S14" i="134" s="1"/>
  <c r="U14" i="134" s="1"/>
  <c r="V14" i="134" s="1"/>
  <c r="W9" i="120"/>
  <c r="Y9" i="120" s="1"/>
  <c r="Z9" i="120" s="1"/>
  <c r="Y17" i="119" l="1"/>
  <c r="Y16" i="119" s="1"/>
  <c r="W16" i="119"/>
  <c r="Y12" i="123"/>
  <c r="Y11" i="123" s="1"/>
  <c r="W11" i="123"/>
  <c r="Z31" i="123"/>
  <c r="Z15" i="119"/>
  <c r="Z12" i="123"/>
  <c r="Z11" i="123" s="1"/>
  <c r="Z17" i="119"/>
  <c r="Z16" i="119" s="1"/>
  <c r="W14" i="134"/>
  <c r="V13" i="134"/>
  <c r="Y14" i="134" l="1"/>
  <c r="W13" i="134"/>
  <c r="Y13" i="134" l="1"/>
  <c r="Z14" i="134"/>
  <c r="Z13" i="134" s="1"/>
  <c r="L19" i="121" l="1"/>
  <c r="M19" i="121" s="1"/>
  <c r="K19" i="121"/>
  <c r="K8" i="121" s="1"/>
  <c r="N19" i="121" l="1"/>
  <c r="O19" i="121" s="1"/>
  <c r="T19" i="121"/>
  <c r="P19" i="121"/>
  <c r="R19" i="121"/>
  <c r="Q19" i="121" l="1"/>
  <c r="S19" i="121" s="1"/>
  <c r="U19" i="121" s="1"/>
  <c r="V19" i="121" s="1"/>
  <c r="V8" i="121" s="1"/>
  <c r="W19" i="121" l="1"/>
  <c r="L10" i="123"/>
  <c r="M10" i="123" s="1"/>
  <c r="K10" i="123"/>
  <c r="Y19" i="121" l="1"/>
  <c r="Y8" i="121" s="1"/>
  <c r="W8" i="121"/>
  <c r="T10" i="123"/>
  <c r="P10" i="123"/>
  <c r="R10" i="123"/>
  <c r="N10" i="123"/>
  <c r="O10" i="123" s="1"/>
  <c r="Z19" i="121"/>
  <c r="Z8" i="121" s="1"/>
  <c r="Q10" i="123" l="1"/>
  <c r="S10" i="123" s="1"/>
  <c r="U10" i="123" s="1"/>
  <c r="V10" i="123" s="1"/>
  <c r="W10" i="123" l="1"/>
  <c r="Y10" i="123" s="1"/>
  <c r="Z10" i="123" s="1"/>
  <c r="J10" i="135" l="1"/>
  <c r="K10" i="135" s="1"/>
  <c r="I10" i="135"/>
  <c r="I31" i="135" s="1"/>
  <c r="R10" i="135" l="1"/>
  <c r="L10" i="135"/>
  <c r="M10" i="135" s="1"/>
  <c r="N10" i="135"/>
  <c r="P10" i="135"/>
  <c r="L10" i="132"/>
  <c r="M10" i="132" s="1"/>
  <c r="K10" i="132"/>
  <c r="G31" i="135"/>
  <c r="L12" i="120"/>
  <c r="M12" i="120" s="1"/>
  <c r="K12" i="120"/>
  <c r="H12" i="120"/>
  <c r="O10" i="135" l="1"/>
  <c r="Q10" i="135" s="1"/>
  <c r="S10" i="135" s="1"/>
  <c r="T10" i="135" s="1"/>
  <c r="T31" i="135" s="1"/>
  <c r="R10" i="132"/>
  <c r="T10" i="132"/>
  <c r="N10" i="132"/>
  <c r="O10" i="132" s="1"/>
  <c r="P10" i="132"/>
  <c r="R12" i="120"/>
  <c r="N12" i="120"/>
  <c r="O12" i="120" s="1"/>
  <c r="P12" i="120"/>
  <c r="T12" i="120"/>
  <c r="Q10" i="132" l="1"/>
  <c r="S10" i="132" s="1"/>
  <c r="U10" i="132" s="1"/>
  <c r="V10" i="132" s="1"/>
  <c r="Q12" i="120"/>
  <c r="S12" i="120" s="1"/>
  <c r="U12" i="120" s="1"/>
  <c r="V12" i="120" s="1"/>
  <c r="U10" i="135"/>
  <c r="W10" i="135" l="1"/>
  <c r="W31" i="135" s="1"/>
  <c r="U31" i="135"/>
  <c r="W12" i="120"/>
  <c r="Y12" i="120" s="1"/>
  <c r="Z12" i="120" s="1"/>
  <c r="W10" i="132"/>
  <c r="Y10" i="132" s="1"/>
  <c r="X10" i="135"/>
  <c r="X31" i="135" s="1"/>
  <c r="Z10" i="132" l="1"/>
  <c r="L9" i="123" l="1"/>
  <c r="K9" i="123"/>
  <c r="K8" i="123" s="1"/>
  <c r="X9" i="134"/>
  <c r="X15" i="134" s="1"/>
  <c r="J9" i="134"/>
  <c r="J15" i="134" s="1"/>
  <c r="I9" i="134"/>
  <c r="I15" i="134" s="1"/>
  <c r="M9" i="123" l="1"/>
  <c r="M8" i="123" s="1"/>
  <c r="L8" i="123"/>
  <c r="K9" i="134"/>
  <c r="K15" i="134" s="1"/>
  <c r="N9" i="123" l="1"/>
  <c r="N8" i="123" s="1"/>
  <c r="R9" i="123"/>
  <c r="R8" i="123" s="1"/>
  <c r="T9" i="123"/>
  <c r="T8" i="123" s="1"/>
  <c r="P9" i="123"/>
  <c r="P8" i="123" s="1"/>
  <c r="O9" i="123" l="1"/>
  <c r="O8" i="123" s="1"/>
  <c r="Q9" i="123"/>
  <c r="S9" i="123" s="1"/>
  <c r="W9" i="134"/>
  <c r="W15" i="134" s="1"/>
  <c r="Q8" i="123" l="1"/>
  <c r="U9" i="123"/>
  <c r="V9" i="123" s="1"/>
  <c r="S8" i="123"/>
  <c r="V9" i="134"/>
  <c r="V15" i="134" s="1"/>
  <c r="Y9" i="134"/>
  <c r="Y15" i="134" s="1"/>
  <c r="U8" i="123" l="1"/>
  <c r="W9" i="123"/>
  <c r="Z9" i="134"/>
  <c r="Z15" i="134" s="1"/>
  <c r="V8" i="123" l="1"/>
  <c r="Y9" i="123"/>
  <c r="Y8" i="123" s="1"/>
  <c r="W8" i="123"/>
  <c r="L12" i="133"/>
  <c r="M12" i="133" s="1"/>
  <c r="K12" i="133"/>
  <c r="K17" i="133" s="1"/>
  <c r="Z9" i="123" l="1"/>
  <c r="Z8" i="123" s="1"/>
  <c r="N12" i="133"/>
  <c r="O12" i="133" s="1"/>
  <c r="P12" i="133"/>
  <c r="R12" i="133"/>
  <c r="T12" i="133"/>
  <c r="Q12" i="133" l="1"/>
  <c r="S12" i="133" s="1"/>
  <c r="U12" i="133" s="1"/>
  <c r="V12" i="133" s="1"/>
  <c r="V17" i="133" s="1"/>
  <c r="W12" i="133" l="1"/>
  <c r="W17" i="133" s="1"/>
  <c r="Y12" i="133" l="1"/>
  <c r="Y17" i="133" s="1"/>
  <c r="Z12" i="133"/>
  <c r="Z17" i="133" s="1"/>
  <c r="K12" i="136" l="1"/>
  <c r="S12" i="136" l="1"/>
  <c r="Q12" i="136"/>
  <c r="O12" i="136"/>
  <c r="L12" i="136"/>
  <c r="M12" i="136" l="1"/>
  <c r="N12" i="136"/>
  <c r="P12" i="136" l="1"/>
  <c r="R12" i="136" l="1"/>
  <c r="T12" i="136" l="1"/>
  <c r="J12" i="131" l="1"/>
  <c r="L12" i="131" l="1"/>
  <c r="L9" i="119"/>
  <c r="M9" i="119" s="1"/>
  <c r="K9" i="119"/>
  <c r="M12" i="131" l="1"/>
  <c r="N12" i="131" s="1"/>
  <c r="Q12" i="131"/>
  <c r="O12" i="131"/>
  <c r="R9" i="119"/>
  <c r="N9" i="119"/>
  <c r="O9" i="119" s="1"/>
  <c r="S12" i="131"/>
  <c r="T9" i="119"/>
  <c r="P9" i="119"/>
  <c r="P12" i="131" l="1"/>
  <c r="R12" i="131" s="1"/>
  <c r="T12" i="131"/>
  <c r="Q9" i="119"/>
  <c r="S9" i="119" s="1"/>
  <c r="U9" i="119" s="1"/>
  <c r="V9" i="119" s="1"/>
  <c r="W9" i="119" l="1"/>
  <c r="U12" i="131"/>
  <c r="V12" i="131"/>
  <c r="X12" i="131" s="1"/>
  <c r="Y9" i="119" l="1"/>
  <c r="Y12" i="131"/>
  <c r="Z9" i="119"/>
  <c r="L11" i="118" l="1"/>
  <c r="M11" i="118" s="1"/>
  <c r="L12" i="118"/>
  <c r="M12" i="118" s="1"/>
  <c r="L17" i="123"/>
  <c r="M17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R17" i="123"/>
  <c r="N17" i="123"/>
  <c r="O17" i="123" s="1"/>
  <c r="P17" i="123"/>
  <c r="T17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V21" i="121"/>
  <c r="Q13" i="119"/>
  <c r="S13" i="119" s="1"/>
  <c r="U13" i="119" s="1"/>
  <c r="Q12" i="118"/>
  <c r="S12" i="118" s="1"/>
  <c r="U12" i="118" s="1"/>
  <c r="V12" i="118" s="1"/>
  <c r="Q17" i="123"/>
  <c r="S17" i="123" s="1"/>
  <c r="U17" i="123" s="1"/>
  <c r="V17" i="123" s="1"/>
  <c r="V15" i="123" s="1"/>
  <c r="J13" i="131"/>
  <c r="L13" i="131" s="1"/>
  <c r="W11" i="119" l="1"/>
  <c r="W8" i="119" s="1"/>
  <c r="V11" i="119"/>
  <c r="V8" i="119" s="1"/>
  <c r="W13" i="119"/>
  <c r="V13" i="119"/>
  <c r="W11" i="118"/>
  <c r="W21" i="121"/>
  <c r="W17" i="123"/>
  <c r="W15" i="123" s="1"/>
  <c r="W12" i="118"/>
  <c r="Q13" i="131"/>
  <c r="M13" i="131"/>
  <c r="N13" i="131" s="1"/>
  <c r="O13" i="131"/>
  <c r="S13" i="131"/>
  <c r="Y11" i="119" l="1"/>
  <c r="Y8" i="119" s="1"/>
  <c r="P13" i="131"/>
  <c r="R13" i="131" s="1"/>
  <c r="T13" i="131" s="1"/>
  <c r="H13" i="131"/>
  <c r="V13" i="131" l="1"/>
  <c r="X13" i="131" s="1"/>
  <c r="U13" i="131"/>
  <c r="Y13" i="131" l="1"/>
  <c r="P31" i="135" l="1"/>
  <c r="L31" i="135"/>
  <c r="J31" i="135"/>
  <c r="K31" i="135" l="1"/>
  <c r="M31" i="135" l="1"/>
  <c r="J17" i="131" l="1"/>
  <c r="L17" i="131" s="1"/>
  <c r="J16" i="131"/>
  <c r="L16" i="131" s="1"/>
  <c r="J15" i="131"/>
  <c r="L15" i="131" s="1"/>
  <c r="J14" i="131"/>
  <c r="L14" i="131" s="1"/>
  <c r="J11" i="131"/>
  <c r="L11" i="131" s="1"/>
  <c r="J10" i="131"/>
  <c r="J9" i="131"/>
  <c r="L9" i="131" s="1"/>
  <c r="L10" i="131" l="1"/>
  <c r="M14" i="131"/>
  <c r="N14" i="131" s="1"/>
  <c r="Q14" i="131"/>
  <c r="O14" i="131"/>
  <c r="Q15" i="131"/>
  <c r="M15" i="131"/>
  <c r="N15" i="131" s="1"/>
  <c r="O15" i="131"/>
  <c r="M16" i="131"/>
  <c r="N16" i="131" s="1"/>
  <c r="Q16" i="131"/>
  <c r="O16" i="131"/>
  <c r="O9" i="131"/>
  <c r="M9" i="131"/>
  <c r="N9" i="131" s="1"/>
  <c r="S9" i="131"/>
  <c r="Q9" i="131"/>
  <c r="M10" i="131"/>
  <c r="N10" i="131" s="1"/>
  <c r="Q10" i="131"/>
  <c r="Q11" i="131"/>
  <c r="M11" i="131"/>
  <c r="N11" i="131" s="1"/>
  <c r="O11" i="131"/>
  <c r="Q17" i="131"/>
  <c r="M17" i="131"/>
  <c r="N17" i="131" s="1"/>
  <c r="O17" i="131"/>
  <c r="S16" i="131"/>
  <c r="O10" i="131"/>
  <c r="S10" i="131"/>
  <c r="S11" i="131"/>
  <c r="S17" i="131"/>
  <c r="S15" i="131"/>
  <c r="S14" i="131"/>
  <c r="X27" i="120"/>
  <c r="J27" i="120"/>
  <c r="P16" i="131" l="1"/>
  <c r="P10" i="131"/>
  <c r="R10" i="131" s="1"/>
  <c r="T10" i="131" s="1"/>
  <c r="V10" i="131" s="1"/>
  <c r="X10" i="131" s="1"/>
  <c r="P9" i="131"/>
  <c r="R9" i="131" s="1"/>
  <c r="T9" i="131" s="1"/>
  <c r="P15" i="131"/>
  <c r="R15" i="131" s="1"/>
  <c r="T15" i="131" s="1"/>
  <c r="V15" i="131" s="1"/>
  <c r="P14" i="131"/>
  <c r="R14" i="131" s="1"/>
  <c r="T14" i="131" s="1"/>
  <c r="V14" i="131" s="1"/>
  <c r="P17" i="131"/>
  <c r="R17" i="131" s="1"/>
  <c r="T17" i="131" s="1"/>
  <c r="V17" i="131" s="1"/>
  <c r="P11" i="131"/>
  <c r="R11" i="131" s="1"/>
  <c r="T11" i="131" s="1"/>
  <c r="V11" i="131" s="1"/>
  <c r="R16" i="131"/>
  <c r="T16" i="131" s="1"/>
  <c r="V16" i="131" s="1"/>
  <c r="U9" i="131" l="1"/>
  <c r="V9" i="131"/>
  <c r="R15" i="134" l="1"/>
  <c r="N15" i="134"/>
  <c r="L15" i="134"/>
  <c r="M15" i="134" l="1"/>
  <c r="P15" i="134" l="1"/>
  <c r="O15" i="134"/>
  <c r="X26" i="121" l="1"/>
  <c r="X30" i="121" s="1"/>
  <c r="J26" i="121"/>
  <c r="J30" i="121" s="1"/>
  <c r="Q15" i="134" l="1"/>
  <c r="S15" i="134"/>
  <c r="H10" i="121" l="1"/>
  <c r="K13" i="119" l="1"/>
  <c r="I26" i="121" l="1"/>
  <c r="I30" i="121" s="1"/>
  <c r="K26" i="121" l="1"/>
  <c r="K17" i="123" l="1"/>
  <c r="K15" i="123" s="1"/>
  <c r="K21" i="121" l="1"/>
  <c r="K30" i="121" s="1"/>
  <c r="R17" i="133" l="1"/>
  <c r="N17" i="133"/>
  <c r="L17" i="133"/>
  <c r="O17" i="133" l="1"/>
  <c r="M17" i="133" l="1"/>
  <c r="K11" i="118" l="1"/>
  <c r="X14" i="118" l="1"/>
  <c r="J14" i="118"/>
  <c r="I8" i="119" l="1"/>
  <c r="X30" i="123" l="1"/>
  <c r="X39" i="123" s="1"/>
  <c r="K30" i="123"/>
  <c r="K39" i="123" s="1"/>
  <c r="J30" i="123"/>
  <c r="J39" i="123" s="1"/>
  <c r="I30" i="123"/>
  <c r="I39" i="123" s="1"/>
  <c r="H17" i="123"/>
  <c r="H19" i="121" l="1"/>
  <c r="H13" i="121"/>
  <c r="H9" i="121"/>
  <c r="X14" i="119" l="1"/>
  <c r="J14" i="119"/>
  <c r="X12" i="119"/>
  <c r="X22" i="119" s="1"/>
  <c r="J12" i="119"/>
  <c r="J22" i="119" s="1"/>
  <c r="I12" i="119"/>
  <c r="I22" i="119" s="1"/>
  <c r="K11" i="119"/>
  <c r="K8" i="119" s="1"/>
  <c r="Z11" i="119" l="1"/>
  <c r="Z8" i="119" s="1"/>
  <c r="X17" i="132"/>
  <c r="R17" i="132"/>
  <c r="N17" i="132"/>
  <c r="L17" i="132"/>
  <c r="J17" i="132"/>
  <c r="I17" i="132" l="1"/>
  <c r="K17" i="132" l="1"/>
  <c r="T17" i="132"/>
  <c r="O17" i="132"/>
  <c r="M17" i="132"/>
  <c r="K12" i="119" l="1"/>
  <c r="H10" i="131" l="1"/>
  <c r="H11" i="131"/>
  <c r="H12" i="131"/>
  <c r="H14" i="131"/>
  <c r="H15" i="131"/>
  <c r="H16" i="131"/>
  <c r="H17" i="131"/>
  <c r="H9" i="131"/>
  <c r="H11" i="118"/>
  <c r="H12" i="118"/>
  <c r="H10" i="118"/>
  <c r="H31" i="123"/>
  <c r="H16" i="123"/>
  <c r="H12" i="123"/>
  <c r="H27" i="121"/>
  <c r="W19" i="131" l="1"/>
  <c r="K19" i="131"/>
  <c r="I19" i="131"/>
  <c r="L19" i="131" l="1"/>
  <c r="J19" i="131"/>
  <c r="M19" i="131" l="1"/>
  <c r="Q19" i="131"/>
  <c r="N19" i="131" l="1"/>
  <c r="K12" i="118" l="1"/>
  <c r="K14" i="118" l="1"/>
  <c r="L14" i="118"/>
  <c r="L39" i="123"/>
  <c r="L30" i="121"/>
  <c r="L27" i="120"/>
  <c r="I14" i="118" l="1"/>
  <c r="M39" i="123"/>
  <c r="M30" i="121"/>
  <c r="M14" i="118" l="1"/>
  <c r="L22" i="119" l="1"/>
  <c r="K14" i="119" l="1"/>
  <c r="K22" i="119"/>
  <c r="M22" i="119" l="1"/>
  <c r="X17" i="131" l="1"/>
  <c r="R31" i="135"/>
  <c r="Y17" i="123"/>
  <c r="Y15" i="123" s="1"/>
  <c r="T15" i="134"/>
  <c r="X11" i="131"/>
  <c r="Y13" i="119"/>
  <c r="U14" i="131"/>
  <c r="U10" i="131"/>
  <c r="Y10" i="131" s="1"/>
  <c r="N31" i="135"/>
  <c r="X9" i="131"/>
  <c r="X15" i="131"/>
  <c r="U15" i="131"/>
  <c r="U16" i="131"/>
  <c r="X16" i="131"/>
  <c r="P30" i="121"/>
  <c r="Y21" i="121"/>
  <c r="T17" i="133"/>
  <c r="P17" i="133"/>
  <c r="P17" i="132"/>
  <c r="S19" i="131"/>
  <c r="O19" i="131"/>
  <c r="R27" i="120"/>
  <c r="P39" i="123"/>
  <c r="T22" i="119"/>
  <c r="T39" i="123"/>
  <c r="R30" i="121"/>
  <c r="N27" i="120"/>
  <c r="N39" i="123"/>
  <c r="T14" i="118"/>
  <c r="P22" i="119"/>
  <c r="R14" i="118"/>
  <c r="R39" i="123"/>
  <c r="T30" i="121"/>
  <c r="N22" i="119"/>
  <c r="R22" i="119"/>
  <c r="P14" i="118"/>
  <c r="N14" i="118"/>
  <c r="N30" i="121"/>
  <c r="X14" i="131" l="1"/>
  <c r="Y14" i="131" s="1"/>
  <c r="U17" i="131"/>
  <c r="Y17" i="131" s="1"/>
  <c r="U11" i="131"/>
  <c r="Y11" i="131" s="1"/>
  <c r="Z17" i="123"/>
  <c r="Z15" i="123" s="1"/>
  <c r="Z21" i="121"/>
  <c r="Y15" i="131"/>
  <c r="Y9" i="131"/>
  <c r="V26" i="121"/>
  <c r="V30" i="121" s="1"/>
  <c r="U15" i="134"/>
  <c r="Y26" i="121"/>
  <c r="Y30" i="121" s="1"/>
  <c r="W26" i="121"/>
  <c r="W30" i="121" s="1"/>
  <c r="Z13" i="119"/>
  <c r="Y16" i="131"/>
  <c r="O31" i="135"/>
  <c r="Y11" i="118"/>
  <c r="Z11" i="118" s="1"/>
  <c r="Q17" i="133"/>
  <c r="Y30" i="123"/>
  <c r="Y39" i="123" s="1"/>
  <c r="W30" i="123"/>
  <c r="W39" i="123" s="1"/>
  <c r="P19" i="131"/>
  <c r="S17" i="132"/>
  <c r="Q17" i="132"/>
  <c r="V30" i="123"/>
  <c r="V39" i="123" s="1"/>
  <c r="Y12" i="118"/>
  <c r="Z12" i="118" s="1"/>
  <c r="O39" i="123"/>
  <c r="O22" i="119"/>
  <c r="V14" i="119"/>
  <c r="O30" i="121"/>
  <c r="O14" i="118"/>
  <c r="Z26" i="121" l="1"/>
  <c r="Z30" i="121" s="1"/>
  <c r="Q31" i="135"/>
  <c r="S17" i="133"/>
  <c r="Z30" i="123"/>
  <c r="Z39" i="123" s="1"/>
  <c r="V12" i="119"/>
  <c r="U17" i="132"/>
  <c r="R19" i="131"/>
  <c r="Y12" i="119"/>
  <c r="W12" i="119"/>
  <c r="Y14" i="119"/>
  <c r="W14" i="119"/>
  <c r="Q14" i="118"/>
  <c r="Q30" i="121"/>
  <c r="Q39" i="123"/>
  <c r="Q22" i="119"/>
  <c r="S31" i="135" l="1"/>
  <c r="U17" i="133"/>
  <c r="W17" i="132"/>
  <c r="Y17" i="132"/>
  <c r="V17" i="132"/>
  <c r="T19" i="131"/>
  <c r="Z12" i="119"/>
  <c r="Z14" i="119"/>
  <c r="S30" i="121"/>
  <c r="S39" i="123"/>
  <c r="S14" i="118"/>
  <c r="S22" i="119"/>
  <c r="Z17" i="132" l="1"/>
  <c r="X19" i="131"/>
  <c r="V19" i="131"/>
  <c r="U19" i="131"/>
  <c r="W22" i="119"/>
  <c r="U22" i="119"/>
  <c r="V22" i="119"/>
  <c r="V14" i="118"/>
  <c r="W14" i="118"/>
  <c r="U14" i="118"/>
  <c r="U39" i="123"/>
  <c r="U30" i="121"/>
  <c r="Y19" i="131" l="1"/>
  <c r="Y22" i="119"/>
  <c r="Y14" i="118"/>
  <c r="Z22" i="119" l="1"/>
  <c r="Z14" i="118"/>
  <c r="I27" i="120"/>
  <c r="H9" i="120"/>
  <c r="T27" i="120" l="1"/>
  <c r="P27" i="120"/>
  <c r="M27" i="120"/>
  <c r="O27" i="120"/>
  <c r="K27" i="120"/>
  <c r="Q27" i="120" l="1"/>
  <c r="S27" i="120" l="1"/>
  <c r="U27" i="120" l="1"/>
  <c r="V27" i="120" l="1"/>
  <c r="Y27" i="120"/>
  <c r="W27" i="120" l="1"/>
  <c r="Z27" i="120"/>
</calcChain>
</file>

<file path=xl/sharedStrings.xml><?xml version="1.0" encoding="utf-8"?>
<sst xmlns="http://schemas.openxmlformats.org/spreadsheetml/2006/main" count="1213" uniqueCount="393">
  <si>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</si>
  <si>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</si>
  <si>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</si>
  <si>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</si>
  <si>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</si>
  <si>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</si>
  <si>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</si>
  <si>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</si>
  <si>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</si>
  <si>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</si>
  <si>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</si>
  <si>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</si>
  <si>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</si>
  <si>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</si>
  <si>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</si>
  <si>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</si>
  <si>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</si>
  <si>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</si>
  <si>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</si>
  <si>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</si>
  <si>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</si>
  <si>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</si>
  <si>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</si>
  <si>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</si>
  <si>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</si>
  <si>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</si>
  <si>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</si>
  <si>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</si>
  <si>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</si>
  <si>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</si>
  <si>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</si>
  <si>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</si>
  <si>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</si>
  <si>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</si>
  <si>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</si>
  <si>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</si>
  <si>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</si>
  <si>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</si>
  <si>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</si>
  <si>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</si>
  <si>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</si>
  <si>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</si>
  <si>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</si>
  <si>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</si>
  <si>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</si>
  <si>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</si>
  <si>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</si>
  <si>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</si>
  <si>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</si>
  <si>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</si>
  <si>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</si>
  <si>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</si>
  <si>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</si>
  <si>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</si>
  <si>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</si>
  <si>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</si>
  <si>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</si>
  <si>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</si>
  <si>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</si>
  <si>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</si>
  <si>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</si>
  <si>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</si>
  <si>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</si>
  <si>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</si>
  <si>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</si>
  <si>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</si>
  <si>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</si>
  <si>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</si>
  <si>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</si>
  <si>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</si>
  <si>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</si>
  <si>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</si>
  <si>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</si>
  <si>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</si>
  <si>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</si>
  <si>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</si>
  <si>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</si>
  <si>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</si>
  <si>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</si>
  <si>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</si>
  <si>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</si>
  <si>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</si>
  <si>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</si>
  <si>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</si>
  <si>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</si>
  <si>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</si>
  <si>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</si>
  <si>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</si>
  <si>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</si>
  <si>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</si>
  <si>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</si>
  <si>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</si>
  <si>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</si>
  <si>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</si>
  <si>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</si>
  <si>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</si>
  <si>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</si>
  <si>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</si>
  <si>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</si>
  <si>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</si>
  <si>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</si>
  <si>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</si>
  <si>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</si>
  <si>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</si>
  <si>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</si>
  <si>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</si>
  <si>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</si>
  <si>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</si>
  <si>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</si>
  <si>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</si>
  <si>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</si>
  <si>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</si>
  <si>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</si>
  <si>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</si>
  <si>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</si>
  <si>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</si>
  <si>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</si>
  <si>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</si>
  <si>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</si>
  <si>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</si>
  <si>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</si>
  <si>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</si>
  <si>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</si>
  <si>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</si>
  <si>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</si>
  <si>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</si>
  <si>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</si>
  <si>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</si>
  <si>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</si>
  <si>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</si>
  <si>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</si>
  <si>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</si>
  <si>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</si>
  <si>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</si>
  <si>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</si>
  <si>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</si>
  <si>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</si>
  <si>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</si>
  <si>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</si>
  <si>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</si>
  <si>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</si>
  <si>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</si>
  <si>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</si>
  <si>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</si>
  <si>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</si>
  <si>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</si>
  <si>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</si>
  <si>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</si>
  <si>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</si>
  <si>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</si>
  <si>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</si>
  <si>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</si>
  <si>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</si>
  <si>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</si>
  <si>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</si>
  <si>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</si>
  <si>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191</t>
  </si>
  <si>
    <t>195</t>
  </si>
  <si>
    <t>198</t>
  </si>
  <si>
    <t>210</t>
  </si>
  <si>
    <t>216</t>
  </si>
  <si>
    <t>JULIAN MADERA CASTRO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</si>
  <si>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</si>
  <si>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</si>
  <si>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</si>
  <si>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</si>
  <si>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</si>
  <si>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</si>
  <si>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</si>
  <si>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</si>
  <si>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</si>
  <si>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</si>
  <si>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</si>
  <si>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</si>
  <si>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</si>
  <si>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</si>
  <si>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</si>
  <si>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</si>
  <si>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</si>
  <si>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</si>
  <si>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</si>
  <si>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</si>
  <si>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</si>
  <si>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</si>
  <si>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</si>
  <si>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</si>
  <si>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</si>
  <si>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</si>
  <si>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</si>
  <si>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</si>
  <si>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</si>
  <si>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</si>
  <si>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 xml:space="preserve">  </t>
  </si>
  <si>
    <t>AFANADORA PRESIDENCIA MUNICIPAL</t>
  </si>
  <si>
    <t>136</t>
  </si>
  <si>
    <t>SINDICO MUNICIPAL</t>
  </si>
  <si>
    <t>CHOFER DE AUTOBUS</t>
  </si>
  <si>
    <t>291</t>
  </si>
  <si>
    <t>ENCARGADO DEL MODULO DE MAQUINA Y BODEGA MUNICIPAL</t>
  </si>
  <si>
    <t>SUPERVISOR DE TURNO</t>
  </si>
  <si>
    <t>296</t>
  </si>
  <si>
    <t>RAMIRO CASTRO HORTA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</si>
  <si>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</si>
  <si>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</si>
  <si>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</si>
  <si>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</si>
  <si>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</si>
  <si>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</si>
  <si>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</si>
  <si>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</si>
  <si>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</si>
  <si>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303</t>
  </si>
  <si>
    <t>PAOLA ARACELI CORTEZ VARELA</t>
  </si>
  <si>
    <t>DIRECTORA DE CULTURA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</si>
  <si>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</si>
  <si>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</si>
  <si>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</si>
  <si>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</si>
  <si>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</si>
  <si>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</si>
  <si>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</si>
  <si>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</si>
  <si>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</si>
  <si>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</si>
  <si>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</si>
  <si>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143</t>
  </si>
  <si>
    <t>CESAR ALBERTO GUZMAN LOPEZ</t>
  </si>
  <si>
    <t>315</t>
  </si>
  <si>
    <t>J NIEVES AVELAR RAMIREZ</t>
  </si>
  <si>
    <t>AFANADOR DEL PANTEON MUNICIPAL</t>
  </si>
  <si>
    <t>316</t>
  </si>
  <si>
    <t>JAIME BALTIERRA SILVA</t>
  </si>
  <si>
    <t>OPERADOR TRACTOR BULLDOZER D8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</si>
  <si>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</si>
  <si>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</si>
  <si>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</si>
  <si>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</si>
  <si>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</si>
  <si>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</si>
  <si>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</si>
  <si>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</si>
  <si>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</si>
  <si>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</si>
  <si>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</si>
  <si>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</si>
  <si>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</si>
  <si>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</si>
  <si>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</si>
  <si>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</si>
  <si>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</si>
  <si>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</si>
  <si>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</si>
  <si>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</si>
  <si>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</si>
  <si>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SUPERVISOR BODEGA MUNICIPAL</t>
  </si>
  <si>
    <t>JOSE DE JESUS RAMIREZ FLORES</t>
  </si>
  <si>
    <t>340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</si>
  <si>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</si>
  <si>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</si>
  <si>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</si>
  <si>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</si>
  <si>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</si>
  <si>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</si>
  <si>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</si>
  <si>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</si>
  <si>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</si>
  <si>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TABLAS PUBLICADAS EL 29 DE DICIEMBRE DE 2023</t>
  </si>
  <si>
    <t>VIGENTES PARA 2024</t>
  </si>
  <si>
    <t>EJERCICIO 2024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</si>
  <si>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</si>
  <si>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</si>
  <si>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</si>
  <si>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</si>
  <si>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</si>
  <si>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</si>
  <si>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</si>
  <si>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</si>
  <si>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</si>
  <si>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</si>
  <si>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</si>
  <si>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</si>
  <si>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357</t>
  </si>
  <si>
    <t>358</t>
  </si>
  <si>
    <t>JUAN PABLO AMAYA GARCIA</t>
  </si>
  <si>
    <t>AUXILIAR DE DESARROLLO SOCIAL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</si>
  <si>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</si>
  <si>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</si>
  <si>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</si>
  <si>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</si>
  <si>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</si>
  <si>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</si>
  <si>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</si>
  <si>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</si>
  <si>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</si>
  <si>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</si>
  <si>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</si>
  <si>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</si>
  <si>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</si>
  <si>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</si>
  <si>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</si>
  <si>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368</t>
  </si>
  <si>
    <t>ANA LILIA NAVA MIRAMONTES</t>
  </si>
  <si>
    <t>KARINA GUZMAN CARDONA</t>
  </si>
  <si>
    <t>378</t>
  </si>
  <si>
    <t>013</t>
  </si>
  <si>
    <t>YADIRA SARAY OROZCO VILLALOBOS</t>
  </si>
  <si>
    <t>CONTRALORIA MUNICIPAL</t>
  </si>
  <si>
    <t>IORI MANUEL CASTILLO ALVAREZ</t>
  </si>
  <si>
    <t>LEOBARDO MAGALLANES AVILA</t>
  </si>
  <si>
    <t>383</t>
  </si>
  <si>
    <t>384</t>
  </si>
  <si>
    <t>AUXILIAR  DE BIBLIOTECA MUNICIPAL</t>
  </si>
  <si>
    <t>MATZUYAMA YUBARI GONZALEZ ESCAMILLA</t>
  </si>
  <si>
    <t>YULISSA MAGALLANES CASTRO</t>
  </si>
  <si>
    <t>TATIANA ESTEPHANY GONZALEZ CASTRO</t>
  </si>
  <si>
    <t>379</t>
  </si>
  <si>
    <t>AFANADORA DE LA PLAZA PRINCIPAL</t>
  </si>
  <si>
    <t>376</t>
  </si>
  <si>
    <t>KARINA JAZMIN CASTRO AVILA</t>
  </si>
  <si>
    <t>373</t>
  </si>
  <si>
    <t>MA. DEL ROSARIO CASTRO CASTRO</t>
  </si>
  <si>
    <t>J GUADALUPE IBARRA RODRIGUEZ</t>
  </si>
  <si>
    <t>DIRECTOR DEL RASTRO</t>
  </si>
  <si>
    <t>SECRETARIA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</si>
  <si>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</si>
  <si>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</si>
  <si>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</si>
  <si>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</si>
  <si>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</si>
  <si>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</si>
  <si>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</si>
  <si>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</si>
  <si>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</si>
  <si>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</si>
  <si>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</si>
  <si>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</si>
  <si>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</si>
  <si>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</si>
  <si>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</si>
  <si>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</si>
  <si>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</si>
  <si>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</si>
  <si>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</si>
  <si>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</si>
  <si>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</si>
  <si>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</si>
  <si>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</si>
  <si>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</si>
  <si>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</si>
  <si>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</si>
  <si>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</si>
  <si>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</si>
  <si>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</si>
  <si>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</si>
  <si>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</si>
  <si>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</si>
  <si>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</si>
  <si>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</si>
  <si>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</si>
  <si>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</si>
  <si>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VICTOR MANUEL TELLO RAMIREZ</t>
  </si>
  <si>
    <t>MÉDICO MUNICIPAL</t>
  </si>
  <si>
    <t>FRANCISCO XABIER ALBERTO LEÓN ÁVILA</t>
  </si>
  <si>
    <t>RODRIGO SALAZAR ALVAREZ DEL CASTILLO</t>
  </si>
  <si>
    <t>190</t>
  </si>
  <si>
    <t>ABRAHAM ANCO GARCIA</t>
  </si>
  <si>
    <t>SUB-DIRECTOR DE OBRAS PÚBLICAS</t>
  </si>
  <si>
    <t>393</t>
  </si>
  <si>
    <t>261</t>
  </si>
  <si>
    <t>ERIDANI OROZCO VILLALOBOS</t>
  </si>
  <si>
    <t>AUXILIAR DE SINDICATURA</t>
  </si>
  <si>
    <t>RUBISEL LLAMAS CASTRO</t>
  </si>
  <si>
    <t>AYUDANTE MECANICO MUNICIPAL</t>
  </si>
  <si>
    <t>JOSE RIVERA FLORES</t>
  </si>
  <si>
    <t>395</t>
  </si>
  <si>
    <t>JOSE AVELAR FRIAS</t>
  </si>
  <si>
    <t>394</t>
  </si>
  <si>
    <t>396</t>
  </si>
  <si>
    <t>397</t>
  </si>
  <si>
    <t>CONTRALOR MUNICIPAL</t>
  </si>
  <si>
    <t>305</t>
  </si>
  <si>
    <t>RAFAEL NUÑEZ SILVA</t>
  </si>
  <si>
    <t>ENCARGADA  DE BIBLIOTECA MUNICIPAL</t>
  </si>
  <si>
    <t>ARACELI AVELAR VALDEZ</t>
  </si>
  <si>
    <t>EDUCACIÓN</t>
  </si>
  <si>
    <t>PREDIOS RUSTICOS Y URBANOS</t>
  </si>
  <si>
    <t>SECRETARIA DE PREDIOS</t>
  </si>
  <si>
    <t>SUELDO  DEL 01 AL 15 DE DICIEMBRE DE 2024</t>
  </si>
  <si>
    <t>HERIBERTO PEREZ CRUZ</t>
  </si>
  <si>
    <t>MARTIN GALVAN AVILA</t>
  </si>
  <si>
    <t>OPERADOR MOTOCONFORAMDORA</t>
  </si>
  <si>
    <t>400</t>
  </si>
  <si>
    <t>SUELDO DEL 01 AL 15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</si>
</sst>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49" fontId="33" fillId="5" borderId="4" xfId="0" applyNumberFormat="1" applyFont="1" applyFill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5" fillId="3" borderId="0" xfId="0" applyFont="1" applyFill="1"/>
    <xf numFmtId="0" fontId="37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8" fillId="0" borderId="0" xfId="0" applyFont="1"/>
    <xf numFmtId="0" fontId="32" fillId="4" borderId="2" xfId="0" applyFont="1" applyFill="1" applyBorder="1" applyAlignment="1">
      <alignment horizontal="center" wrapText="1"/>
    </xf>
    <xf numFmtId="14" fontId="29" fillId="5" borderId="4" xfId="0" applyNumberFormat="1" applyFont="1" applyFill="1" applyBorder="1" applyAlignment="1">
      <alignment horizontal="left" wrapText="1"/>
    </xf>
    <xf numFmtId="0" fontId="39" fillId="0" borderId="4" xfId="0" applyFont="1" applyBorder="1"/>
    <xf numFmtId="0" fontId="40" fillId="0" borderId="4" xfId="0" applyFont="1" applyBorder="1" applyAlignment="1" applyProtection="1">
      <alignment horizontal="left" wrapText="1"/>
      <protection locked="0"/>
    </xf>
    <xf numFmtId="0" fontId="40" fillId="5" borderId="4" xfId="0" applyFont="1" applyFill="1" applyBorder="1" applyAlignment="1" applyProtection="1">
      <alignment horizontal="left" wrapText="1"/>
      <protection locked="0"/>
    </xf>
    <xf numFmtId="49" fontId="40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0" fillId="0" borderId="2" xfId="5" applyNumberFormat="1" applyFont="1" applyBorder="1" applyAlignment="1" applyProtection="1">
      <alignment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0" fontId="33" fillId="0" borderId="0" xfId="0" applyFont="1"/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165" fontId="41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14" fontId="33" fillId="0" borderId="3" xfId="0" applyNumberFormat="1" applyFont="1" applyBorder="1" applyAlignment="1">
      <alignment horizontal="center"/>
    </xf>
    <xf numFmtId="165" fontId="41" fillId="4" borderId="4" xfId="2" applyNumberFormat="1" applyFont="1" applyFill="1" applyBorder="1" applyAlignment="1" applyProtection="1">
      <alignment horizontal="right"/>
    </xf>
    <xf numFmtId="165" fontId="41" fillId="4" borderId="4" xfId="2" applyNumberFormat="1" applyFont="1" applyFill="1" applyBorder="1" applyAlignment="1" applyProtection="1">
      <alignment horizontal="right"/>
      <protection locked="0"/>
    </xf>
    <xf numFmtId="10" fontId="41" fillId="4" borderId="4" xfId="3" applyNumberFormat="1" applyFont="1" applyFill="1" applyBorder="1" applyAlignment="1" applyProtection="1">
      <alignment horizontal="right"/>
    </xf>
    <xf numFmtId="166" fontId="41" fillId="4" borderId="4" xfId="2" applyNumberFormat="1" applyFont="1" applyFill="1" applyBorder="1" applyAlignment="1" applyProtection="1">
      <alignment horizontal="right"/>
      <protection locked="0"/>
    </xf>
    <xf numFmtId="0" fontId="32" fillId="4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2" t="s">
        <v>174</v>
      </c>
    </row>
    <row r="3" spans="1:9" x14ac:dyDescent="0.2">
      <c r="B3" s="8" t="s">
        <v>47</v>
      </c>
      <c r="C3" s="7"/>
      <c r="D3" s="7"/>
      <c r="E3" s="7"/>
      <c r="F3" s="7"/>
      <c r="G3" s="7"/>
      <c r="I3" s="111">
        <v>248.93</v>
      </c>
    </row>
    <row r="4" spans="1:9" x14ac:dyDescent="0.2">
      <c r="B4" s="19" t="s">
        <v>268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12" t="s">
        <v>175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11">
        <v>103.74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266</v>
      </c>
      <c r="C28" s="7"/>
      <c r="D28" s="7"/>
    </row>
    <row r="29" spans="1:8" x14ac:dyDescent="0.2">
      <c r="B29" s="32" t="s">
        <v>267</v>
      </c>
      <c r="C29" s="7"/>
      <c r="D29" s="7"/>
    </row>
    <row r="30" spans="1:8" x14ac:dyDescent="0.2">
      <c r="B30" s="244" t="s">
        <v>279</v>
      </c>
      <c r="C30" s="243"/>
      <c r="D30" s="243"/>
      <c r="E30" s="243"/>
      <c r="F30" s="243"/>
      <c r="G30" s="243"/>
      <c r="H30" s="243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8"/>
  <sheetViews>
    <sheetView topLeftCell="B1" zoomScale="73" zoomScaleNormal="73" workbookViewId="0">
      <selection activeCell="I10" sqref="I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0.285156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.5703125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x14ac:dyDescent="0.2">
      <c r="A5" s="22"/>
      <c r="B5" s="388" t="s">
        <v>99</v>
      </c>
      <c r="C5" s="388" t="s">
        <v>112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4"/>
    </row>
    <row r="6" spans="1:27" ht="12.75" customHeight="1" x14ac:dyDescent="0.2">
      <c r="A6" s="26" t="s">
        <v>20</v>
      </c>
      <c r="B6" s="389"/>
      <c r="C6" s="389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215</v>
      </c>
      <c r="X6" s="23" t="s">
        <v>56</v>
      </c>
      <c r="Y6" s="23" t="s">
        <v>6</v>
      </c>
      <c r="Z6" s="26" t="s">
        <v>3</v>
      </c>
      <c r="AA6" s="36" t="s">
        <v>57</v>
      </c>
    </row>
    <row r="7" spans="1:27" x14ac:dyDescent="0.2">
      <c r="A7" s="29"/>
      <c r="B7" s="390"/>
      <c r="C7" s="390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177</v>
      </c>
      <c r="Y7" s="29" t="s">
        <v>43</v>
      </c>
      <c r="Z7" s="29" t="s">
        <v>4</v>
      </c>
      <c r="AA7" s="35"/>
    </row>
    <row r="8" spans="1:27" ht="42" customHeight="1" x14ac:dyDescent="0.3">
      <c r="A8" s="129"/>
      <c r="B8" s="329"/>
      <c r="C8" s="309"/>
      <c r="D8" s="308" t="s">
        <v>384</v>
      </c>
      <c r="E8" s="308" t="s">
        <v>221</v>
      </c>
      <c r="F8" s="326" t="s">
        <v>61</v>
      </c>
      <c r="G8" s="326"/>
      <c r="H8" s="326"/>
      <c r="I8" s="326"/>
      <c r="J8" s="326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  <c r="V8" s="129"/>
      <c r="W8" s="129"/>
      <c r="X8" s="129"/>
      <c r="Y8" s="129"/>
      <c r="Z8" s="129"/>
      <c r="AA8" s="41"/>
    </row>
    <row r="9" spans="1:27" s="91" customFormat="1" ht="127.5" customHeight="1" x14ac:dyDescent="0.3">
      <c r="A9" s="107" t="s">
        <v>85</v>
      </c>
      <c r="B9" s="250" t="s">
        <v>147</v>
      </c>
      <c r="C9" s="304" t="s">
        <v>111</v>
      </c>
      <c r="D9" s="184" t="s">
        <v>142</v>
      </c>
      <c r="E9" s="330">
        <v>43374</v>
      </c>
      <c r="F9" s="251" t="s">
        <v>113</v>
      </c>
      <c r="G9" s="270">
        <v>9</v>
      </c>
      <c r="H9" s="271"/>
      <c r="I9" s="272">
        <v>4509</v>
      </c>
      <c r="J9" s="273">
        <v>0</v>
      </c>
      <c r="K9" s="274">
        <f>SUM(I9:J9)</f>
        <v>4509</v>
      </c>
      <c r="L9" s="275">
        <f>IF(I9/15&lt;=SMG,0,J9/2)</f>
        <v>0</v>
      </c>
      <c r="M9" s="275">
        <f t="shared" ref="M9" si="0">I9+L9</f>
        <v>4509</v>
      </c>
      <c r="N9" s="275">
        <f t="shared" ref="N9:N11" si="1">VLOOKUP(M9,Tarifa1,1)</f>
        <v>3124.36</v>
      </c>
      <c r="O9" s="275">
        <f t="shared" ref="O9" si="2">M9-N9</f>
        <v>1384.6399999999999</v>
      </c>
      <c r="P9" s="276">
        <f t="shared" ref="P9:P11" si="3">VLOOKUP(M9,Tarifa1,3)</f>
        <v>0.10879999999999999</v>
      </c>
      <c r="Q9" s="275">
        <f t="shared" ref="Q9" si="4">O9*P9</f>
        <v>150.64883199999997</v>
      </c>
      <c r="R9" s="277">
        <f t="shared" ref="R9:R11" si="5">VLOOKUP(M9,Tarifa1,2)</f>
        <v>183.45</v>
      </c>
      <c r="S9" s="275">
        <f t="shared" ref="S9" si="6">Q9+R9</f>
        <v>334.09883199999996</v>
      </c>
      <c r="T9" s="275">
        <f t="shared" ref="T9:T11" si="7">VLOOKUP(M9,Credito1,2)</f>
        <v>195</v>
      </c>
      <c r="U9" s="275">
        <f t="shared" ref="U9" si="8">ROUND(S9-T9,2)</f>
        <v>139.1</v>
      </c>
      <c r="V9" s="274">
        <f>-IF(U9&gt;0,0,0)</f>
        <v>0</v>
      </c>
      <c r="W9" s="274">
        <f t="shared" ref="W9:W11" si="9">IF(I9/15&lt;=SMG,0,IF(U9&lt;0,0,U9))</f>
        <v>139.1</v>
      </c>
      <c r="X9" s="278">
        <v>0</v>
      </c>
      <c r="Y9" s="274">
        <f t="shared" ref="Y9:Y11" si="10">SUM(W9:X9)</f>
        <v>139.1</v>
      </c>
      <c r="Z9" s="274">
        <f>K9+V9-Y9</f>
        <v>4369.8999999999996</v>
      </c>
      <c r="AA9" s="90"/>
    </row>
    <row r="10" spans="1:27" s="91" customFormat="1" ht="127.5" customHeight="1" x14ac:dyDescent="0.3">
      <c r="A10" s="151"/>
      <c r="B10" s="312">
        <v>188</v>
      </c>
      <c r="C10" s="304" t="s">
        <v>111</v>
      </c>
      <c r="D10" s="230" t="s">
        <v>148</v>
      </c>
      <c r="E10" s="331">
        <v>43389</v>
      </c>
      <c r="F10" s="187" t="s">
        <v>196</v>
      </c>
      <c r="G10" s="270">
        <v>15</v>
      </c>
      <c r="H10" s="271"/>
      <c r="I10" s="272">
        <v>6440.5</v>
      </c>
      <c r="J10" s="273">
        <v>0</v>
      </c>
      <c r="K10" s="272">
        <f>I10</f>
        <v>6440.5</v>
      </c>
      <c r="L10" s="275">
        <f t="shared" ref="L10" si="11">IF(I10/15&lt;=SMG,0,J10/2)</f>
        <v>0</v>
      </c>
      <c r="M10" s="275">
        <f t="shared" ref="M10:M15" si="12">I10+L10</f>
        <v>6440.5</v>
      </c>
      <c r="N10" s="275">
        <f t="shared" si="1"/>
        <v>6382.81</v>
      </c>
      <c r="O10" s="275">
        <f t="shared" ref="O10:O15" si="13">M10-N10</f>
        <v>57.6899999999996</v>
      </c>
      <c r="P10" s="276">
        <f t="shared" si="3"/>
        <v>0.1792</v>
      </c>
      <c r="Q10" s="275">
        <f t="shared" ref="Q10:Q15" si="14">O10*P10</f>
        <v>10.338047999999928</v>
      </c>
      <c r="R10" s="277">
        <f t="shared" si="5"/>
        <v>583.65</v>
      </c>
      <c r="S10" s="275">
        <f t="shared" ref="S10:S15" si="15">Q10+R10</f>
        <v>593.98804799999994</v>
      </c>
      <c r="T10" s="275">
        <f t="shared" si="7"/>
        <v>0</v>
      </c>
      <c r="U10" s="275">
        <f t="shared" ref="U10:U15" si="16">ROUND(S10-T10,2)</f>
        <v>593.99</v>
      </c>
      <c r="V10" s="274">
        <f>-IF(U10&gt;0,0,0)</f>
        <v>0</v>
      </c>
      <c r="W10" s="274">
        <f t="shared" si="9"/>
        <v>593.99</v>
      </c>
      <c r="X10" s="278">
        <v>0</v>
      </c>
      <c r="Y10" s="274">
        <f t="shared" si="10"/>
        <v>593.99</v>
      </c>
      <c r="Z10" s="274">
        <f>K10+V10-Y10+J10</f>
        <v>5846.51</v>
      </c>
      <c r="AA10" s="90"/>
    </row>
    <row r="11" spans="1:27" s="91" customFormat="1" ht="127.5" customHeight="1" x14ac:dyDescent="0.3">
      <c r="A11" s="174"/>
      <c r="B11" s="289" t="s">
        <v>190</v>
      </c>
      <c r="C11" s="289" t="s">
        <v>111</v>
      </c>
      <c r="D11" s="185" t="s">
        <v>191</v>
      </c>
      <c r="E11" s="284">
        <v>43512</v>
      </c>
      <c r="F11" s="251" t="s">
        <v>113</v>
      </c>
      <c r="G11" s="270">
        <v>15</v>
      </c>
      <c r="H11" s="271"/>
      <c r="I11" s="272">
        <v>4509</v>
      </c>
      <c r="J11" s="273">
        <v>0</v>
      </c>
      <c r="K11" s="274">
        <f>SUM(I11:J11)</f>
        <v>4509</v>
      </c>
      <c r="L11" s="275">
        <f>IF(I11/15&lt;=SMG,0,J11/2)</f>
        <v>0</v>
      </c>
      <c r="M11" s="275">
        <f t="shared" si="12"/>
        <v>4509</v>
      </c>
      <c r="N11" s="275">
        <f t="shared" si="1"/>
        <v>3124.36</v>
      </c>
      <c r="O11" s="275">
        <f t="shared" si="13"/>
        <v>1384.6399999999999</v>
      </c>
      <c r="P11" s="276">
        <f t="shared" si="3"/>
        <v>0.10879999999999999</v>
      </c>
      <c r="Q11" s="275">
        <f t="shared" si="14"/>
        <v>150.64883199999997</v>
      </c>
      <c r="R11" s="277">
        <f t="shared" si="5"/>
        <v>183.45</v>
      </c>
      <c r="S11" s="275">
        <f t="shared" si="15"/>
        <v>334.09883199999996</v>
      </c>
      <c r="T11" s="275">
        <f t="shared" si="7"/>
        <v>195</v>
      </c>
      <c r="U11" s="275">
        <f t="shared" si="16"/>
        <v>139.1</v>
      </c>
      <c r="V11" s="274">
        <f>-IF(U11&gt;0,0,0)</f>
        <v>0</v>
      </c>
      <c r="W11" s="274">
        <f t="shared" si="9"/>
        <v>139.1</v>
      </c>
      <c r="X11" s="278">
        <v>0</v>
      </c>
      <c r="Y11" s="274">
        <f t="shared" si="10"/>
        <v>139.1</v>
      </c>
      <c r="Z11" s="274">
        <f>K11+V11-Y11</f>
        <v>4369.8999999999996</v>
      </c>
      <c r="AA11" s="90"/>
    </row>
    <row r="12" spans="1:27" s="91" customFormat="1" ht="127.5" customHeight="1" x14ac:dyDescent="0.3">
      <c r="A12" s="174"/>
      <c r="B12" s="312">
        <v>317</v>
      </c>
      <c r="C12" s="289" t="s">
        <v>111</v>
      </c>
      <c r="D12" s="186" t="s">
        <v>233</v>
      </c>
      <c r="E12" s="330">
        <v>45078</v>
      </c>
      <c r="F12" s="251" t="s">
        <v>113</v>
      </c>
      <c r="G12" s="270">
        <v>15</v>
      </c>
      <c r="H12" s="271"/>
      <c r="I12" s="272">
        <v>4509</v>
      </c>
      <c r="J12" s="273">
        <v>0</v>
      </c>
      <c r="K12" s="274">
        <f>SUM(I12:J12)</f>
        <v>4509</v>
      </c>
      <c r="L12" s="275">
        <f>IF(I12/15&lt;=SMG,0,J12/2)</f>
        <v>0</v>
      </c>
      <c r="M12" s="275">
        <f t="shared" si="12"/>
        <v>4509</v>
      </c>
      <c r="N12" s="275">
        <f t="shared" ref="N12:N15" si="17">VLOOKUP(M12,Tarifa1,1)</f>
        <v>3124.36</v>
      </c>
      <c r="O12" s="275">
        <f t="shared" si="13"/>
        <v>1384.6399999999999</v>
      </c>
      <c r="P12" s="276">
        <f t="shared" ref="P12:P15" si="18">VLOOKUP(M12,Tarifa1,3)</f>
        <v>0.10879999999999999</v>
      </c>
      <c r="Q12" s="275">
        <f t="shared" si="14"/>
        <v>150.64883199999997</v>
      </c>
      <c r="R12" s="277">
        <f t="shared" ref="R12:R15" si="19">VLOOKUP(M12,Tarifa1,2)</f>
        <v>183.45</v>
      </c>
      <c r="S12" s="275">
        <f t="shared" si="15"/>
        <v>334.09883199999996</v>
      </c>
      <c r="T12" s="275">
        <f t="shared" ref="T12:T15" si="20">VLOOKUP(M12,Credito1,2)</f>
        <v>195</v>
      </c>
      <c r="U12" s="275">
        <f t="shared" si="16"/>
        <v>139.1</v>
      </c>
      <c r="V12" s="274">
        <f t="shared" ref="V12" si="21">-IF(U12&gt;0,0,0)</f>
        <v>0</v>
      </c>
      <c r="W12" s="274">
        <f t="shared" ref="W12:W15" si="22">IF(I12/15&lt;=SMG,0,IF(U12&lt;0,0,U12))</f>
        <v>139.1</v>
      </c>
      <c r="X12" s="278">
        <v>0</v>
      </c>
      <c r="Y12" s="274">
        <f t="shared" ref="Y12:Y14" si="23">SUM(W12:X12)</f>
        <v>139.1</v>
      </c>
      <c r="Z12" s="274">
        <f>K12+V12-Y12</f>
        <v>4369.8999999999996</v>
      </c>
      <c r="AA12" s="90"/>
    </row>
    <row r="13" spans="1:27" s="91" customFormat="1" ht="127.5" customHeight="1" x14ac:dyDescent="0.3">
      <c r="A13" s="174"/>
      <c r="B13" s="312">
        <v>353</v>
      </c>
      <c r="C13" s="289" t="s">
        <v>111</v>
      </c>
      <c r="D13" s="186" t="s">
        <v>277</v>
      </c>
      <c r="E13" s="330">
        <v>45391</v>
      </c>
      <c r="F13" s="251" t="s">
        <v>113</v>
      </c>
      <c r="G13" s="270">
        <v>15</v>
      </c>
      <c r="H13" s="271"/>
      <c r="I13" s="272">
        <v>4509</v>
      </c>
      <c r="J13" s="273">
        <v>0</v>
      </c>
      <c r="K13" s="274">
        <f>SUM(I13:J13)</f>
        <v>4509</v>
      </c>
      <c r="L13" s="275">
        <f>IF(I13/15&lt;=SMG,0,J13/2)</f>
        <v>0</v>
      </c>
      <c r="M13" s="275">
        <f t="shared" si="12"/>
        <v>4509</v>
      </c>
      <c r="N13" s="275">
        <f t="shared" si="17"/>
        <v>3124.36</v>
      </c>
      <c r="O13" s="275">
        <f t="shared" si="13"/>
        <v>1384.6399999999999</v>
      </c>
      <c r="P13" s="276">
        <f t="shared" si="18"/>
        <v>0.10879999999999999</v>
      </c>
      <c r="Q13" s="275">
        <f t="shared" si="14"/>
        <v>150.64883199999997</v>
      </c>
      <c r="R13" s="277">
        <f t="shared" si="19"/>
        <v>183.45</v>
      </c>
      <c r="S13" s="275">
        <f t="shared" si="15"/>
        <v>334.09883199999996</v>
      </c>
      <c r="T13" s="275">
        <f t="shared" si="20"/>
        <v>195</v>
      </c>
      <c r="U13" s="275">
        <f t="shared" si="16"/>
        <v>139.1</v>
      </c>
      <c r="V13" s="274">
        <f t="shared" ref="V13:V15" si="24">-IF(U13&gt;0,0,0)</f>
        <v>0</v>
      </c>
      <c r="W13" s="274">
        <f t="shared" si="22"/>
        <v>139.1</v>
      </c>
      <c r="X13" s="278">
        <v>0</v>
      </c>
      <c r="Y13" s="274">
        <f t="shared" si="23"/>
        <v>139.1</v>
      </c>
      <c r="Z13" s="274">
        <f>K13+V13-Y13</f>
        <v>4369.8999999999996</v>
      </c>
      <c r="AA13" s="90"/>
    </row>
    <row r="14" spans="1:27" s="91" customFormat="1" ht="127.5" customHeight="1" x14ac:dyDescent="0.3">
      <c r="A14" s="174"/>
      <c r="B14" s="312">
        <v>398</v>
      </c>
      <c r="C14" s="289" t="s">
        <v>111</v>
      </c>
      <c r="D14" s="186" t="s">
        <v>375</v>
      </c>
      <c r="E14" s="330">
        <v>45597</v>
      </c>
      <c r="F14" s="251" t="s">
        <v>113</v>
      </c>
      <c r="G14" s="270">
        <v>15</v>
      </c>
      <c r="H14" s="271"/>
      <c r="I14" s="272">
        <v>4509</v>
      </c>
      <c r="J14" s="273">
        <v>0</v>
      </c>
      <c r="K14" s="274">
        <f>SUM(I14:J14)</f>
        <v>4509</v>
      </c>
      <c r="L14" s="275">
        <f>IF(I14/15&lt;=SMG,0,J14/2)</f>
        <v>0</v>
      </c>
      <c r="M14" s="275">
        <f t="shared" si="12"/>
        <v>4509</v>
      </c>
      <c r="N14" s="275">
        <f t="shared" si="17"/>
        <v>3124.36</v>
      </c>
      <c r="O14" s="275">
        <f t="shared" si="13"/>
        <v>1384.6399999999999</v>
      </c>
      <c r="P14" s="276">
        <f t="shared" si="18"/>
        <v>0.10879999999999999</v>
      </c>
      <c r="Q14" s="275">
        <f t="shared" si="14"/>
        <v>150.64883199999997</v>
      </c>
      <c r="R14" s="277">
        <f t="shared" si="19"/>
        <v>183.45</v>
      </c>
      <c r="S14" s="275">
        <f t="shared" si="15"/>
        <v>334.09883199999996</v>
      </c>
      <c r="T14" s="275">
        <f t="shared" si="20"/>
        <v>195</v>
      </c>
      <c r="U14" s="275">
        <f t="shared" si="16"/>
        <v>139.1</v>
      </c>
      <c r="V14" s="274">
        <f t="shared" si="24"/>
        <v>0</v>
      </c>
      <c r="W14" s="274">
        <f t="shared" si="22"/>
        <v>139.1</v>
      </c>
      <c r="X14" s="278">
        <v>0</v>
      </c>
      <c r="Y14" s="274">
        <f t="shared" si="23"/>
        <v>139.1</v>
      </c>
      <c r="Z14" s="274">
        <f>K14+V14-Y14</f>
        <v>4369.8999999999996</v>
      </c>
      <c r="AA14" s="90"/>
    </row>
    <row r="15" spans="1:27" s="91" customFormat="1" ht="127.5" customHeight="1" x14ac:dyDescent="0.3">
      <c r="A15" s="174"/>
      <c r="B15" s="250" t="s">
        <v>169</v>
      </c>
      <c r="C15" s="289" t="s">
        <v>111</v>
      </c>
      <c r="D15" s="187" t="s">
        <v>81</v>
      </c>
      <c r="E15" s="283">
        <v>41410</v>
      </c>
      <c r="F15" s="187" t="s">
        <v>162</v>
      </c>
      <c r="G15" s="270">
        <v>15</v>
      </c>
      <c r="H15" s="271">
        <f>I15/G15</f>
        <v>221.16666666666666</v>
      </c>
      <c r="I15" s="272">
        <v>3317.5</v>
      </c>
      <c r="J15" s="273">
        <v>0</v>
      </c>
      <c r="K15" s="274">
        <f>SUM(I15:J15)</f>
        <v>3317.5</v>
      </c>
      <c r="L15" s="275">
        <f>IF(I15/15&lt;=SMG,0,J15/2)</f>
        <v>0</v>
      </c>
      <c r="M15" s="275">
        <f t="shared" si="12"/>
        <v>3317.5</v>
      </c>
      <c r="N15" s="275">
        <f t="shared" si="17"/>
        <v>3124.36</v>
      </c>
      <c r="O15" s="275">
        <f t="shared" si="13"/>
        <v>193.13999999999987</v>
      </c>
      <c r="P15" s="276">
        <f t="shared" si="18"/>
        <v>0.10879999999999999</v>
      </c>
      <c r="Q15" s="275">
        <f t="shared" si="14"/>
        <v>21.013631999999983</v>
      </c>
      <c r="R15" s="277">
        <f t="shared" si="19"/>
        <v>183.45</v>
      </c>
      <c r="S15" s="275">
        <f t="shared" si="15"/>
        <v>204.46363199999996</v>
      </c>
      <c r="T15" s="275">
        <f t="shared" si="20"/>
        <v>195</v>
      </c>
      <c r="U15" s="275">
        <f t="shared" si="16"/>
        <v>9.4600000000000009</v>
      </c>
      <c r="V15" s="274">
        <f t="shared" si="24"/>
        <v>0</v>
      </c>
      <c r="W15" s="274">
        <f t="shared" si="22"/>
        <v>0</v>
      </c>
      <c r="X15" s="278">
        <v>0</v>
      </c>
      <c r="Y15" s="274">
        <f>SUM(W15:X15)</f>
        <v>0</v>
      </c>
      <c r="Z15" s="274">
        <f>K15+V15-Y15</f>
        <v>3317.5</v>
      </c>
      <c r="AA15" s="90"/>
    </row>
    <row r="16" spans="1:27" ht="18" x14ac:dyDescent="0.25">
      <c r="A16" s="160"/>
      <c r="B16" s="160"/>
      <c r="C16" s="160"/>
      <c r="D16" s="160"/>
      <c r="E16" s="160"/>
      <c r="F16" s="160"/>
      <c r="G16" s="161"/>
      <c r="H16" s="160"/>
      <c r="I16" s="162"/>
      <c r="J16" s="162"/>
      <c r="K16" s="162"/>
      <c r="L16" s="163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45" customHeight="1" thickBot="1" x14ac:dyDescent="0.35">
      <c r="A17" s="348" t="s">
        <v>44</v>
      </c>
      <c r="B17" s="349"/>
      <c r="C17" s="349"/>
      <c r="D17" s="349"/>
      <c r="E17" s="349"/>
      <c r="F17" s="349"/>
      <c r="G17" s="349"/>
      <c r="H17" s="350"/>
      <c r="I17" s="281">
        <f t="shared" ref="I17:Z17" si="25">SUM(I9:I16)</f>
        <v>32303</v>
      </c>
      <c r="J17" s="281">
        <f t="shared" si="25"/>
        <v>0</v>
      </c>
      <c r="K17" s="281">
        <f t="shared" si="25"/>
        <v>32303</v>
      </c>
      <c r="L17" s="282">
        <f t="shared" si="25"/>
        <v>0</v>
      </c>
      <c r="M17" s="282">
        <f t="shared" si="25"/>
        <v>32303</v>
      </c>
      <c r="N17" s="282">
        <f t="shared" si="25"/>
        <v>25128.97</v>
      </c>
      <c r="O17" s="282">
        <f t="shared" si="25"/>
        <v>7174.029999999997</v>
      </c>
      <c r="P17" s="282">
        <f t="shared" si="25"/>
        <v>0.83199999999999996</v>
      </c>
      <c r="Q17" s="282">
        <f t="shared" si="25"/>
        <v>784.59583999999984</v>
      </c>
      <c r="R17" s="282">
        <f t="shared" si="25"/>
        <v>1684.3500000000001</v>
      </c>
      <c r="S17" s="282">
        <f t="shared" si="25"/>
        <v>2468.9458399999994</v>
      </c>
      <c r="T17" s="282">
        <f t="shared" si="25"/>
        <v>1170</v>
      </c>
      <c r="U17" s="282">
        <f t="shared" si="25"/>
        <v>1298.95</v>
      </c>
      <c r="V17" s="281">
        <f t="shared" si="25"/>
        <v>0</v>
      </c>
      <c r="W17" s="281">
        <f t="shared" si="25"/>
        <v>1289.49</v>
      </c>
      <c r="X17" s="281">
        <f t="shared" si="25"/>
        <v>0</v>
      </c>
      <c r="Y17" s="281">
        <f t="shared" si="25"/>
        <v>1289.49</v>
      </c>
      <c r="Z17" s="281">
        <f t="shared" si="25"/>
        <v>31013.510000000002</v>
      </c>
    </row>
    <row r="18" spans="1:26" ht="13.5" thickTop="1" x14ac:dyDescent="0.2"/>
  </sheetData>
  <mergeCells count="9">
    <mergeCell ref="W5:Y5"/>
    <mergeCell ref="A17:H17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2"/>
  <sheetViews>
    <sheetView topLeftCell="B1" zoomScale="68" zoomScaleNormal="68" workbookViewId="0">
      <selection activeCell="U10" sqref="U10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6" width="11.28515625" style="65" hidden="1" customWidth="1"/>
    <col min="7" max="7" width="17.5703125" style="65" customWidth="1"/>
    <col min="8" max="8" width="16.5703125" style="65" customWidth="1"/>
    <col min="9" max="9" width="18" style="65" customWidth="1"/>
    <col min="10" max="10" width="12.7109375" style="65" hidden="1" customWidth="1"/>
    <col min="11" max="11" width="13.140625" style="65" hidden="1" customWidth="1"/>
    <col min="12" max="12" width="14.42578125" style="65" hidden="1" customWidth="1"/>
    <col min="13" max="13" width="15" style="65" hidden="1" customWidth="1"/>
    <col min="14" max="14" width="11" style="65" hidden="1" customWidth="1"/>
    <col min="15" max="16" width="13.140625" style="65" hidden="1" customWidth="1"/>
    <col min="17" max="17" width="15.42578125" style="65" hidden="1" customWidth="1"/>
    <col min="18" max="18" width="10.42578125" style="65" hidden="1" customWidth="1"/>
    <col min="19" max="19" width="13.140625" style="65" hidden="1" customWidth="1"/>
    <col min="20" max="20" width="11.5703125" style="65" customWidth="1"/>
    <col min="21" max="21" width="15.5703125" style="65" customWidth="1"/>
    <col min="22" max="22" width="14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4"/>
    </row>
    <row r="3" spans="1:27" ht="19.5" customHeight="1" x14ac:dyDescent="0.25">
      <c r="A3" s="42" t="s">
        <v>167</v>
      </c>
      <c r="B3" s="391" t="s">
        <v>392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245"/>
      <c r="AA3" s="245"/>
    </row>
    <row r="4" spans="1:27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63" t="s">
        <v>1</v>
      </c>
      <c r="H5" s="364"/>
      <c r="I5" s="365"/>
      <c r="J5" s="24" t="s">
        <v>25</v>
      </c>
      <c r="K5" s="25"/>
      <c r="L5" s="366" t="s">
        <v>8</v>
      </c>
      <c r="M5" s="367"/>
      <c r="N5" s="367"/>
      <c r="O5" s="367"/>
      <c r="P5" s="367"/>
      <c r="Q5" s="368"/>
      <c r="R5" s="24" t="s">
        <v>29</v>
      </c>
      <c r="S5" s="24" t="s">
        <v>9</v>
      </c>
      <c r="T5" s="23" t="s">
        <v>52</v>
      </c>
      <c r="U5" s="369" t="s">
        <v>2</v>
      </c>
      <c r="V5" s="370"/>
      <c r="W5" s="371"/>
      <c r="X5" s="23" t="s">
        <v>0</v>
      </c>
      <c r="Y5" s="101"/>
      <c r="Z5" s="4"/>
    </row>
    <row r="6" spans="1:27" ht="32.25" customHeight="1" x14ac:dyDescent="0.2">
      <c r="A6" s="26" t="s">
        <v>20</v>
      </c>
      <c r="B6" s="44" t="s">
        <v>99</v>
      </c>
      <c r="C6" s="44" t="s">
        <v>112</v>
      </c>
      <c r="D6" s="26"/>
      <c r="E6" s="26"/>
      <c r="F6" s="27" t="s">
        <v>23</v>
      </c>
      <c r="G6" s="23" t="s">
        <v>5</v>
      </c>
      <c r="H6" s="23" t="s">
        <v>58</v>
      </c>
      <c r="I6" s="23" t="s">
        <v>27</v>
      </c>
      <c r="J6" s="28" t="s">
        <v>26</v>
      </c>
      <c r="K6" s="25" t="s">
        <v>31</v>
      </c>
      <c r="L6" s="25" t="s">
        <v>11</v>
      </c>
      <c r="M6" s="25" t="s">
        <v>33</v>
      </c>
      <c r="N6" s="25" t="s">
        <v>35</v>
      </c>
      <c r="O6" s="25" t="s">
        <v>36</v>
      </c>
      <c r="P6" s="25" t="s">
        <v>13</v>
      </c>
      <c r="Q6" s="25" t="s">
        <v>9</v>
      </c>
      <c r="R6" s="28" t="s">
        <v>39</v>
      </c>
      <c r="S6" s="28" t="s">
        <v>40</v>
      </c>
      <c r="T6" s="26" t="s">
        <v>30</v>
      </c>
      <c r="U6" s="23" t="s">
        <v>215</v>
      </c>
      <c r="V6" s="23" t="s">
        <v>56</v>
      </c>
      <c r="W6" s="23" t="s">
        <v>6</v>
      </c>
      <c r="X6" s="26" t="s">
        <v>3</v>
      </c>
      <c r="Y6" s="36" t="s">
        <v>57</v>
      </c>
      <c r="Z6" s="4"/>
    </row>
    <row r="7" spans="1:27" x14ac:dyDescent="0.2">
      <c r="A7" s="29"/>
      <c r="B7" s="26"/>
      <c r="C7" s="26"/>
      <c r="D7" s="26"/>
      <c r="E7" s="26"/>
      <c r="F7" s="26"/>
      <c r="G7" s="26" t="s">
        <v>46</v>
      </c>
      <c r="H7" s="26" t="s">
        <v>59</v>
      </c>
      <c r="I7" s="26" t="s">
        <v>28</v>
      </c>
      <c r="J7" s="28" t="s">
        <v>42</v>
      </c>
      <c r="K7" s="24" t="s">
        <v>32</v>
      </c>
      <c r="L7" s="24" t="s">
        <v>12</v>
      </c>
      <c r="M7" s="24" t="s">
        <v>34</v>
      </c>
      <c r="N7" s="24" t="s">
        <v>34</v>
      </c>
      <c r="O7" s="24" t="s">
        <v>37</v>
      </c>
      <c r="P7" s="24" t="s">
        <v>14</v>
      </c>
      <c r="Q7" s="24" t="s">
        <v>38</v>
      </c>
      <c r="R7" s="28" t="s">
        <v>18</v>
      </c>
      <c r="S7" s="31" t="s">
        <v>123</v>
      </c>
      <c r="T7" s="26" t="s">
        <v>51</v>
      </c>
      <c r="U7" s="26"/>
      <c r="V7" s="26"/>
      <c r="W7" s="26" t="s">
        <v>43</v>
      </c>
      <c r="X7" s="26" t="s">
        <v>4</v>
      </c>
      <c r="Y7" s="102"/>
      <c r="Z7" s="4"/>
    </row>
    <row r="8" spans="1:27" ht="42" customHeight="1" x14ac:dyDescent="0.3">
      <c r="A8" s="39"/>
      <c r="B8" s="392" t="s">
        <v>110</v>
      </c>
      <c r="C8" s="393"/>
      <c r="D8" s="308" t="s">
        <v>221</v>
      </c>
      <c r="E8" s="309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96"/>
      <c r="Z8" s="4"/>
    </row>
    <row r="9" spans="1:27" ht="174" customHeight="1" x14ac:dyDescent="0.3">
      <c r="A9" s="107" t="s">
        <v>83</v>
      </c>
      <c r="B9" s="289" t="s">
        <v>272</v>
      </c>
      <c r="C9" s="289" t="s">
        <v>111</v>
      </c>
      <c r="D9" s="307">
        <v>45367</v>
      </c>
      <c r="E9" s="251" t="s">
        <v>66</v>
      </c>
      <c r="F9" s="270">
        <v>15</v>
      </c>
      <c r="G9" s="272">
        <v>10602</v>
      </c>
      <c r="H9" s="273">
        <v>4594.2</v>
      </c>
      <c r="I9" s="274">
        <f t="shared" ref="I9" si="0">SUM(G9:H9)</f>
        <v>15196.2</v>
      </c>
      <c r="J9" s="275">
        <f t="shared" ref="J9" si="1">IF(G9/15&lt;=SMG,0,H9/2)</f>
        <v>2297.1</v>
      </c>
      <c r="K9" s="275">
        <f t="shared" ref="K9" si="2">G9+J9</f>
        <v>12899.1</v>
      </c>
      <c r="L9" s="275">
        <f t="shared" ref="L9" si="3">VLOOKUP(K9,Tarifa1,1)</f>
        <v>7641.91</v>
      </c>
      <c r="M9" s="275">
        <f>K9-L9</f>
        <v>5257.1900000000005</v>
      </c>
      <c r="N9" s="276">
        <f t="shared" ref="N9" si="4">VLOOKUP(K9,Tarifa1,3)</f>
        <v>0.21360000000000001</v>
      </c>
      <c r="O9" s="275">
        <f>M9*N9</f>
        <v>1122.9357840000002</v>
      </c>
      <c r="P9" s="277">
        <f t="shared" ref="P9" si="5">VLOOKUP(K9,Tarifa1,2)</f>
        <v>809.25</v>
      </c>
      <c r="Q9" s="275">
        <f>O9+P9</f>
        <v>1932.1857840000002</v>
      </c>
      <c r="R9" s="275">
        <f t="shared" ref="R9" si="6">VLOOKUP(K9,Credito1,2)</f>
        <v>0</v>
      </c>
      <c r="S9" s="275">
        <f>ROUND(Q9-R9,2)</f>
        <v>1932.19</v>
      </c>
      <c r="T9" s="274">
        <f>-IF(S9&gt;0,0,0)</f>
        <v>0</v>
      </c>
      <c r="U9" s="274">
        <f t="shared" ref="U9" si="7">IF(G9/15&lt;=SMG,0,IF(S9&lt;0,0,S9))</f>
        <v>1932.19</v>
      </c>
      <c r="V9" s="278">
        <v>0</v>
      </c>
      <c r="W9" s="274">
        <f t="shared" ref="W9" si="8">SUM(U9:V9)</f>
        <v>1932.19</v>
      </c>
      <c r="X9" s="274">
        <f>I9+T9-U9</f>
        <v>13264.01</v>
      </c>
      <c r="Y9" s="86"/>
      <c r="Z9" s="4"/>
    </row>
    <row r="10" spans="1:27" s="91" customFormat="1" ht="174" customHeight="1" x14ac:dyDescent="0.3">
      <c r="A10" s="174"/>
      <c r="B10" s="289" t="s">
        <v>159</v>
      </c>
      <c r="C10" s="289" t="s">
        <v>111</v>
      </c>
      <c r="D10" s="307">
        <v>43601</v>
      </c>
      <c r="E10" s="187" t="s">
        <v>79</v>
      </c>
      <c r="F10" s="270">
        <v>15</v>
      </c>
      <c r="G10" s="272">
        <v>8661.5</v>
      </c>
      <c r="H10" s="273">
        <v>3753</v>
      </c>
      <c r="I10" s="274">
        <f t="shared" ref="I10:I12" si="9">SUM(G10:H10)</f>
        <v>12414.5</v>
      </c>
      <c r="J10" s="275">
        <f t="shared" ref="J10:J12" si="10">IF(G10/15&lt;=SMG,0,H10/2)</f>
        <v>1876.5</v>
      </c>
      <c r="K10" s="275">
        <f t="shared" ref="K10:K12" si="11">G10+J10</f>
        <v>10538</v>
      </c>
      <c r="L10" s="275">
        <f t="shared" ref="L10" si="12">VLOOKUP(K10,Tarifa1,1)</f>
        <v>7641.91</v>
      </c>
      <c r="M10" s="275">
        <f t="shared" ref="M10" si="13">K10-L10</f>
        <v>2896.09</v>
      </c>
      <c r="N10" s="276">
        <f t="shared" ref="N10" si="14">VLOOKUP(K10,Tarifa1,3)</f>
        <v>0.21360000000000001</v>
      </c>
      <c r="O10" s="275">
        <f t="shared" ref="O10" si="15">M10*N10</f>
        <v>618.60482400000012</v>
      </c>
      <c r="P10" s="277">
        <f t="shared" ref="P10" si="16">VLOOKUP(K10,Tarifa1,2)</f>
        <v>809.25</v>
      </c>
      <c r="Q10" s="275">
        <f t="shared" ref="Q10" si="17">O10+P10</f>
        <v>1427.854824</v>
      </c>
      <c r="R10" s="275">
        <f t="shared" ref="R10" si="18">VLOOKUP(K10,Credito1,2)</f>
        <v>0</v>
      </c>
      <c r="S10" s="275">
        <f t="shared" ref="S10" si="19">ROUND(Q10-R10,2)</f>
        <v>1427.85</v>
      </c>
      <c r="T10" s="274">
        <f t="shared" ref="T10:T12" si="20">-IF(S10&gt;0,0,0)</f>
        <v>0</v>
      </c>
      <c r="U10" s="274">
        <f t="shared" ref="U10" si="21">IF(G10/15&lt;=SMG,0,IF(S10&lt;0,0,S10))</f>
        <v>1427.85</v>
      </c>
      <c r="V10" s="278">
        <v>0</v>
      </c>
      <c r="W10" s="274">
        <f t="shared" ref="W10:W12" si="22">SUM(U10:V10)</f>
        <v>1427.85</v>
      </c>
      <c r="X10" s="274">
        <f t="shared" ref="X10:X12" si="23">I10+T10-W10</f>
        <v>10986.65</v>
      </c>
      <c r="Y10" s="86"/>
      <c r="Z10" s="4"/>
    </row>
    <row r="11" spans="1:27" s="91" customFormat="1" ht="174" customHeight="1" x14ac:dyDescent="0.3">
      <c r="A11" s="174"/>
      <c r="B11" s="289" t="s">
        <v>274</v>
      </c>
      <c r="C11" s="289" t="s">
        <v>111</v>
      </c>
      <c r="D11" s="288">
        <v>45367</v>
      </c>
      <c r="E11" s="187" t="s">
        <v>79</v>
      </c>
      <c r="F11" s="270">
        <v>15</v>
      </c>
      <c r="G11" s="272">
        <v>8661.5</v>
      </c>
      <c r="H11" s="273">
        <v>3753</v>
      </c>
      <c r="I11" s="274">
        <f t="shared" ref="I11" si="24">SUM(G11:H11)</f>
        <v>12414.5</v>
      </c>
      <c r="J11" s="275">
        <f t="shared" ref="J11" si="25">IF(G11/15&lt;=SMG,0,H11/2)</f>
        <v>1876.5</v>
      </c>
      <c r="K11" s="275">
        <f t="shared" ref="K11" si="26">G11+J11</f>
        <v>10538</v>
      </c>
      <c r="L11" s="275">
        <f t="shared" ref="L11" si="27">VLOOKUP(K11,Tarifa1,1)</f>
        <v>7641.91</v>
      </c>
      <c r="M11" s="275">
        <f t="shared" ref="M11" si="28">K11-L11</f>
        <v>2896.09</v>
      </c>
      <c r="N11" s="276">
        <f t="shared" ref="N11" si="29">VLOOKUP(K11,Tarifa1,3)</f>
        <v>0.21360000000000001</v>
      </c>
      <c r="O11" s="275">
        <f t="shared" ref="O11" si="30">M11*N11</f>
        <v>618.60482400000012</v>
      </c>
      <c r="P11" s="277">
        <f t="shared" ref="P11" si="31">VLOOKUP(K11,Tarifa1,2)</f>
        <v>809.25</v>
      </c>
      <c r="Q11" s="275">
        <f t="shared" ref="Q11" si="32">O11+P11</f>
        <v>1427.854824</v>
      </c>
      <c r="R11" s="275">
        <f t="shared" ref="R11" si="33">VLOOKUP(K11,Credito1,2)</f>
        <v>0</v>
      </c>
      <c r="S11" s="275">
        <f t="shared" ref="S11" si="34">ROUND(Q11-R11,2)</f>
        <v>1427.85</v>
      </c>
      <c r="T11" s="274">
        <f t="shared" ref="T11" si="35">-IF(S11&gt;0,0,0)</f>
        <v>0</v>
      </c>
      <c r="U11" s="274">
        <f t="shared" ref="U11" si="36">IF(G11/15&lt;=SMG,0,IF(S11&lt;0,0,S11))</f>
        <v>1427.85</v>
      </c>
      <c r="V11" s="278">
        <v>0</v>
      </c>
      <c r="W11" s="274">
        <f t="shared" ref="W11" si="37">SUM(U11:V11)</f>
        <v>1427.85</v>
      </c>
      <c r="X11" s="274">
        <f t="shared" ref="X11" si="38">I11+T11-W11</f>
        <v>10986.65</v>
      </c>
      <c r="Y11" s="86"/>
      <c r="Z11" s="4"/>
    </row>
    <row r="12" spans="1:27" s="91" customFormat="1" ht="174" customHeight="1" x14ac:dyDescent="0.3">
      <c r="A12" s="174"/>
      <c r="B12" s="289" t="s">
        <v>273</v>
      </c>
      <c r="C12" s="289" t="s">
        <v>111</v>
      </c>
      <c r="D12" s="307">
        <v>45367</v>
      </c>
      <c r="E12" s="187" t="s">
        <v>199</v>
      </c>
      <c r="F12" s="270">
        <v>15</v>
      </c>
      <c r="G12" s="272">
        <v>8256.5</v>
      </c>
      <c r="H12" s="273">
        <v>3577.81</v>
      </c>
      <c r="I12" s="274">
        <f t="shared" si="9"/>
        <v>11834.31</v>
      </c>
      <c r="J12" s="275">
        <f t="shared" si="10"/>
        <v>1788.905</v>
      </c>
      <c r="K12" s="275">
        <f t="shared" si="11"/>
        <v>10045.405000000001</v>
      </c>
      <c r="L12" s="275">
        <f t="shared" ref="L12" si="39">VLOOKUP(K12,Tarifa1,1)</f>
        <v>7641.91</v>
      </c>
      <c r="M12" s="275">
        <f t="shared" ref="M12" si="40">K12-L12</f>
        <v>2403.4950000000008</v>
      </c>
      <c r="N12" s="276">
        <f t="shared" ref="N12" si="41">VLOOKUP(K12,Tarifa1,3)</f>
        <v>0.21360000000000001</v>
      </c>
      <c r="O12" s="275">
        <f t="shared" ref="O12" si="42">M12*N12</f>
        <v>513.38653200000022</v>
      </c>
      <c r="P12" s="277">
        <f t="shared" ref="P12" si="43">VLOOKUP(K12,Tarifa1,2)</f>
        <v>809.25</v>
      </c>
      <c r="Q12" s="275">
        <f t="shared" ref="Q12" si="44">O12+P12</f>
        <v>1322.6365320000002</v>
      </c>
      <c r="R12" s="275">
        <f t="shared" ref="R12" si="45">VLOOKUP(K12,Credito1,2)</f>
        <v>0</v>
      </c>
      <c r="S12" s="275">
        <f t="shared" ref="S12" si="46">ROUND(Q12-R12,2)</f>
        <v>1322.64</v>
      </c>
      <c r="T12" s="274">
        <f t="shared" si="20"/>
        <v>0</v>
      </c>
      <c r="U12" s="274">
        <f t="shared" ref="U12" si="47">IF(G12/15&lt;=SMG,0,IF(S12&lt;0,0,S12))</f>
        <v>1322.64</v>
      </c>
      <c r="V12" s="278">
        <v>0</v>
      </c>
      <c r="W12" s="274">
        <f t="shared" si="22"/>
        <v>1322.64</v>
      </c>
      <c r="X12" s="274">
        <f t="shared" si="23"/>
        <v>10511.67</v>
      </c>
      <c r="Y12" s="86"/>
      <c r="Z12" s="4"/>
    </row>
    <row r="13" spans="1:27" s="91" customFormat="1" ht="174" customHeight="1" x14ac:dyDescent="0.3">
      <c r="A13" s="174"/>
      <c r="B13" s="289" t="s">
        <v>271</v>
      </c>
      <c r="C13" s="289" t="s">
        <v>111</v>
      </c>
      <c r="D13" s="288">
        <v>45352</v>
      </c>
      <c r="E13" s="187" t="s">
        <v>199</v>
      </c>
      <c r="F13" s="270">
        <v>15</v>
      </c>
      <c r="G13" s="272">
        <v>8256.5</v>
      </c>
      <c r="H13" s="273">
        <v>3577.81</v>
      </c>
      <c r="I13" s="274">
        <f t="shared" ref="I13" si="48">SUM(G13:H13)</f>
        <v>11834.31</v>
      </c>
      <c r="J13" s="275">
        <f t="shared" ref="J13:J14" si="49">IF(G13/15&lt;=SMG,0,H13/2)</f>
        <v>1788.905</v>
      </c>
      <c r="K13" s="275">
        <f t="shared" ref="K13:K14" si="50">G13+J13</f>
        <v>10045.405000000001</v>
      </c>
      <c r="L13" s="275">
        <f t="shared" ref="L13:L14" si="51">VLOOKUP(K13,Tarifa1,1)</f>
        <v>7641.91</v>
      </c>
      <c r="M13" s="275">
        <f t="shared" ref="M13:M14" si="52">K13-L13</f>
        <v>2403.4950000000008</v>
      </c>
      <c r="N13" s="276">
        <f t="shared" ref="N13:N14" si="53">VLOOKUP(K13,Tarifa1,3)</f>
        <v>0.21360000000000001</v>
      </c>
      <c r="O13" s="275">
        <f t="shared" ref="O13:O14" si="54">M13*N13</f>
        <v>513.38653200000022</v>
      </c>
      <c r="P13" s="277">
        <f t="shared" ref="P13:P14" si="55">VLOOKUP(K13,Tarifa1,2)</f>
        <v>809.25</v>
      </c>
      <c r="Q13" s="275">
        <f t="shared" ref="Q13:Q14" si="56">O13+P13</f>
        <v>1322.6365320000002</v>
      </c>
      <c r="R13" s="275">
        <f t="shared" ref="R13:R14" si="57">VLOOKUP(K13,Credito1,2)</f>
        <v>0</v>
      </c>
      <c r="S13" s="275">
        <f t="shared" ref="S13:S14" si="58">ROUND(Q13-R13,2)</f>
        <v>1322.64</v>
      </c>
      <c r="T13" s="274">
        <f t="shared" ref="T13:T14" si="59">-IF(S13&gt;0,0,0)</f>
        <v>0</v>
      </c>
      <c r="U13" s="274">
        <f t="shared" ref="U13:U14" si="60">IF(G13/15&lt;=SMG,0,IF(S13&lt;0,0,S13))</f>
        <v>1322.64</v>
      </c>
      <c r="V13" s="278">
        <v>0</v>
      </c>
      <c r="W13" s="274">
        <f t="shared" ref="W13:W14" si="61">SUM(U13:V13)</f>
        <v>1322.64</v>
      </c>
      <c r="X13" s="274">
        <f t="shared" ref="X13:X14" si="62">I13+T13-W13</f>
        <v>10511.67</v>
      </c>
      <c r="Y13" s="86"/>
      <c r="Z13" s="4"/>
    </row>
    <row r="14" spans="1:27" s="91" customFormat="1" ht="174" customHeight="1" x14ac:dyDescent="0.3">
      <c r="A14" s="174"/>
      <c r="B14" s="289" t="s">
        <v>276</v>
      </c>
      <c r="C14" s="289" t="s">
        <v>111</v>
      </c>
      <c r="D14" s="288">
        <v>45367</v>
      </c>
      <c r="E14" s="187" t="s">
        <v>199</v>
      </c>
      <c r="F14" s="270"/>
      <c r="G14" s="272">
        <v>8256.5</v>
      </c>
      <c r="H14" s="273">
        <v>0</v>
      </c>
      <c r="I14" s="274">
        <f t="shared" ref="I14" si="63">SUM(G14:H14)</f>
        <v>8256.5</v>
      </c>
      <c r="J14" s="275">
        <f t="shared" si="49"/>
        <v>0</v>
      </c>
      <c r="K14" s="275">
        <f t="shared" si="50"/>
        <v>8256.5</v>
      </c>
      <c r="L14" s="275">
        <f t="shared" si="51"/>
        <v>7641.91</v>
      </c>
      <c r="M14" s="275">
        <f t="shared" si="52"/>
        <v>614.59000000000015</v>
      </c>
      <c r="N14" s="276">
        <f t="shared" si="53"/>
        <v>0.21360000000000001</v>
      </c>
      <c r="O14" s="275">
        <f t="shared" si="54"/>
        <v>131.27642400000005</v>
      </c>
      <c r="P14" s="277">
        <f t="shared" si="55"/>
        <v>809.25</v>
      </c>
      <c r="Q14" s="275">
        <f t="shared" si="56"/>
        <v>940.52642400000002</v>
      </c>
      <c r="R14" s="275">
        <f t="shared" si="57"/>
        <v>0</v>
      </c>
      <c r="S14" s="275">
        <f t="shared" si="58"/>
        <v>940.53</v>
      </c>
      <c r="T14" s="274">
        <f t="shared" si="59"/>
        <v>0</v>
      </c>
      <c r="U14" s="274">
        <f t="shared" si="60"/>
        <v>940.53</v>
      </c>
      <c r="V14" s="278">
        <v>0</v>
      </c>
      <c r="W14" s="274">
        <f t="shared" si="61"/>
        <v>940.53</v>
      </c>
      <c r="X14" s="274">
        <f t="shared" si="62"/>
        <v>7315.97</v>
      </c>
      <c r="Y14" s="86"/>
      <c r="Z14" s="4"/>
    </row>
    <row r="15" spans="1:27" s="91" customFormat="1" ht="174" customHeight="1" x14ac:dyDescent="0.3">
      <c r="A15" s="174"/>
      <c r="B15" s="289" t="s">
        <v>103</v>
      </c>
      <c r="C15" s="289" t="s">
        <v>111</v>
      </c>
      <c r="D15" s="288">
        <v>41898</v>
      </c>
      <c r="E15" s="187" t="s">
        <v>80</v>
      </c>
      <c r="F15" s="270">
        <v>15</v>
      </c>
      <c r="G15" s="272">
        <v>7851.5</v>
      </c>
      <c r="H15" s="273">
        <v>0</v>
      </c>
      <c r="I15" s="274">
        <f t="shared" ref="I15:I17" si="64">SUM(G15:H15)</f>
        <v>7851.5</v>
      </c>
      <c r="J15" s="275">
        <f t="shared" ref="J15:J17" si="65">IF(G15/15&lt;=SMG,0,H15/2)</f>
        <v>0</v>
      </c>
      <c r="K15" s="275">
        <f t="shared" ref="K15:K17" si="66">G15+J15</f>
        <v>7851.5</v>
      </c>
      <c r="L15" s="275">
        <f t="shared" ref="L15:L17" si="67">VLOOKUP(K15,Tarifa1,1)</f>
        <v>7641.91</v>
      </c>
      <c r="M15" s="275">
        <f t="shared" ref="M15:M17" si="68">K15-L15</f>
        <v>209.59000000000015</v>
      </c>
      <c r="N15" s="276">
        <f t="shared" ref="N15:N17" si="69">VLOOKUP(K15,Tarifa1,3)</f>
        <v>0.21360000000000001</v>
      </c>
      <c r="O15" s="275">
        <f t="shared" ref="O15:O17" si="70">M15*N15</f>
        <v>44.768424000000032</v>
      </c>
      <c r="P15" s="277">
        <f t="shared" ref="P15:P17" si="71">VLOOKUP(K15,Tarifa1,2)</f>
        <v>809.25</v>
      </c>
      <c r="Q15" s="275">
        <f t="shared" ref="Q15:Q17" si="72">O15+P15</f>
        <v>854.01842399999998</v>
      </c>
      <c r="R15" s="275">
        <f t="shared" ref="R15:R17" si="73">VLOOKUP(K15,Credito1,2)</f>
        <v>0</v>
      </c>
      <c r="S15" s="275">
        <f t="shared" ref="S15:S17" si="74">ROUND(Q15-R15,2)</f>
        <v>854.02</v>
      </c>
      <c r="T15" s="274">
        <f t="shared" ref="T15:T17" si="75">-IF(S15&gt;0,0,0)</f>
        <v>0</v>
      </c>
      <c r="U15" s="274">
        <f t="shared" ref="U15:U17" si="76">IF(G15/15&lt;=SMG,0,IF(S15&lt;0,0,S15))</f>
        <v>854.02</v>
      </c>
      <c r="V15" s="278">
        <v>0</v>
      </c>
      <c r="W15" s="274">
        <f t="shared" ref="W15" si="77">SUM(U15:V15)</f>
        <v>854.02</v>
      </c>
      <c r="X15" s="274">
        <f t="shared" ref="X15:X17" si="78">I15+T15-W15</f>
        <v>6997.48</v>
      </c>
      <c r="Y15" s="86"/>
      <c r="Z15" s="4"/>
    </row>
    <row r="16" spans="1:27" s="91" customFormat="1" ht="174" customHeight="1" x14ac:dyDescent="0.3">
      <c r="A16" s="174"/>
      <c r="B16" s="289" t="s">
        <v>168</v>
      </c>
      <c r="C16" s="289" t="s">
        <v>111</v>
      </c>
      <c r="D16" s="307">
        <v>43831</v>
      </c>
      <c r="E16" s="187" t="s">
        <v>80</v>
      </c>
      <c r="F16" s="332">
        <v>15</v>
      </c>
      <c r="G16" s="272">
        <v>7851.5</v>
      </c>
      <c r="H16" s="273">
        <v>0</v>
      </c>
      <c r="I16" s="274">
        <f t="shared" si="64"/>
        <v>7851.5</v>
      </c>
      <c r="J16" s="275">
        <f t="shared" si="65"/>
        <v>0</v>
      </c>
      <c r="K16" s="275">
        <f t="shared" si="66"/>
        <v>7851.5</v>
      </c>
      <c r="L16" s="275">
        <f t="shared" si="67"/>
        <v>7641.91</v>
      </c>
      <c r="M16" s="275">
        <f t="shared" si="68"/>
        <v>209.59000000000015</v>
      </c>
      <c r="N16" s="276">
        <f t="shared" si="69"/>
        <v>0.21360000000000001</v>
      </c>
      <c r="O16" s="275">
        <f t="shared" si="70"/>
        <v>44.768424000000032</v>
      </c>
      <c r="P16" s="277">
        <f t="shared" si="71"/>
        <v>809.25</v>
      </c>
      <c r="Q16" s="275">
        <f t="shared" si="72"/>
        <v>854.01842399999998</v>
      </c>
      <c r="R16" s="275">
        <f t="shared" si="73"/>
        <v>0</v>
      </c>
      <c r="S16" s="275">
        <f t="shared" si="74"/>
        <v>854.02</v>
      </c>
      <c r="T16" s="274">
        <f t="shared" si="75"/>
        <v>0</v>
      </c>
      <c r="U16" s="274">
        <f t="shared" si="76"/>
        <v>854.02</v>
      </c>
      <c r="V16" s="278">
        <v>0</v>
      </c>
      <c r="W16" s="274">
        <f t="shared" ref="W16:W17" si="79">SUM(U16:V16)</f>
        <v>854.02</v>
      </c>
      <c r="X16" s="274">
        <f t="shared" si="78"/>
        <v>6997.48</v>
      </c>
      <c r="Y16" s="86"/>
      <c r="Z16" s="4"/>
    </row>
    <row r="17" spans="1:26" s="91" customFormat="1" ht="174" customHeight="1" x14ac:dyDescent="0.3">
      <c r="A17" s="174"/>
      <c r="B17" s="289" t="s">
        <v>197</v>
      </c>
      <c r="C17" s="289" t="s">
        <v>111</v>
      </c>
      <c r="D17" s="307">
        <v>44608</v>
      </c>
      <c r="E17" s="187" t="s">
        <v>80</v>
      </c>
      <c r="F17" s="270"/>
      <c r="G17" s="272">
        <v>7851.5</v>
      </c>
      <c r="H17" s="273">
        <v>0</v>
      </c>
      <c r="I17" s="274">
        <f t="shared" si="64"/>
        <v>7851.5</v>
      </c>
      <c r="J17" s="275">
        <f t="shared" si="65"/>
        <v>0</v>
      </c>
      <c r="K17" s="275">
        <f t="shared" si="66"/>
        <v>7851.5</v>
      </c>
      <c r="L17" s="275">
        <f t="shared" si="67"/>
        <v>7641.91</v>
      </c>
      <c r="M17" s="275">
        <f t="shared" si="68"/>
        <v>209.59000000000015</v>
      </c>
      <c r="N17" s="276">
        <f t="shared" si="69"/>
        <v>0.21360000000000001</v>
      </c>
      <c r="O17" s="275">
        <f t="shared" si="70"/>
        <v>44.768424000000032</v>
      </c>
      <c r="P17" s="277">
        <f t="shared" si="71"/>
        <v>809.25</v>
      </c>
      <c r="Q17" s="275">
        <f t="shared" si="72"/>
        <v>854.01842399999998</v>
      </c>
      <c r="R17" s="275">
        <f t="shared" si="73"/>
        <v>0</v>
      </c>
      <c r="S17" s="275">
        <f t="shared" si="74"/>
        <v>854.02</v>
      </c>
      <c r="T17" s="274">
        <f t="shared" si="75"/>
        <v>0</v>
      </c>
      <c r="U17" s="274">
        <f t="shared" si="76"/>
        <v>854.02</v>
      </c>
      <c r="V17" s="278">
        <v>0</v>
      </c>
      <c r="W17" s="274">
        <f t="shared" si="79"/>
        <v>854.02</v>
      </c>
      <c r="X17" s="274">
        <f t="shared" si="78"/>
        <v>6997.48</v>
      </c>
      <c r="Y17" s="87"/>
      <c r="Z17" s="4"/>
    </row>
    <row r="18" spans="1:26" ht="183.75" customHeight="1" x14ac:dyDescent="0.3">
      <c r="A18" s="174"/>
      <c r="B18" s="289" t="s">
        <v>236</v>
      </c>
      <c r="C18" s="289" t="s">
        <v>111</v>
      </c>
      <c r="D18" s="288">
        <v>45092</v>
      </c>
      <c r="E18" s="187" t="s">
        <v>80</v>
      </c>
      <c r="F18" s="270"/>
      <c r="G18" s="272">
        <v>7851.5</v>
      </c>
      <c r="H18" s="273">
        <v>0</v>
      </c>
      <c r="I18" s="274">
        <f t="shared" ref="I18" si="80">SUM(G18:H18)</f>
        <v>7851.5</v>
      </c>
      <c r="J18" s="275">
        <f t="shared" ref="J18" si="81">IF(G18/15&lt;=SMG,0,H18/2)</f>
        <v>0</v>
      </c>
      <c r="K18" s="275">
        <f t="shared" ref="K18" si="82">G18+J18</f>
        <v>7851.5</v>
      </c>
      <c r="L18" s="275">
        <f t="shared" ref="L18" si="83">VLOOKUP(K18,Tarifa1,1)</f>
        <v>7641.91</v>
      </c>
      <c r="M18" s="275">
        <f t="shared" ref="M18" si="84">K18-L18</f>
        <v>209.59000000000015</v>
      </c>
      <c r="N18" s="276">
        <f t="shared" ref="N18" si="85">VLOOKUP(K18,Tarifa1,3)</f>
        <v>0.21360000000000001</v>
      </c>
      <c r="O18" s="275">
        <f t="shared" ref="O18" si="86">M18*N18</f>
        <v>44.768424000000032</v>
      </c>
      <c r="P18" s="277">
        <f t="shared" ref="P18" si="87">VLOOKUP(K18,Tarifa1,2)</f>
        <v>809.25</v>
      </c>
      <c r="Q18" s="275">
        <f t="shared" ref="Q18" si="88">O18+P18</f>
        <v>854.01842399999998</v>
      </c>
      <c r="R18" s="275">
        <f t="shared" ref="R18" si="89">VLOOKUP(K18,Credito1,2)</f>
        <v>0</v>
      </c>
      <c r="S18" s="275">
        <f t="shared" ref="S18" si="90">ROUND(Q18-R18,2)</f>
        <v>854.02</v>
      </c>
      <c r="T18" s="274">
        <f t="shared" ref="T18" si="91">-IF(S18&gt;0,0,0)</f>
        <v>0</v>
      </c>
      <c r="U18" s="274">
        <f t="shared" ref="U18" si="92">IF(G18/15&lt;=SMG,0,IF(S18&lt;0,0,S18))</f>
        <v>854.02</v>
      </c>
      <c r="V18" s="278">
        <v>0</v>
      </c>
      <c r="W18" s="274">
        <f t="shared" ref="W18" si="93">SUM(U18:V18)</f>
        <v>854.02</v>
      </c>
      <c r="X18" s="274">
        <f t="shared" ref="X18" si="94">I18+T18-W18</f>
        <v>6997.48</v>
      </c>
      <c r="Y18" s="87"/>
      <c r="Z18" s="4"/>
    </row>
    <row r="19" spans="1:26" ht="183.75" customHeight="1" x14ac:dyDescent="0.3">
      <c r="A19" s="174"/>
      <c r="B19" s="289" t="s">
        <v>275</v>
      </c>
      <c r="C19" s="289" t="s">
        <v>111</v>
      </c>
      <c r="D19" s="288">
        <v>45367</v>
      </c>
      <c r="E19" s="187" t="s">
        <v>80</v>
      </c>
      <c r="F19" s="270"/>
      <c r="G19" s="272">
        <v>7851.5</v>
      </c>
      <c r="H19" s="273">
        <v>0</v>
      </c>
      <c r="I19" s="274">
        <f t="shared" ref="I19" si="95">SUM(G19:H19)</f>
        <v>7851.5</v>
      </c>
      <c r="J19" s="275">
        <f t="shared" ref="J19" si="96">IF(G19/15&lt;=SMG,0,H19/2)</f>
        <v>0</v>
      </c>
      <c r="K19" s="275">
        <f t="shared" ref="K19" si="97">G19+J19</f>
        <v>7851.5</v>
      </c>
      <c r="L19" s="275">
        <f t="shared" ref="L19" si="98">VLOOKUP(K19,Tarifa1,1)</f>
        <v>7641.91</v>
      </c>
      <c r="M19" s="275">
        <f t="shared" ref="M19" si="99">K19-L19</f>
        <v>209.59000000000015</v>
      </c>
      <c r="N19" s="276">
        <f t="shared" ref="N19" si="100">VLOOKUP(K19,Tarifa1,3)</f>
        <v>0.21360000000000001</v>
      </c>
      <c r="O19" s="275">
        <f t="shared" ref="O19" si="101">M19*N19</f>
        <v>44.768424000000032</v>
      </c>
      <c r="P19" s="277">
        <f t="shared" ref="P19" si="102">VLOOKUP(K19,Tarifa1,2)</f>
        <v>809.25</v>
      </c>
      <c r="Q19" s="275">
        <f t="shared" ref="Q19" si="103">O19+P19</f>
        <v>854.01842399999998</v>
      </c>
      <c r="R19" s="275">
        <f t="shared" ref="R19" si="104">VLOOKUP(K19,Credito1,2)</f>
        <v>0</v>
      </c>
      <c r="S19" s="275">
        <f t="shared" ref="S19" si="105">ROUND(Q19-R19,2)</f>
        <v>854.02</v>
      </c>
      <c r="T19" s="274">
        <f t="shared" ref="T19" si="106">-IF(S19&gt;0,0,0)</f>
        <v>0</v>
      </c>
      <c r="U19" s="274">
        <f t="shared" ref="U19" si="107">IF(G19/15&lt;=SMG,0,IF(S19&lt;0,0,S19))</f>
        <v>854.02</v>
      </c>
      <c r="V19" s="278">
        <v>0</v>
      </c>
      <c r="W19" s="274">
        <f t="shared" ref="W19" si="108">SUM(U19:V19)</f>
        <v>854.02</v>
      </c>
      <c r="X19" s="274">
        <f t="shared" ref="X19" si="109">I19+T19-W19</f>
        <v>6997.48</v>
      </c>
      <c r="Y19" s="87"/>
      <c r="Z19" s="4"/>
    </row>
    <row r="20" spans="1:26" ht="183.75" customHeight="1" x14ac:dyDescent="0.3">
      <c r="A20" s="174"/>
      <c r="B20" s="289" t="s">
        <v>259</v>
      </c>
      <c r="C20" s="289" t="s">
        <v>111</v>
      </c>
      <c r="D20" s="288">
        <v>45200</v>
      </c>
      <c r="E20" s="187" t="s">
        <v>80</v>
      </c>
      <c r="F20" s="270"/>
      <c r="G20" s="272">
        <v>7851.5</v>
      </c>
      <c r="H20" s="273">
        <v>0</v>
      </c>
      <c r="I20" s="274">
        <f t="shared" ref="I20:I30" si="110">SUM(G20:H20)</f>
        <v>7851.5</v>
      </c>
      <c r="J20" s="275">
        <f t="shared" ref="J20:J30" si="111">IF(G20/15&lt;=SMG,0,H20/2)</f>
        <v>0</v>
      </c>
      <c r="K20" s="275">
        <f t="shared" ref="K20:K30" si="112">G20+J20</f>
        <v>7851.5</v>
      </c>
      <c r="L20" s="275">
        <f t="shared" ref="L20:L30" si="113">VLOOKUP(K20,Tarifa1,1)</f>
        <v>7641.91</v>
      </c>
      <c r="M20" s="275">
        <f t="shared" ref="M20:M30" si="114">K20-L20</f>
        <v>209.59000000000015</v>
      </c>
      <c r="N20" s="276">
        <f t="shared" ref="N20:N30" si="115">VLOOKUP(K20,Tarifa1,3)</f>
        <v>0.21360000000000001</v>
      </c>
      <c r="O20" s="275">
        <f t="shared" ref="O20:O30" si="116">M20*N20</f>
        <v>44.768424000000032</v>
      </c>
      <c r="P20" s="277">
        <f t="shared" ref="P20:P30" si="117">VLOOKUP(K20,Tarifa1,2)</f>
        <v>809.25</v>
      </c>
      <c r="Q20" s="275">
        <f t="shared" ref="Q20:Q30" si="118">O20+P20</f>
        <v>854.01842399999998</v>
      </c>
      <c r="R20" s="275">
        <f t="shared" ref="R20:R30" si="119">VLOOKUP(K20,Credito1,2)</f>
        <v>0</v>
      </c>
      <c r="S20" s="275">
        <f t="shared" ref="S20:S30" si="120">ROUND(Q20-R20,2)</f>
        <v>854.02</v>
      </c>
      <c r="T20" s="274">
        <f t="shared" ref="T20:T30" si="121">-IF(S20&gt;0,0,0)</f>
        <v>0</v>
      </c>
      <c r="U20" s="274">
        <f t="shared" ref="U20:U30" si="122">IF(G20/15&lt;=SMG,0,IF(S20&lt;0,0,S20))</f>
        <v>854.02</v>
      </c>
      <c r="V20" s="278">
        <v>0</v>
      </c>
      <c r="W20" s="274">
        <f t="shared" ref="W20:W30" si="123">SUM(U20:V20)</f>
        <v>854.02</v>
      </c>
      <c r="X20" s="274">
        <f t="shared" ref="X20:X30" si="124">I20+T20-W20</f>
        <v>6997.48</v>
      </c>
      <c r="Y20" s="87"/>
      <c r="Z20" s="4"/>
    </row>
    <row r="21" spans="1:26" ht="183.75" customHeight="1" x14ac:dyDescent="0.3">
      <c r="A21" s="174"/>
      <c r="B21" s="289" t="s">
        <v>269</v>
      </c>
      <c r="C21" s="289" t="s">
        <v>111</v>
      </c>
      <c r="D21" s="288">
        <v>45292</v>
      </c>
      <c r="E21" s="187" t="s">
        <v>80</v>
      </c>
      <c r="F21" s="270"/>
      <c r="G21" s="272">
        <v>7851.5</v>
      </c>
      <c r="H21" s="273">
        <v>0</v>
      </c>
      <c r="I21" s="274">
        <f t="shared" si="110"/>
        <v>7851.5</v>
      </c>
      <c r="J21" s="275">
        <f t="shared" si="111"/>
        <v>0</v>
      </c>
      <c r="K21" s="275">
        <f t="shared" si="112"/>
        <v>7851.5</v>
      </c>
      <c r="L21" s="275">
        <f t="shared" si="113"/>
        <v>7641.91</v>
      </c>
      <c r="M21" s="275">
        <f t="shared" si="114"/>
        <v>209.59000000000015</v>
      </c>
      <c r="N21" s="276">
        <f t="shared" si="115"/>
        <v>0.21360000000000001</v>
      </c>
      <c r="O21" s="275">
        <f t="shared" si="116"/>
        <v>44.768424000000032</v>
      </c>
      <c r="P21" s="277">
        <f t="shared" si="117"/>
        <v>809.25</v>
      </c>
      <c r="Q21" s="275">
        <f t="shared" si="118"/>
        <v>854.01842399999998</v>
      </c>
      <c r="R21" s="275">
        <f t="shared" si="119"/>
        <v>0</v>
      </c>
      <c r="S21" s="275">
        <f t="shared" si="120"/>
        <v>854.02</v>
      </c>
      <c r="T21" s="274">
        <f t="shared" si="121"/>
        <v>0</v>
      </c>
      <c r="U21" s="274">
        <f t="shared" si="122"/>
        <v>854.02</v>
      </c>
      <c r="V21" s="278">
        <v>0</v>
      </c>
      <c r="W21" s="274">
        <f t="shared" si="123"/>
        <v>854.02</v>
      </c>
      <c r="X21" s="274">
        <f t="shared" si="124"/>
        <v>6997.48</v>
      </c>
      <c r="Y21" s="87"/>
      <c r="Z21" s="4"/>
    </row>
    <row r="22" spans="1:26" ht="183.75" customHeight="1" x14ac:dyDescent="0.3">
      <c r="A22" s="174"/>
      <c r="B22" s="289" t="s">
        <v>278</v>
      </c>
      <c r="C22" s="289" t="s">
        <v>111</v>
      </c>
      <c r="D22" s="288">
        <v>45398</v>
      </c>
      <c r="E22" s="187" t="s">
        <v>80</v>
      </c>
      <c r="F22" s="270"/>
      <c r="G22" s="272">
        <v>7851.5</v>
      </c>
      <c r="H22" s="273">
        <v>0</v>
      </c>
      <c r="I22" s="274">
        <f t="shared" si="110"/>
        <v>7851.5</v>
      </c>
      <c r="J22" s="275">
        <f t="shared" si="111"/>
        <v>0</v>
      </c>
      <c r="K22" s="275">
        <f t="shared" si="112"/>
        <v>7851.5</v>
      </c>
      <c r="L22" s="275">
        <f t="shared" si="113"/>
        <v>7641.91</v>
      </c>
      <c r="M22" s="275">
        <f t="shared" si="114"/>
        <v>209.59000000000015</v>
      </c>
      <c r="N22" s="276">
        <f t="shared" si="115"/>
        <v>0.21360000000000001</v>
      </c>
      <c r="O22" s="275">
        <f t="shared" si="116"/>
        <v>44.768424000000032</v>
      </c>
      <c r="P22" s="277">
        <f t="shared" si="117"/>
        <v>809.25</v>
      </c>
      <c r="Q22" s="275">
        <f t="shared" si="118"/>
        <v>854.01842399999998</v>
      </c>
      <c r="R22" s="275">
        <f t="shared" si="119"/>
        <v>0</v>
      </c>
      <c r="S22" s="275">
        <f t="shared" si="120"/>
        <v>854.02</v>
      </c>
      <c r="T22" s="274">
        <f t="shared" si="121"/>
        <v>0</v>
      </c>
      <c r="U22" s="274">
        <f t="shared" si="122"/>
        <v>854.02</v>
      </c>
      <c r="V22" s="278">
        <v>0</v>
      </c>
      <c r="W22" s="274">
        <f t="shared" si="123"/>
        <v>854.02</v>
      </c>
      <c r="X22" s="274">
        <f t="shared" si="124"/>
        <v>6997.48</v>
      </c>
      <c r="Y22" s="87"/>
      <c r="Z22" s="4"/>
    </row>
    <row r="23" spans="1:26" ht="183.75" customHeight="1" x14ac:dyDescent="0.3">
      <c r="A23" s="174"/>
      <c r="B23" s="289" t="s">
        <v>280</v>
      </c>
      <c r="C23" s="289" t="s">
        <v>111</v>
      </c>
      <c r="D23" s="288">
        <v>45413</v>
      </c>
      <c r="E23" s="187" t="s">
        <v>80</v>
      </c>
      <c r="F23" s="270"/>
      <c r="G23" s="272">
        <v>7851.5</v>
      </c>
      <c r="H23" s="273">
        <v>0</v>
      </c>
      <c r="I23" s="274">
        <f t="shared" si="110"/>
        <v>7851.5</v>
      </c>
      <c r="J23" s="275">
        <f t="shared" si="111"/>
        <v>0</v>
      </c>
      <c r="K23" s="275">
        <f t="shared" si="112"/>
        <v>7851.5</v>
      </c>
      <c r="L23" s="275">
        <f t="shared" si="113"/>
        <v>7641.91</v>
      </c>
      <c r="M23" s="275">
        <f t="shared" si="114"/>
        <v>209.59000000000015</v>
      </c>
      <c r="N23" s="276">
        <f t="shared" si="115"/>
        <v>0.21360000000000001</v>
      </c>
      <c r="O23" s="275">
        <f t="shared" si="116"/>
        <v>44.768424000000032</v>
      </c>
      <c r="P23" s="277">
        <f t="shared" si="117"/>
        <v>809.25</v>
      </c>
      <c r="Q23" s="275">
        <f t="shared" si="118"/>
        <v>854.01842399999998</v>
      </c>
      <c r="R23" s="275">
        <f t="shared" si="119"/>
        <v>0</v>
      </c>
      <c r="S23" s="275">
        <f t="shared" si="120"/>
        <v>854.02</v>
      </c>
      <c r="T23" s="274">
        <f t="shared" si="121"/>
        <v>0</v>
      </c>
      <c r="U23" s="274">
        <f t="shared" si="122"/>
        <v>854.02</v>
      </c>
      <c r="V23" s="278">
        <v>0</v>
      </c>
      <c r="W23" s="274">
        <f t="shared" si="123"/>
        <v>854.02</v>
      </c>
      <c r="X23" s="274">
        <f t="shared" si="124"/>
        <v>6997.48</v>
      </c>
      <c r="Y23" s="87"/>
      <c r="Z23" s="4"/>
    </row>
    <row r="24" spans="1:26" ht="183.75" customHeight="1" x14ac:dyDescent="0.3">
      <c r="A24" s="174"/>
      <c r="B24" s="289" t="s">
        <v>281</v>
      </c>
      <c r="C24" s="289" t="s">
        <v>111</v>
      </c>
      <c r="D24" s="288">
        <v>45428</v>
      </c>
      <c r="E24" s="187" t="s">
        <v>80</v>
      </c>
      <c r="F24" s="270"/>
      <c r="G24" s="272">
        <v>7851.5</v>
      </c>
      <c r="H24" s="273">
        <v>0</v>
      </c>
      <c r="I24" s="274">
        <f t="shared" si="110"/>
        <v>7851.5</v>
      </c>
      <c r="J24" s="275">
        <f t="shared" si="111"/>
        <v>0</v>
      </c>
      <c r="K24" s="275">
        <f t="shared" si="112"/>
        <v>7851.5</v>
      </c>
      <c r="L24" s="275">
        <f t="shared" si="113"/>
        <v>7641.91</v>
      </c>
      <c r="M24" s="275">
        <f t="shared" si="114"/>
        <v>209.59000000000015</v>
      </c>
      <c r="N24" s="276">
        <f t="shared" si="115"/>
        <v>0.21360000000000001</v>
      </c>
      <c r="O24" s="275">
        <f t="shared" si="116"/>
        <v>44.768424000000032</v>
      </c>
      <c r="P24" s="277">
        <f t="shared" si="117"/>
        <v>809.25</v>
      </c>
      <c r="Q24" s="275">
        <f t="shared" si="118"/>
        <v>854.01842399999998</v>
      </c>
      <c r="R24" s="275">
        <f t="shared" si="119"/>
        <v>0</v>
      </c>
      <c r="S24" s="275">
        <f t="shared" si="120"/>
        <v>854.02</v>
      </c>
      <c r="T24" s="274">
        <f t="shared" si="121"/>
        <v>0</v>
      </c>
      <c r="U24" s="274">
        <f t="shared" si="122"/>
        <v>854.02</v>
      </c>
      <c r="V24" s="278">
        <v>0</v>
      </c>
      <c r="W24" s="274">
        <f t="shared" si="123"/>
        <v>854.02</v>
      </c>
      <c r="X24" s="274">
        <f t="shared" si="124"/>
        <v>6997.48</v>
      </c>
      <c r="Y24" s="87"/>
      <c r="Z24" s="4"/>
    </row>
    <row r="25" spans="1:26" ht="183.75" customHeight="1" x14ac:dyDescent="0.3">
      <c r="A25" s="174"/>
      <c r="B25" s="289" t="s">
        <v>285</v>
      </c>
      <c r="C25" s="289" t="s">
        <v>111</v>
      </c>
      <c r="D25" s="288">
        <v>45444</v>
      </c>
      <c r="E25" s="187" t="s">
        <v>80</v>
      </c>
      <c r="F25" s="270"/>
      <c r="G25" s="272">
        <v>7851.5</v>
      </c>
      <c r="H25" s="273">
        <v>0</v>
      </c>
      <c r="I25" s="274">
        <f t="shared" si="110"/>
        <v>7851.5</v>
      </c>
      <c r="J25" s="275">
        <f t="shared" si="111"/>
        <v>0</v>
      </c>
      <c r="K25" s="275">
        <f t="shared" si="112"/>
        <v>7851.5</v>
      </c>
      <c r="L25" s="275">
        <f t="shared" si="113"/>
        <v>7641.91</v>
      </c>
      <c r="M25" s="275">
        <f t="shared" si="114"/>
        <v>209.59000000000015</v>
      </c>
      <c r="N25" s="276">
        <f t="shared" si="115"/>
        <v>0.21360000000000001</v>
      </c>
      <c r="O25" s="275">
        <f t="shared" si="116"/>
        <v>44.768424000000032</v>
      </c>
      <c r="P25" s="277">
        <f t="shared" si="117"/>
        <v>809.25</v>
      </c>
      <c r="Q25" s="275">
        <f t="shared" si="118"/>
        <v>854.01842399999998</v>
      </c>
      <c r="R25" s="275">
        <f t="shared" si="119"/>
        <v>0</v>
      </c>
      <c r="S25" s="275">
        <f t="shared" si="120"/>
        <v>854.02</v>
      </c>
      <c r="T25" s="274">
        <f t="shared" si="121"/>
        <v>0</v>
      </c>
      <c r="U25" s="274">
        <f t="shared" si="122"/>
        <v>854.02</v>
      </c>
      <c r="V25" s="278">
        <v>0</v>
      </c>
      <c r="W25" s="274">
        <f t="shared" si="123"/>
        <v>854.02</v>
      </c>
      <c r="X25" s="274">
        <f t="shared" si="124"/>
        <v>6997.48</v>
      </c>
      <c r="Y25" s="87"/>
      <c r="Z25" s="4"/>
    </row>
    <row r="26" spans="1:26" ht="183.75" customHeight="1" x14ac:dyDescent="0.3">
      <c r="A26" s="174"/>
      <c r="B26" s="289" t="s">
        <v>293</v>
      </c>
      <c r="C26" s="289" t="s">
        <v>111</v>
      </c>
      <c r="D26" s="288">
        <v>45459</v>
      </c>
      <c r="E26" s="187" t="s">
        <v>80</v>
      </c>
      <c r="F26" s="270"/>
      <c r="G26" s="272">
        <v>7851.5</v>
      </c>
      <c r="H26" s="273">
        <v>0</v>
      </c>
      <c r="I26" s="274">
        <f t="shared" si="110"/>
        <v>7851.5</v>
      </c>
      <c r="J26" s="275">
        <f t="shared" si="111"/>
        <v>0</v>
      </c>
      <c r="K26" s="275">
        <f t="shared" si="112"/>
        <v>7851.5</v>
      </c>
      <c r="L26" s="275">
        <f t="shared" si="113"/>
        <v>7641.91</v>
      </c>
      <c r="M26" s="275">
        <f t="shared" si="114"/>
        <v>209.59000000000015</v>
      </c>
      <c r="N26" s="276">
        <f t="shared" si="115"/>
        <v>0.21360000000000001</v>
      </c>
      <c r="O26" s="275">
        <f t="shared" si="116"/>
        <v>44.768424000000032</v>
      </c>
      <c r="P26" s="277">
        <f t="shared" si="117"/>
        <v>809.25</v>
      </c>
      <c r="Q26" s="275">
        <f t="shared" si="118"/>
        <v>854.01842399999998</v>
      </c>
      <c r="R26" s="275">
        <f t="shared" si="119"/>
        <v>0</v>
      </c>
      <c r="S26" s="275">
        <f t="shared" si="120"/>
        <v>854.02</v>
      </c>
      <c r="T26" s="274">
        <f t="shared" si="121"/>
        <v>0</v>
      </c>
      <c r="U26" s="274">
        <f t="shared" si="122"/>
        <v>854.02</v>
      </c>
      <c r="V26" s="278">
        <v>0</v>
      </c>
      <c r="W26" s="274">
        <f t="shared" si="123"/>
        <v>854.02</v>
      </c>
      <c r="X26" s="274">
        <f t="shared" si="124"/>
        <v>6997.48</v>
      </c>
      <c r="Y26" s="87"/>
      <c r="Z26" s="4"/>
    </row>
    <row r="27" spans="1:26" ht="158.25" customHeight="1" x14ac:dyDescent="0.3">
      <c r="A27" s="174"/>
      <c r="B27" s="292" t="s">
        <v>294</v>
      </c>
      <c r="C27" s="292" t="s">
        <v>111</v>
      </c>
      <c r="D27" s="333">
        <v>45459</v>
      </c>
      <c r="E27" s="227" t="s">
        <v>80</v>
      </c>
      <c r="F27" s="295"/>
      <c r="G27" s="297">
        <v>7851.5</v>
      </c>
      <c r="H27" s="298">
        <v>0</v>
      </c>
      <c r="I27" s="299">
        <f t="shared" ref="I27" si="125">SUM(G27:H27)</f>
        <v>7851.5</v>
      </c>
      <c r="J27" s="300">
        <f t="shared" ref="J27" si="126">IF(G27/15&lt;=SMG,0,H27/2)</f>
        <v>0</v>
      </c>
      <c r="K27" s="300">
        <f t="shared" ref="K27" si="127">G27+J27</f>
        <v>7851.5</v>
      </c>
      <c r="L27" s="300">
        <f t="shared" ref="L27" si="128">VLOOKUP(K27,Tarifa1,1)</f>
        <v>7641.91</v>
      </c>
      <c r="M27" s="300">
        <f t="shared" ref="M27" si="129">K27-L27</f>
        <v>209.59000000000015</v>
      </c>
      <c r="N27" s="301">
        <f t="shared" ref="N27" si="130">VLOOKUP(K27,Tarifa1,3)</f>
        <v>0.21360000000000001</v>
      </c>
      <c r="O27" s="300">
        <f t="shared" ref="O27" si="131">M27*N27</f>
        <v>44.768424000000032</v>
      </c>
      <c r="P27" s="302">
        <f t="shared" ref="P27" si="132">VLOOKUP(K27,Tarifa1,2)</f>
        <v>809.25</v>
      </c>
      <c r="Q27" s="300">
        <f t="shared" ref="Q27" si="133">O27+P27</f>
        <v>854.01842399999998</v>
      </c>
      <c r="R27" s="300">
        <f t="shared" ref="R27" si="134">VLOOKUP(K27,Credito1,2)</f>
        <v>0</v>
      </c>
      <c r="S27" s="300">
        <f t="shared" ref="S27" si="135">ROUND(Q27-R27,2)</f>
        <v>854.02</v>
      </c>
      <c r="T27" s="299">
        <f t="shared" ref="T27" si="136">-IF(S27&gt;0,0,0)</f>
        <v>0</v>
      </c>
      <c r="U27" s="299">
        <f t="shared" ref="U27" si="137">IF(G27/15&lt;=SMG,0,IF(S27&lt;0,0,S27))</f>
        <v>854.02</v>
      </c>
      <c r="V27" s="303">
        <v>0</v>
      </c>
      <c r="W27" s="299">
        <f t="shared" ref="W27" si="138">SUM(U27:V27)</f>
        <v>854.02</v>
      </c>
      <c r="X27" s="299">
        <f t="shared" ref="X27" si="139">I27+T27-W27</f>
        <v>6997.48</v>
      </c>
      <c r="Y27" s="101"/>
      <c r="Z27" s="4"/>
    </row>
    <row r="28" spans="1:26" ht="158.25" customHeight="1" x14ac:dyDescent="0.3">
      <c r="A28" s="174"/>
      <c r="B28" s="289" t="s">
        <v>299</v>
      </c>
      <c r="C28" s="289" t="s">
        <v>111</v>
      </c>
      <c r="D28" s="288">
        <v>45520</v>
      </c>
      <c r="E28" s="187" t="s">
        <v>80</v>
      </c>
      <c r="F28" s="270"/>
      <c r="G28" s="272">
        <v>7851.5</v>
      </c>
      <c r="H28" s="273">
        <v>0</v>
      </c>
      <c r="I28" s="274">
        <f t="shared" ref="I28" si="140">SUM(G28:H28)</f>
        <v>7851.5</v>
      </c>
      <c r="J28" s="275">
        <f t="shared" ref="J28" si="141">IF(G28/15&lt;=SMG,0,H28/2)</f>
        <v>0</v>
      </c>
      <c r="K28" s="275">
        <f t="shared" ref="K28" si="142">G28+J28</f>
        <v>7851.5</v>
      </c>
      <c r="L28" s="275">
        <f t="shared" ref="L28" si="143">VLOOKUP(K28,Tarifa1,1)</f>
        <v>7641.91</v>
      </c>
      <c r="M28" s="275">
        <f t="shared" ref="M28" si="144">K28-L28</f>
        <v>209.59000000000015</v>
      </c>
      <c r="N28" s="276">
        <f t="shared" ref="N28" si="145">VLOOKUP(K28,Tarifa1,3)</f>
        <v>0.21360000000000001</v>
      </c>
      <c r="O28" s="275">
        <f t="shared" ref="O28" si="146">M28*N28</f>
        <v>44.768424000000032</v>
      </c>
      <c r="P28" s="277">
        <f t="shared" ref="P28" si="147">VLOOKUP(K28,Tarifa1,2)</f>
        <v>809.25</v>
      </c>
      <c r="Q28" s="275">
        <f t="shared" ref="Q28" si="148">O28+P28</f>
        <v>854.01842399999998</v>
      </c>
      <c r="R28" s="275">
        <f t="shared" ref="R28" si="149">VLOOKUP(K28,Credito1,2)</f>
        <v>0</v>
      </c>
      <c r="S28" s="275">
        <f t="shared" ref="S28" si="150">ROUND(Q28-R28,2)</f>
        <v>854.02</v>
      </c>
      <c r="T28" s="274">
        <f t="shared" ref="T28" si="151">-IF(S28&gt;0,0,0)</f>
        <v>0</v>
      </c>
      <c r="U28" s="274">
        <f t="shared" ref="U28" si="152">IF(G28/15&lt;=SMG,0,IF(S28&lt;0,0,S28))</f>
        <v>854.02</v>
      </c>
      <c r="V28" s="278">
        <v>0</v>
      </c>
      <c r="W28" s="274">
        <f t="shared" ref="W28" si="153">SUM(U28:V28)</f>
        <v>854.02</v>
      </c>
      <c r="X28" s="274">
        <f t="shared" ref="X28" si="154">I28+T28-W28</f>
        <v>6997.48</v>
      </c>
      <c r="Y28" s="87"/>
      <c r="Z28" s="4"/>
    </row>
    <row r="29" spans="1:26" ht="158.25" customHeight="1" x14ac:dyDescent="0.3">
      <c r="A29" s="174"/>
      <c r="B29" s="289" t="s">
        <v>377</v>
      </c>
      <c r="C29" s="289" t="s">
        <v>111</v>
      </c>
      <c r="D29" s="288">
        <v>45597</v>
      </c>
      <c r="E29" s="187" t="s">
        <v>80</v>
      </c>
      <c r="F29" s="270"/>
      <c r="G29" s="272">
        <v>7851.5</v>
      </c>
      <c r="H29" s="273">
        <v>0</v>
      </c>
      <c r="I29" s="274">
        <f t="shared" ref="I29" si="155">SUM(G29:H29)</f>
        <v>7851.5</v>
      </c>
      <c r="J29" s="275">
        <f t="shared" ref="J29" si="156">IF(G29/15&lt;=SMG,0,H29/2)</f>
        <v>0</v>
      </c>
      <c r="K29" s="275">
        <f t="shared" ref="K29" si="157">G29+J29</f>
        <v>7851.5</v>
      </c>
      <c r="L29" s="275">
        <f t="shared" ref="L29" si="158">VLOOKUP(K29,Tarifa1,1)</f>
        <v>7641.91</v>
      </c>
      <c r="M29" s="275">
        <f t="shared" ref="M29" si="159">K29-L29</f>
        <v>209.59000000000015</v>
      </c>
      <c r="N29" s="276">
        <f t="shared" ref="N29" si="160">VLOOKUP(K29,Tarifa1,3)</f>
        <v>0.21360000000000001</v>
      </c>
      <c r="O29" s="275">
        <f t="shared" ref="O29" si="161">M29*N29</f>
        <v>44.768424000000032</v>
      </c>
      <c r="P29" s="277">
        <f t="shared" ref="P29" si="162">VLOOKUP(K29,Tarifa1,2)</f>
        <v>809.25</v>
      </c>
      <c r="Q29" s="275">
        <f t="shared" ref="Q29" si="163">O29+P29</f>
        <v>854.01842399999998</v>
      </c>
      <c r="R29" s="275">
        <f t="shared" ref="R29" si="164">VLOOKUP(K29,Credito1,2)</f>
        <v>0</v>
      </c>
      <c r="S29" s="275">
        <f t="shared" ref="S29" si="165">ROUND(Q29-R29,2)</f>
        <v>854.02</v>
      </c>
      <c r="T29" s="274">
        <f t="shared" ref="T29" si="166">-IF(S29&gt;0,0,0)</f>
        <v>0</v>
      </c>
      <c r="U29" s="274">
        <f t="shared" ref="U29" si="167">IF(G29/15&lt;=SMG,0,IF(S29&lt;0,0,S29))</f>
        <v>854.02</v>
      </c>
      <c r="V29" s="278">
        <v>0</v>
      </c>
      <c r="W29" s="274">
        <f t="shared" ref="W29" si="168">SUM(U29:V29)</f>
        <v>854.02</v>
      </c>
      <c r="X29" s="274">
        <f t="shared" ref="X29" si="169">I29+T29-W29</f>
        <v>6997.48</v>
      </c>
      <c r="Y29" s="87"/>
      <c r="Z29" s="4"/>
    </row>
    <row r="30" spans="1:26" ht="158.25" customHeight="1" x14ac:dyDescent="0.3">
      <c r="A30" s="174"/>
      <c r="B30" s="289" t="s">
        <v>378</v>
      </c>
      <c r="C30" s="289" t="s">
        <v>357</v>
      </c>
      <c r="D30" s="288">
        <v>45597</v>
      </c>
      <c r="E30" s="187" t="s">
        <v>80</v>
      </c>
      <c r="F30" s="270"/>
      <c r="G30" s="272">
        <v>7851.5</v>
      </c>
      <c r="H30" s="273">
        <v>0</v>
      </c>
      <c r="I30" s="274">
        <f t="shared" si="110"/>
        <v>7851.5</v>
      </c>
      <c r="J30" s="275">
        <f t="shared" si="111"/>
        <v>0</v>
      </c>
      <c r="K30" s="275">
        <f t="shared" si="112"/>
        <v>7851.5</v>
      </c>
      <c r="L30" s="275">
        <f t="shared" si="113"/>
        <v>7641.91</v>
      </c>
      <c r="M30" s="275">
        <f t="shared" si="114"/>
        <v>209.59000000000015</v>
      </c>
      <c r="N30" s="276">
        <f t="shared" si="115"/>
        <v>0.21360000000000001</v>
      </c>
      <c r="O30" s="275">
        <f t="shared" si="116"/>
        <v>44.768424000000032</v>
      </c>
      <c r="P30" s="277">
        <f t="shared" si="117"/>
        <v>809.25</v>
      </c>
      <c r="Q30" s="275">
        <f t="shared" si="118"/>
        <v>854.01842399999998</v>
      </c>
      <c r="R30" s="275">
        <f t="shared" si="119"/>
        <v>0</v>
      </c>
      <c r="S30" s="275">
        <f t="shared" si="120"/>
        <v>854.02</v>
      </c>
      <c r="T30" s="274">
        <f t="shared" si="121"/>
        <v>0</v>
      </c>
      <c r="U30" s="274">
        <f t="shared" si="122"/>
        <v>854.02</v>
      </c>
      <c r="V30" s="278">
        <v>0</v>
      </c>
      <c r="W30" s="274">
        <f t="shared" si="123"/>
        <v>854.02</v>
      </c>
      <c r="X30" s="274">
        <f t="shared" si="124"/>
        <v>6997.48</v>
      </c>
      <c r="Y30" s="87"/>
      <c r="Z30" s="4"/>
    </row>
    <row r="31" spans="1:26" ht="29.25" customHeight="1" thickBot="1" x14ac:dyDescent="0.35">
      <c r="A31" s="348" t="s">
        <v>44</v>
      </c>
      <c r="B31" s="349"/>
      <c r="C31" s="349"/>
      <c r="D31" s="349"/>
      <c r="E31" s="349"/>
      <c r="F31" s="349"/>
      <c r="G31" s="281">
        <f>SUM(G9:G30)</f>
        <v>178318.5</v>
      </c>
      <c r="H31" s="281">
        <f>SUM(H9:H30)</f>
        <v>19255.82</v>
      </c>
      <c r="I31" s="281">
        <f>SUM(I9:I30)</f>
        <v>197574.32</v>
      </c>
      <c r="J31" s="282">
        <f t="shared" ref="J31:S31" si="170">SUM(J9:J17)</f>
        <v>9627.91</v>
      </c>
      <c r="K31" s="282">
        <f t="shared" si="170"/>
        <v>85876.91</v>
      </c>
      <c r="L31" s="282">
        <f t="shared" si="170"/>
        <v>68777.190000000017</v>
      </c>
      <c r="M31" s="282">
        <f t="shared" si="170"/>
        <v>17099.720000000005</v>
      </c>
      <c r="N31" s="282">
        <f t="shared" si="170"/>
        <v>1.9224000000000001</v>
      </c>
      <c r="O31" s="282">
        <f t="shared" si="170"/>
        <v>3652.5001920000009</v>
      </c>
      <c r="P31" s="282">
        <f t="shared" si="170"/>
        <v>7283.25</v>
      </c>
      <c r="Q31" s="282">
        <f t="shared" si="170"/>
        <v>10935.750192000001</v>
      </c>
      <c r="R31" s="282">
        <f t="shared" si="170"/>
        <v>0</v>
      </c>
      <c r="S31" s="282">
        <f t="shared" si="170"/>
        <v>10935.760000000002</v>
      </c>
      <c r="T31" s="281">
        <f>SUM(T9:T30)</f>
        <v>0</v>
      </c>
      <c r="U31" s="281">
        <f>SUM(U9:U30)</f>
        <v>22038.020000000008</v>
      </c>
      <c r="V31" s="281">
        <f>SUM(V9:V30)</f>
        <v>0</v>
      </c>
      <c r="W31" s="281">
        <f>SUM(W9:W30)</f>
        <v>22038.020000000008</v>
      </c>
      <c r="X31" s="281">
        <f>SUM(X9:X30)</f>
        <v>175536.30000000002</v>
      </c>
      <c r="Y31" s="4"/>
      <c r="Z31" s="4"/>
    </row>
    <row r="32" spans="1:26" ht="13.5" thickTop="1" x14ac:dyDescent="0.2"/>
  </sheetData>
  <mergeCells count="8">
    <mergeCell ref="A31:F31"/>
    <mergeCell ref="A1:Y1"/>
    <mergeCell ref="A2:Y2"/>
    <mergeCell ref="G5:I5"/>
    <mergeCell ref="L5:Q5"/>
    <mergeCell ref="U5:W5"/>
    <mergeCell ref="B3:Y3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X12" sqref="X12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4" style="65" customWidth="1"/>
    <col min="11" max="11" width="15.71093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3.28515625" style="65" customWidth="1"/>
    <col min="25" max="25" width="15" style="65" customWidth="1"/>
    <col min="26" max="26" width="15.85546875" style="65" customWidth="1"/>
    <col min="27" max="27" width="61.42578125" style="65" customWidth="1"/>
    <col min="28" max="16384" width="11.42578125" style="65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94" t="s">
        <v>1</v>
      </c>
      <c r="J5" s="395"/>
      <c r="K5" s="396"/>
      <c r="L5" s="68" t="s">
        <v>25</v>
      </c>
      <c r="M5" s="69"/>
      <c r="N5" s="397" t="s">
        <v>8</v>
      </c>
      <c r="O5" s="398"/>
      <c r="P5" s="398"/>
      <c r="Q5" s="398"/>
      <c r="R5" s="398"/>
      <c r="S5" s="399"/>
      <c r="T5" s="68" t="s">
        <v>29</v>
      </c>
      <c r="U5" s="68" t="s">
        <v>9</v>
      </c>
      <c r="V5" s="67" t="s">
        <v>52</v>
      </c>
      <c r="W5" s="400" t="s">
        <v>2</v>
      </c>
      <c r="X5" s="401"/>
      <c r="Y5" s="402"/>
      <c r="Z5" s="67" t="s">
        <v>0</v>
      </c>
      <c r="AA5" s="70"/>
    </row>
    <row r="6" spans="1:27" ht="22.5" x14ac:dyDescent="0.2">
      <c r="A6" s="71" t="s">
        <v>20</v>
      </c>
      <c r="B6" s="72" t="s">
        <v>99</v>
      </c>
      <c r="C6" s="72" t="s">
        <v>112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58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215</v>
      </c>
      <c r="X6" s="67" t="s">
        <v>56</v>
      </c>
      <c r="Y6" s="67" t="s">
        <v>6</v>
      </c>
      <c r="Z6" s="71" t="s">
        <v>3</v>
      </c>
      <c r="AA6" s="75" t="s">
        <v>57</v>
      </c>
    </row>
    <row r="7" spans="1:27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59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123</v>
      </c>
      <c r="V7" s="71" t="s">
        <v>51</v>
      </c>
      <c r="W7" s="71"/>
      <c r="X7" s="71"/>
      <c r="Y7" s="71" t="s">
        <v>43</v>
      </c>
      <c r="Z7" s="71" t="s">
        <v>4</v>
      </c>
      <c r="AA7" s="78"/>
    </row>
    <row r="8" spans="1:27" ht="37.5" customHeight="1" x14ac:dyDescent="0.25">
      <c r="A8" s="79"/>
      <c r="B8" s="80"/>
      <c r="C8" s="80"/>
      <c r="D8" s="131" t="s">
        <v>129</v>
      </c>
      <c r="E8" s="98" t="s">
        <v>220</v>
      </c>
      <c r="F8" s="81" t="s">
        <v>61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2"/>
    </row>
    <row r="9" spans="1:27" ht="120.75" customHeight="1" x14ac:dyDescent="0.25">
      <c r="A9" s="79"/>
      <c r="B9" s="154">
        <v>390</v>
      </c>
      <c r="C9" s="137" t="s">
        <v>111</v>
      </c>
      <c r="D9" s="168" t="s">
        <v>362</v>
      </c>
      <c r="E9" s="254">
        <v>45582</v>
      </c>
      <c r="F9" s="168" t="s">
        <v>361</v>
      </c>
      <c r="G9" s="167"/>
      <c r="H9" s="167"/>
      <c r="I9" s="142">
        <v>9833.5</v>
      </c>
      <c r="J9" s="143">
        <v>0</v>
      </c>
      <c r="K9" s="144">
        <f t="shared" ref="K9" si="0">SUM(I9:J9)</f>
        <v>9833.5</v>
      </c>
      <c r="L9" s="145">
        <f t="shared" ref="L9" si="1">IF(I9/15&lt;=SMG,0,J9/2)</f>
        <v>0</v>
      </c>
      <c r="M9" s="145">
        <f t="shared" ref="M9" si="2">I9+L9</f>
        <v>9833.5</v>
      </c>
      <c r="N9" s="145">
        <f t="shared" ref="N9" si="3">VLOOKUP(M9,Tarifa1,1)</f>
        <v>7641.91</v>
      </c>
      <c r="O9" s="145">
        <f>M9-N9</f>
        <v>2191.59</v>
      </c>
      <c r="P9" s="146">
        <f t="shared" ref="P9" si="4">VLOOKUP(M9,Tarifa1,3)</f>
        <v>0.21360000000000001</v>
      </c>
      <c r="Q9" s="145">
        <f>O9*P9</f>
        <v>468.12362400000006</v>
      </c>
      <c r="R9" s="147">
        <f t="shared" ref="R9" si="5">VLOOKUP(M9,Tarifa1,2)</f>
        <v>809.25</v>
      </c>
      <c r="S9" s="145">
        <f>Q9+R9</f>
        <v>1277.3736240000001</v>
      </c>
      <c r="T9" s="145">
        <f t="shared" ref="T9" si="6">VLOOKUP(M9,Credito1,2)</f>
        <v>0</v>
      </c>
      <c r="U9" s="145">
        <f>ROUND(S9-T9,2)</f>
        <v>1277.3699999999999</v>
      </c>
      <c r="V9" s="144">
        <f>-IF(U9&gt;0,0,0)</f>
        <v>0</v>
      </c>
      <c r="W9" s="144">
        <f t="shared" ref="W9" si="7">IF(I9/15&lt;=SMG,0,IF(U9&lt;0,0,U9))</f>
        <v>1277.3699999999999</v>
      </c>
      <c r="X9" s="148">
        <v>0</v>
      </c>
      <c r="Y9" s="144">
        <f t="shared" ref="Y9" si="8">SUM(W9:X9)</f>
        <v>1277.3699999999999</v>
      </c>
      <c r="Z9" s="144">
        <f t="shared" ref="Z9" si="9">K9+V9-Y9</f>
        <v>8556.130000000001</v>
      </c>
      <c r="AA9" s="167"/>
    </row>
    <row r="10" spans="1:27" ht="120.75" customHeight="1" x14ac:dyDescent="0.25">
      <c r="A10" s="79"/>
      <c r="B10" s="154">
        <v>391</v>
      </c>
      <c r="C10" s="137" t="s">
        <v>111</v>
      </c>
      <c r="D10" s="168" t="s">
        <v>363</v>
      </c>
      <c r="E10" s="254">
        <v>45586</v>
      </c>
      <c r="F10" s="168" t="s">
        <v>361</v>
      </c>
      <c r="G10" s="167"/>
      <c r="H10" s="167"/>
      <c r="I10" s="142">
        <v>9833.5</v>
      </c>
      <c r="J10" s="143">
        <v>0</v>
      </c>
      <c r="K10" s="144">
        <f t="shared" ref="K10:K11" si="10">SUM(I10:J10)</f>
        <v>9833.5</v>
      </c>
      <c r="L10" s="145">
        <f t="shared" ref="L10:L11" si="11">IF(I10/15&lt;=SMG,0,J10/2)</f>
        <v>0</v>
      </c>
      <c r="M10" s="145">
        <f t="shared" ref="M10:M11" si="12">I10+L10</f>
        <v>9833.5</v>
      </c>
      <c r="N10" s="145">
        <f t="shared" ref="N10:N11" si="13">VLOOKUP(M10,Tarifa1,1)</f>
        <v>7641.91</v>
      </c>
      <c r="O10" s="145">
        <f>M10-N10</f>
        <v>2191.59</v>
      </c>
      <c r="P10" s="146">
        <f t="shared" ref="P10:P11" si="14">VLOOKUP(M10,Tarifa1,3)</f>
        <v>0.21360000000000001</v>
      </c>
      <c r="Q10" s="145">
        <f>O10*P10</f>
        <v>468.12362400000006</v>
      </c>
      <c r="R10" s="147">
        <f t="shared" ref="R10:R11" si="15">VLOOKUP(M10,Tarifa1,2)</f>
        <v>809.25</v>
      </c>
      <c r="S10" s="145">
        <f>Q10+R10</f>
        <v>1277.3736240000001</v>
      </c>
      <c r="T10" s="145">
        <f t="shared" ref="T10:T11" si="16">VLOOKUP(M10,Credito1,2)</f>
        <v>0</v>
      </c>
      <c r="U10" s="145">
        <f>ROUND(S10-T10,2)</f>
        <v>1277.3699999999999</v>
      </c>
      <c r="V10" s="144">
        <f>-IF(U10&gt;0,0,0)</f>
        <v>0</v>
      </c>
      <c r="W10" s="144">
        <f t="shared" ref="W10:W11" si="17">IF(I10/15&lt;=SMG,0,IF(U10&lt;0,0,U10))</f>
        <v>1277.3699999999999</v>
      </c>
      <c r="X10" s="148">
        <v>0</v>
      </c>
      <c r="Y10" s="144">
        <f t="shared" ref="Y10:Y11" si="18">SUM(W10:X10)</f>
        <v>1277.3699999999999</v>
      </c>
      <c r="Z10" s="144">
        <f t="shared" ref="Z10:Z11" si="19">K10+V10-Y10</f>
        <v>8556.130000000001</v>
      </c>
      <c r="AA10" s="167"/>
    </row>
    <row r="11" spans="1:27" ht="120.75" customHeight="1" x14ac:dyDescent="0.25">
      <c r="A11" s="79"/>
      <c r="B11" s="154">
        <v>392</v>
      </c>
      <c r="C11" s="137" t="s">
        <v>111</v>
      </c>
      <c r="D11" s="168" t="s">
        <v>360</v>
      </c>
      <c r="E11" s="254">
        <v>45586</v>
      </c>
      <c r="F11" s="168" t="s">
        <v>361</v>
      </c>
      <c r="G11" s="167"/>
      <c r="H11" s="167"/>
      <c r="I11" s="142">
        <v>9833.5</v>
      </c>
      <c r="J11" s="143">
        <v>0</v>
      </c>
      <c r="K11" s="144">
        <f t="shared" si="10"/>
        <v>9833.5</v>
      </c>
      <c r="L11" s="145">
        <f t="shared" si="11"/>
        <v>0</v>
      </c>
      <c r="M11" s="145">
        <f t="shared" si="12"/>
        <v>9833.5</v>
      </c>
      <c r="N11" s="145">
        <f t="shared" si="13"/>
        <v>7641.91</v>
      </c>
      <c r="O11" s="145">
        <f>M11-N11</f>
        <v>2191.59</v>
      </c>
      <c r="P11" s="146">
        <f t="shared" si="14"/>
        <v>0.21360000000000001</v>
      </c>
      <c r="Q11" s="145">
        <f>O11*P11</f>
        <v>468.12362400000006</v>
      </c>
      <c r="R11" s="147">
        <f t="shared" si="15"/>
        <v>809.25</v>
      </c>
      <c r="S11" s="145">
        <f>Q11+R11</f>
        <v>1277.3736240000001</v>
      </c>
      <c r="T11" s="145">
        <f t="shared" si="16"/>
        <v>0</v>
      </c>
      <c r="U11" s="145">
        <f>ROUND(S11-T11,2)</f>
        <v>1277.3699999999999</v>
      </c>
      <c r="V11" s="144">
        <f>-IF(U11&gt;0,0,0)</f>
        <v>0</v>
      </c>
      <c r="W11" s="144">
        <f t="shared" si="17"/>
        <v>1277.3699999999999</v>
      </c>
      <c r="X11" s="148">
        <v>0</v>
      </c>
      <c r="Y11" s="144">
        <f t="shared" si="18"/>
        <v>1277.3699999999999</v>
      </c>
      <c r="Z11" s="144">
        <f t="shared" si="19"/>
        <v>8556.130000000001</v>
      </c>
      <c r="AA11" s="167"/>
    </row>
    <row r="12" spans="1:27" s="91" customFormat="1" ht="120.75" customHeight="1" x14ac:dyDescent="0.25">
      <c r="A12" s="107"/>
      <c r="B12" s="137" t="s">
        <v>173</v>
      </c>
      <c r="C12" s="137" t="s">
        <v>111</v>
      </c>
      <c r="D12" s="175" t="s">
        <v>172</v>
      </c>
      <c r="E12" s="194">
        <v>43998</v>
      </c>
      <c r="F12" s="138" t="s">
        <v>127</v>
      </c>
      <c r="G12" s="140"/>
      <c r="H12" s="141"/>
      <c r="I12" s="142">
        <v>5940.5</v>
      </c>
      <c r="J12" s="143">
        <v>0</v>
      </c>
      <c r="K12" s="144">
        <f t="shared" ref="K12" si="20">SUM(I12:J12)</f>
        <v>5940.5</v>
      </c>
      <c r="L12" s="145">
        <f t="shared" ref="L12" si="21">IF(I12/15&lt;=SMG,0,J12/2)</f>
        <v>0</v>
      </c>
      <c r="M12" s="145">
        <f t="shared" ref="M12:M13" si="22">I12+L12</f>
        <v>5940.5</v>
      </c>
      <c r="N12" s="145">
        <f t="shared" ref="N12:N13" si="23">VLOOKUP(M12,Tarifa1,1)</f>
        <v>5490.76</v>
      </c>
      <c r="O12" s="145">
        <f t="shared" ref="O12:O13" si="24">M12-N12</f>
        <v>449.73999999999978</v>
      </c>
      <c r="P12" s="146">
        <f t="shared" ref="P12:P13" si="25">VLOOKUP(M12,Tarifa1,3)</f>
        <v>0.16</v>
      </c>
      <c r="Q12" s="145">
        <f t="shared" ref="Q12:Q13" si="26">O12*P12</f>
        <v>71.958399999999969</v>
      </c>
      <c r="R12" s="147">
        <f t="shared" ref="R12:R13" si="27">VLOOKUP(M12,Tarifa1,2)</f>
        <v>441</v>
      </c>
      <c r="S12" s="145">
        <f t="shared" ref="S12:S13" si="28">Q12+R12</f>
        <v>512.95839999999998</v>
      </c>
      <c r="T12" s="145">
        <f t="shared" ref="T12:T13" si="29">VLOOKUP(M12,Credito1,2)</f>
        <v>0</v>
      </c>
      <c r="U12" s="145">
        <f t="shared" ref="U12:U13" si="30">ROUND(S12-T12,2)</f>
        <v>512.96</v>
      </c>
      <c r="V12" s="144">
        <f t="shared" ref="V12:V16" si="31">-IF(U12&gt;0,0,0)</f>
        <v>0</v>
      </c>
      <c r="W12" s="144">
        <f t="shared" ref="W12:W13" si="32">IF(I12/15&lt;=SMG,0,IF(U12&lt;0,0,U12))</f>
        <v>512.96</v>
      </c>
      <c r="X12" s="148">
        <v>0</v>
      </c>
      <c r="Y12" s="144">
        <f t="shared" ref="Y12" si="33">SUM(W12:X12)</f>
        <v>512.96</v>
      </c>
      <c r="Z12" s="144">
        <f t="shared" ref="Z12" si="34">K12+V12-Y12</f>
        <v>5427.54</v>
      </c>
      <c r="AA12" s="108"/>
    </row>
    <row r="13" spans="1:27" s="91" customFormat="1" ht="120.75" customHeight="1" x14ac:dyDescent="0.25">
      <c r="A13" s="107"/>
      <c r="B13" s="137" t="s">
        <v>218</v>
      </c>
      <c r="C13" s="137" t="s">
        <v>111</v>
      </c>
      <c r="D13" s="175" t="s">
        <v>219</v>
      </c>
      <c r="E13" s="194">
        <v>44942</v>
      </c>
      <c r="F13" s="138" t="s">
        <v>127</v>
      </c>
      <c r="G13" s="140"/>
      <c r="H13" s="141"/>
      <c r="I13" s="142">
        <v>5367</v>
      </c>
      <c r="J13" s="143">
        <v>0</v>
      </c>
      <c r="K13" s="144">
        <f t="shared" ref="K13" si="35">SUM(I13:J13)</f>
        <v>5367</v>
      </c>
      <c r="L13" s="145">
        <f t="shared" ref="L13" si="36">IF(I13/15&lt;=SMG,0,J13/2)</f>
        <v>0</v>
      </c>
      <c r="M13" s="145">
        <f t="shared" si="22"/>
        <v>5367</v>
      </c>
      <c r="N13" s="145">
        <f t="shared" si="23"/>
        <v>3124.36</v>
      </c>
      <c r="O13" s="145">
        <f t="shared" si="24"/>
        <v>2242.64</v>
      </c>
      <c r="P13" s="146">
        <f t="shared" si="25"/>
        <v>0.10879999999999999</v>
      </c>
      <c r="Q13" s="145">
        <f t="shared" si="26"/>
        <v>243.99923199999998</v>
      </c>
      <c r="R13" s="147">
        <f t="shared" si="27"/>
        <v>183.45</v>
      </c>
      <c r="S13" s="145">
        <f t="shared" si="28"/>
        <v>427.44923199999994</v>
      </c>
      <c r="T13" s="145">
        <f t="shared" si="29"/>
        <v>0</v>
      </c>
      <c r="U13" s="145">
        <f t="shared" si="30"/>
        <v>427.45</v>
      </c>
      <c r="V13" s="144">
        <f t="shared" si="31"/>
        <v>0</v>
      </c>
      <c r="W13" s="144">
        <f t="shared" si="32"/>
        <v>427.45</v>
      </c>
      <c r="X13" s="148">
        <v>0</v>
      </c>
      <c r="Y13" s="144">
        <f t="shared" ref="Y13" si="37">SUM(W13:X13)</f>
        <v>427.45</v>
      </c>
      <c r="Z13" s="144">
        <f t="shared" ref="Z13" si="38">K13+V13-Y13</f>
        <v>4939.55</v>
      </c>
      <c r="AA13" s="90"/>
    </row>
    <row r="14" spans="1:27" s="91" customFormat="1" ht="120.75" customHeight="1" x14ac:dyDescent="0.25">
      <c r="A14" s="107"/>
      <c r="B14" s="137" t="s">
        <v>295</v>
      </c>
      <c r="C14" s="137" t="s">
        <v>296</v>
      </c>
      <c r="D14" s="175" t="s">
        <v>297</v>
      </c>
      <c r="E14" s="194">
        <v>45481</v>
      </c>
      <c r="F14" s="138" t="s">
        <v>127</v>
      </c>
      <c r="G14" s="140"/>
      <c r="H14" s="141"/>
      <c r="I14" s="142">
        <v>5367</v>
      </c>
      <c r="J14" s="143">
        <v>0</v>
      </c>
      <c r="K14" s="144">
        <f t="shared" ref="K14:K15" si="39">SUM(I14:J14)</f>
        <v>5367</v>
      </c>
      <c r="L14" s="145">
        <f t="shared" ref="L14:L15" si="40">IF(I14/15&lt;=SMG,0,J14/2)</f>
        <v>0</v>
      </c>
      <c r="M14" s="145">
        <f t="shared" ref="M14:M15" si="41">I14+L14</f>
        <v>5367</v>
      </c>
      <c r="N14" s="145">
        <f t="shared" ref="N14:N15" si="42">VLOOKUP(M14,Tarifa1,1)</f>
        <v>3124.36</v>
      </c>
      <c r="O14" s="145">
        <f t="shared" ref="O14:O15" si="43">M14-N14</f>
        <v>2242.64</v>
      </c>
      <c r="P14" s="146">
        <f t="shared" ref="P14:P15" si="44">VLOOKUP(M14,Tarifa1,3)</f>
        <v>0.10879999999999999</v>
      </c>
      <c r="Q14" s="145">
        <f t="shared" ref="Q14:Q15" si="45">O14*P14</f>
        <v>243.99923199999998</v>
      </c>
      <c r="R14" s="147">
        <f t="shared" ref="R14:R15" si="46">VLOOKUP(M14,Tarifa1,2)</f>
        <v>183.45</v>
      </c>
      <c r="S14" s="145">
        <f t="shared" ref="S14:S15" si="47">Q14+R14</f>
        <v>427.44923199999994</v>
      </c>
      <c r="T14" s="145">
        <f t="shared" ref="T14:T15" si="48">VLOOKUP(M14,Credito1,2)</f>
        <v>0</v>
      </c>
      <c r="U14" s="145">
        <f t="shared" ref="U14:U15" si="49">ROUND(S14-T14,2)</f>
        <v>427.45</v>
      </c>
      <c r="V14" s="144">
        <f t="shared" ref="V14:V15" si="50">-IF(U14&gt;0,0,0)</f>
        <v>0</v>
      </c>
      <c r="W14" s="144">
        <f t="shared" ref="W14:W15" si="51">IF(I14/15&lt;=SMG,0,IF(U14&lt;0,0,U14))</f>
        <v>427.45</v>
      </c>
      <c r="X14" s="148">
        <v>0</v>
      </c>
      <c r="Y14" s="144">
        <f t="shared" ref="Y14:Y15" si="52">SUM(W14:X14)</f>
        <v>427.45</v>
      </c>
      <c r="Z14" s="144">
        <f t="shared" ref="Z14:Z15" si="53">K14+V14-Y14</f>
        <v>4939.55</v>
      </c>
      <c r="AA14" s="90"/>
    </row>
    <row r="15" spans="1:27" s="91" customFormat="1" ht="120.75" customHeight="1" x14ac:dyDescent="0.25">
      <c r="A15" s="107"/>
      <c r="B15" s="137" t="s">
        <v>130</v>
      </c>
      <c r="C15" s="137" t="s">
        <v>111</v>
      </c>
      <c r="D15" s="175" t="s">
        <v>126</v>
      </c>
      <c r="E15" s="194">
        <v>43101</v>
      </c>
      <c r="F15" s="139" t="s">
        <v>128</v>
      </c>
      <c r="G15" s="140">
        <v>15</v>
      </c>
      <c r="H15" s="141">
        <f>I15/G15</f>
        <v>356.03333333333336</v>
      </c>
      <c r="I15" s="142">
        <v>5340.5</v>
      </c>
      <c r="J15" s="143">
        <v>0</v>
      </c>
      <c r="K15" s="144">
        <f t="shared" si="39"/>
        <v>5340.5</v>
      </c>
      <c r="L15" s="145">
        <f t="shared" si="40"/>
        <v>0</v>
      </c>
      <c r="M15" s="145">
        <f t="shared" si="41"/>
        <v>5340.5</v>
      </c>
      <c r="N15" s="145">
        <f t="shared" si="42"/>
        <v>3124.36</v>
      </c>
      <c r="O15" s="145">
        <f t="shared" si="43"/>
        <v>2216.14</v>
      </c>
      <c r="P15" s="146">
        <f t="shared" si="44"/>
        <v>0.10879999999999999</v>
      </c>
      <c r="Q15" s="145">
        <f t="shared" si="45"/>
        <v>241.11603199999996</v>
      </c>
      <c r="R15" s="147">
        <f t="shared" si="46"/>
        <v>183.45</v>
      </c>
      <c r="S15" s="145">
        <f t="shared" si="47"/>
        <v>424.56603199999995</v>
      </c>
      <c r="T15" s="145">
        <f t="shared" si="48"/>
        <v>0</v>
      </c>
      <c r="U15" s="145">
        <f t="shared" si="49"/>
        <v>424.57</v>
      </c>
      <c r="V15" s="144">
        <f t="shared" si="50"/>
        <v>0</v>
      </c>
      <c r="W15" s="144">
        <f t="shared" si="51"/>
        <v>424.57</v>
      </c>
      <c r="X15" s="148">
        <v>0</v>
      </c>
      <c r="Y15" s="144">
        <f t="shared" si="52"/>
        <v>424.57</v>
      </c>
      <c r="Z15" s="144">
        <f t="shared" si="53"/>
        <v>4915.93</v>
      </c>
      <c r="AA15" s="90"/>
    </row>
    <row r="16" spans="1:27" s="91" customFormat="1" ht="120.75" customHeight="1" x14ac:dyDescent="0.25">
      <c r="A16" s="107"/>
      <c r="B16" s="169">
        <v>328</v>
      </c>
      <c r="C16" s="137" t="s">
        <v>111</v>
      </c>
      <c r="D16" s="186" t="s">
        <v>298</v>
      </c>
      <c r="E16" s="194">
        <v>45505</v>
      </c>
      <c r="F16" s="139" t="s">
        <v>128</v>
      </c>
      <c r="G16" s="140">
        <v>15</v>
      </c>
      <c r="H16" s="141">
        <f>I16/G16</f>
        <v>356.03333333333336</v>
      </c>
      <c r="I16" s="142">
        <v>5340.5</v>
      </c>
      <c r="J16" s="143">
        <v>0</v>
      </c>
      <c r="K16" s="144">
        <f t="shared" ref="K16" si="54">SUM(I16:J16)</f>
        <v>5340.5</v>
      </c>
      <c r="L16" s="145">
        <f t="shared" ref="L16" si="55">IF(I16/15&lt;=SMG,0,J16/2)</f>
        <v>0</v>
      </c>
      <c r="M16" s="145">
        <f t="shared" ref="M16" si="56">I16+L16</f>
        <v>5340.5</v>
      </c>
      <c r="N16" s="145">
        <f t="shared" ref="N16" si="57">VLOOKUP(M16,Tarifa1,1)</f>
        <v>3124.36</v>
      </c>
      <c r="O16" s="145">
        <f t="shared" ref="O16" si="58">M16-N16</f>
        <v>2216.14</v>
      </c>
      <c r="P16" s="146">
        <f t="shared" ref="P16" si="59">VLOOKUP(M16,Tarifa1,3)</f>
        <v>0.10879999999999999</v>
      </c>
      <c r="Q16" s="145">
        <f t="shared" ref="Q16" si="60">O16*P16</f>
        <v>241.11603199999996</v>
      </c>
      <c r="R16" s="147">
        <f t="shared" ref="R16" si="61">VLOOKUP(M16,Tarifa1,2)</f>
        <v>183.45</v>
      </c>
      <c r="S16" s="145">
        <f t="shared" ref="S16" si="62">Q16+R16</f>
        <v>424.56603199999995</v>
      </c>
      <c r="T16" s="145">
        <f t="shared" ref="T16" si="63">VLOOKUP(M16,Credito1,2)</f>
        <v>0</v>
      </c>
      <c r="U16" s="145">
        <f t="shared" ref="U16" si="64">ROUND(S16-T16,2)</f>
        <v>424.57</v>
      </c>
      <c r="V16" s="144">
        <f t="shared" si="31"/>
        <v>0</v>
      </c>
      <c r="W16" s="144">
        <f t="shared" ref="W16" si="65">IF(I16/15&lt;=SMG,0,IF(U16&lt;0,0,U16))</f>
        <v>424.57</v>
      </c>
      <c r="X16" s="148">
        <v>0</v>
      </c>
      <c r="Y16" s="144">
        <f t="shared" ref="Y16" si="66">SUM(W16:X16)</f>
        <v>424.57</v>
      </c>
      <c r="Z16" s="144">
        <f t="shared" ref="Z16" si="67">K16+V16-Y16</f>
        <v>4915.93</v>
      </c>
      <c r="AA16" s="90"/>
    </row>
    <row r="17" spans="1:26" ht="40.5" customHeight="1" thickBot="1" x14ac:dyDescent="0.3">
      <c r="A17" s="348" t="s">
        <v>44</v>
      </c>
      <c r="B17" s="349"/>
      <c r="C17" s="349"/>
      <c r="D17" s="349"/>
      <c r="E17" s="349"/>
      <c r="F17" s="349"/>
      <c r="G17" s="349"/>
      <c r="H17" s="350"/>
      <c r="I17" s="149">
        <f>SUM(I9:I16)</f>
        <v>56856</v>
      </c>
      <c r="J17" s="149">
        <f>SUM(J9:J16)</f>
        <v>0</v>
      </c>
      <c r="K17" s="149">
        <f>SUM(K9:K16)</f>
        <v>56856</v>
      </c>
      <c r="L17" s="150">
        <f t="shared" ref="L17:U17" si="68">SUM(L12:L16)</f>
        <v>0</v>
      </c>
      <c r="M17" s="150">
        <f t="shared" si="68"/>
        <v>27355.5</v>
      </c>
      <c r="N17" s="150">
        <f t="shared" si="68"/>
        <v>17988.2</v>
      </c>
      <c r="O17" s="150">
        <f t="shared" si="68"/>
        <v>9367.2999999999993</v>
      </c>
      <c r="P17" s="150">
        <f t="shared" si="68"/>
        <v>0.59519999999999995</v>
      </c>
      <c r="Q17" s="150">
        <f t="shared" si="68"/>
        <v>1042.1889279999998</v>
      </c>
      <c r="R17" s="150">
        <f t="shared" si="68"/>
        <v>1174.8000000000002</v>
      </c>
      <c r="S17" s="150">
        <f t="shared" si="68"/>
        <v>2216.9889279999998</v>
      </c>
      <c r="T17" s="150">
        <f t="shared" si="68"/>
        <v>0</v>
      </c>
      <c r="U17" s="150">
        <f t="shared" si="68"/>
        <v>2217</v>
      </c>
      <c r="V17" s="149">
        <f>SUM(V9:V16)</f>
        <v>0</v>
      </c>
      <c r="W17" s="149">
        <f>SUM(W9:W16)</f>
        <v>6049.1099999999988</v>
      </c>
      <c r="X17" s="149">
        <f>SUM(X9:X16)</f>
        <v>0</v>
      </c>
      <c r="Y17" s="149">
        <f>SUM(Y9:Y16)</f>
        <v>6049.1099999999988</v>
      </c>
      <c r="Z17" s="149">
        <f>SUM(Z9:Z16)</f>
        <v>50806.890000000007</v>
      </c>
    </row>
    <row r="18" spans="1:26" ht="18.75" thickTop="1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8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8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4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  <col min="28" max="28" width="1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">
        <v>387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8.75" customHeight="1" x14ac:dyDescent="0.2">
      <c r="A4" s="4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33" s="51" customFormat="1" ht="15.75" x14ac:dyDescent="0.25">
      <c r="A5" s="47"/>
      <c r="B5" s="116"/>
      <c r="C5" s="116"/>
      <c r="D5" s="116"/>
      <c r="E5" s="116"/>
      <c r="F5" s="234"/>
      <c r="G5" s="117" t="s">
        <v>22</v>
      </c>
      <c r="H5" s="237" t="s">
        <v>5</v>
      </c>
      <c r="I5" s="353" t="s">
        <v>1</v>
      </c>
      <c r="J5" s="354"/>
      <c r="K5" s="355"/>
      <c r="L5" s="118" t="s">
        <v>25</v>
      </c>
      <c r="M5" s="119"/>
      <c r="N5" s="356" t="s">
        <v>8</v>
      </c>
      <c r="O5" s="357"/>
      <c r="P5" s="357"/>
      <c r="Q5" s="357"/>
      <c r="R5" s="357"/>
      <c r="S5" s="358"/>
      <c r="T5" s="118" t="s">
        <v>52</v>
      </c>
      <c r="U5" s="118" t="s">
        <v>9</v>
      </c>
      <c r="V5" s="117" t="s">
        <v>52</v>
      </c>
      <c r="W5" s="359" t="s">
        <v>2</v>
      </c>
      <c r="X5" s="360"/>
      <c r="Y5" s="361"/>
      <c r="Z5" s="117" t="s">
        <v>0</v>
      </c>
      <c r="AA5" s="47"/>
    </row>
    <row r="6" spans="1:33" s="51" customFormat="1" ht="29.25" customHeight="1" x14ac:dyDescent="0.25">
      <c r="A6" s="52" t="s">
        <v>20</v>
      </c>
      <c r="B6" s="120" t="s">
        <v>99</v>
      </c>
      <c r="C6" s="120" t="s">
        <v>118</v>
      </c>
      <c r="D6" s="121" t="s">
        <v>21</v>
      </c>
      <c r="E6" s="121"/>
      <c r="F6" s="235"/>
      <c r="G6" s="240" t="s">
        <v>23</v>
      </c>
      <c r="H6" s="238" t="s">
        <v>24</v>
      </c>
      <c r="I6" s="117" t="s">
        <v>5</v>
      </c>
      <c r="J6" s="117" t="s">
        <v>58</v>
      </c>
      <c r="K6" s="117" t="s">
        <v>27</v>
      </c>
      <c r="L6" s="122" t="s">
        <v>26</v>
      </c>
      <c r="M6" s="119" t="s">
        <v>31</v>
      </c>
      <c r="N6" s="119" t="s">
        <v>11</v>
      </c>
      <c r="O6" s="119" t="s">
        <v>33</v>
      </c>
      <c r="P6" s="119" t="s">
        <v>35</v>
      </c>
      <c r="Q6" s="119" t="s">
        <v>36</v>
      </c>
      <c r="R6" s="119" t="s">
        <v>13</v>
      </c>
      <c r="S6" s="119" t="s">
        <v>9</v>
      </c>
      <c r="T6" s="122" t="s">
        <v>39</v>
      </c>
      <c r="U6" s="122" t="s">
        <v>40</v>
      </c>
      <c r="V6" s="121" t="s">
        <v>30</v>
      </c>
      <c r="W6" s="117" t="s">
        <v>215</v>
      </c>
      <c r="X6" s="117" t="s">
        <v>56</v>
      </c>
      <c r="Y6" s="117" t="s">
        <v>6</v>
      </c>
      <c r="Z6" s="121" t="s">
        <v>3</v>
      </c>
      <c r="AA6" s="52" t="s">
        <v>57</v>
      </c>
    </row>
    <row r="7" spans="1:33" s="51" customFormat="1" ht="15.75" x14ac:dyDescent="0.25">
      <c r="A7" s="60"/>
      <c r="B7" s="123"/>
      <c r="C7" s="123"/>
      <c r="D7" s="124"/>
      <c r="E7" s="124"/>
      <c r="F7" s="236"/>
      <c r="G7" s="124"/>
      <c r="H7" s="239"/>
      <c r="I7" s="124" t="s">
        <v>46</v>
      </c>
      <c r="J7" s="124" t="s">
        <v>59</v>
      </c>
      <c r="K7" s="124" t="s">
        <v>28</v>
      </c>
      <c r="L7" s="125" t="s">
        <v>42</v>
      </c>
      <c r="M7" s="118" t="s">
        <v>32</v>
      </c>
      <c r="N7" s="118" t="s">
        <v>12</v>
      </c>
      <c r="O7" s="118" t="s">
        <v>34</v>
      </c>
      <c r="P7" s="118" t="s">
        <v>34</v>
      </c>
      <c r="Q7" s="118" t="s">
        <v>37</v>
      </c>
      <c r="R7" s="118" t="s">
        <v>14</v>
      </c>
      <c r="S7" s="118" t="s">
        <v>38</v>
      </c>
      <c r="T7" s="122" t="s">
        <v>51</v>
      </c>
      <c r="U7" s="126" t="s">
        <v>182</v>
      </c>
      <c r="V7" s="124" t="s">
        <v>51</v>
      </c>
      <c r="W7" s="124"/>
      <c r="X7" s="124"/>
      <c r="Y7" s="124" t="s">
        <v>43</v>
      </c>
      <c r="Z7" s="124" t="s">
        <v>4</v>
      </c>
      <c r="AA7" s="57"/>
    </row>
    <row r="8" spans="1:33" s="51" customFormat="1" ht="43.5" customHeight="1" x14ac:dyDescent="0.25">
      <c r="A8" s="183"/>
      <c r="B8" s="196" t="s">
        <v>99</v>
      </c>
      <c r="C8" s="196" t="s">
        <v>118</v>
      </c>
      <c r="D8" s="197" t="s">
        <v>62</v>
      </c>
      <c r="E8" s="196" t="s">
        <v>221</v>
      </c>
      <c r="F8" s="183" t="s">
        <v>61</v>
      </c>
      <c r="G8" s="183"/>
      <c r="H8" s="183"/>
      <c r="I8" s="198">
        <f>SUM(I9:I11)</f>
        <v>48804.5</v>
      </c>
      <c r="J8" s="198">
        <f>SUM(J9:J11)</f>
        <v>0</v>
      </c>
      <c r="K8" s="198">
        <f>SUM(K9:K11)</f>
        <v>48804.5</v>
      </c>
      <c r="L8" s="183"/>
      <c r="M8" s="183"/>
      <c r="N8" s="183"/>
      <c r="O8" s="183"/>
      <c r="P8" s="183"/>
      <c r="Q8" s="183"/>
      <c r="R8" s="183"/>
      <c r="S8" s="183"/>
      <c r="T8" s="183"/>
      <c r="U8" s="199"/>
      <c r="V8" s="198">
        <f>SUM(V9:V11)</f>
        <v>0</v>
      </c>
      <c r="W8" s="198">
        <f>SUM(W9:W11)</f>
        <v>8588.43</v>
      </c>
      <c r="X8" s="198">
        <f>SUM(X9:X11)</f>
        <v>0</v>
      </c>
      <c r="Y8" s="198">
        <f>SUM(Y9:Y11)</f>
        <v>8588.43</v>
      </c>
      <c r="Z8" s="198">
        <f>SUM(Z9:Z11)</f>
        <v>40216.07</v>
      </c>
      <c r="AA8" s="63"/>
    </row>
    <row r="9" spans="1:33" s="51" customFormat="1" ht="201" customHeight="1" x14ac:dyDescent="0.3">
      <c r="A9" s="137" t="s">
        <v>83</v>
      </c>
      <c r="B9" s="136" t="s">
        <v>303</v>
      </c>
      <c r="C9" s="137" t="s">
        <v>111</v>
      </c>
      <c r="D9" s="187" t="s">
        <v>302</v>
      </c>
      <c r="E9" s="190">
        <v>45566</v>
      </c>
      <c r="F9" s="139" t="s">
        <v>178</v>
      </c>
      <c r="G9" s="140">
        <v>15</v>
      </c>
      <c r="H9" s="141">
        <v>1677.25</v>
      </c>
      <c r="I9" s="142">
        <v>28536</v>
      </c>
      <c r="J9" s="143">
        <v>0</v>
      </c>
      <c r="K9" s="144">
        <f>SUM(I9:J9)</f>
        <v>28536</v>
      </c>
      <c r="L9" s="145">
        <f>IF(I9/15&lt;=SMG,0,J9/2)</f>
        <v>0</v>
      </c>
      <c r="M9" s="145">
        <f>I9+L9</f>
        <v>28536</v>
      </c>
      <c r="N9" s="145">
        <f>VLOOKUP(M9,Tarifa1,1)</f>
        <v>24292.66</v>
      </c>
      <c r="O9" s="145">
        <f>M9-N9</f>
        <v>4243.34</v>
      </c>
      <c r="P9" s="146">
        <f>VLOOKUP(M9,Tarifa1,3)</f>
        <v>0.3</v>
      </c>
      <c r="Q9" s="145">
        <f>O9*P9</f>
        <v>1273.002</v>
      </c>
      <c r="R9" s="147">
        <f>VLOOKUP(M9,Tarifa1,2)</f>
        <v>4557.75</v>
      </c>
      <c r="S9" s="145">
        <f>Q9+R9</f>
        <v>5830.7520000000004</v>
      </c>
      <c r="T9" s="145">
        <f>VLOOKUP(M9,Credito1,2)</f>
        <v>0</v>
      </c>
      <c r="U9" s="145">
        <f>ROUND(S9-T9,2)</f>
        <v>5830.75</v>
      </c>
      <c r="V9" s="144">
        <f>-IF(U9&gt;0,0,0)</f>
        <v>0</v>
      </c>
      <c r="W9" s="144">
        <f>IF(I9/15&lt;=SMG,0,IF(U9&lt;0,0,U9))</f>
        <v>5830.75</v>
      </c>
      <c r="X9" s="148">
        <v>0</v>
      </c>
      <c r="Y9" s="144">
        <f>SUM(W9:X9)</f>
        <v>5830.75</v>
      </c>
      <c r="Z9" s="144">
        <f>K9+V9-Y9</f>
        <v>22705.25</v>
      </c>
      <c r="AA9" s="58"/>
    </row>
    <row r="10" spans="1:33" s="51" customFormat="1" ht="201" customHeight="1" x14ac:dyDescent="0.3">
      <c r="A10" s="137" t="s">
        <v>84</v>
      </c>
      <c r="B10" s="136" t="s">
        <v>180</v>
      </c>
      <c r="C10" s="137" t="s">
        <v>111</v>
      </c>
      <c r="D10" s="187" t="s">
        <v>181</v>
      </c>
      <c r="E10" s="190">
        <v>45566</v>
      </c>
      <c r="F10" s="139" t="s">
        <v>179</v>
      </c>
      <c r="G10" s="140">
        <v>15</v>
      </c>
      <c r="H10" s="141">
        <v>850.15</v>
      </c>
      <c r="I10" s="142">
        <v>14464.5</v>
      </c>
      <c r="J10" s="143">
        <v>0</v>
      </c>
      <c r="K10" s="144">
        <f>SUM(I10:J10)</f>
        <v>14464.5</v>
      </c>
      <c r="L10" s="145">
        <f>IF(I10/15&lt;=SMG,0,J10/2)</f>
        <v>0</v>
      </c>
      <c r="M10" s="145">
        <f t="shared" ref="M10" si="0">I10+L10</f>
        <v>14464.5</v>
      </c>
      <c r="N10" s="145">
        <f>VLOOKUP(M10,Tarifa1,1)</f>
        <v>7641.91</v>
      </c>
      <c r="O10" s="145">
        <f t="shared" ref="O10" si="1">M10-N10</f>
        <v>6822.59</v>
      </c>
      <c r="P10" s="146">
        <f>VLOOKUP(M10,Tarifa1,3)</f>
        <v>0.21360000000000001</v>
      </c>
      <c r="Q10" s="145">
        <f t="shared" ref="Q10" si="2">O10*P10</f>
        <v>1457.3052240000002</v>
      </c>
      <c r="R10" s="147">
        <f>VLOOKUP(M10,Tarifa1,2)</f>
        <v>809.25</v>
      </c>
      <c r="S10" s="145">
        <f t="shared" ref="S10" si="3">Q10+R10</f>
        <v>2266.5552240000002</v>
      </c>
      <c r="T10" s="145">
        <f>VLOOKUP(M10,Credito1,2)</f>
        <v>0</v>
      </c>
      <c r="U10" s="145">
        <f t="shared" ref="U10" si="4">ROUND(S10-T10,2)</f>
        <v>2266.56</v>
      </c>
      <c r="V10" s="144">
        <f>-IF(U10&gt;0,0,0)</f>
        <v>0</v>
      </c>
      <c r="W10" s="144">
        <f>IF(I10/15&lt;=SMG,0,IF(U10&lt;0,0,U10))</f>
        <v>2266.56</v>
      </c>
      <c r="X10" s="148">
        <v>0</v>
      </c>
      <c r="Y10" s="144">
        <f>SUM(W10:X10)</f>
        <v>2266.56</v>
      </c>
      <c r="Z10" s="144">
        <f>K10+V10-Y10</f>
        <v>12197.94</v>
      </c>
      <c r="AA10" s="58"/>
      <c r="AG10" s="59"/>
    </row>
    <row r="11" spans="1:33" s="51" customFormat="1" ht="201" customHeight="1" x14ac:dyDescent="0.3">
      <c r="A11" s="137"/>
      <c r="B11" s="137" t="s">
        <v>105</v>
      </c>
      <c r="C11" s="136" t="s">
        <v>111</v>
      </c>
      <c r="D11" s="187" t="s">
        <v>65</v>
      </c>
      <c r="E11" s="190">
        <v>40026</v>
      </c>
      <c r="F11" s="138" t="s">
        <v>63</v>
      </c>
      <c r="G11" s="140">
        <v>15</v>
      </c>
      <c r="H11" s="141">
        <v>341.11</v>
      </c>
      <c r="I11" s="142">
        <v>5804</v>
      </c>
      <c r="J11" s="143">
        <v>0</v>
      </c>
      <c r="K11" s="144">
        <f>SUM(I11:J11)</f>
        <v>5804</v>
      </c>
      <c r="L11" s="145">
        <f>IF(I11/15&lt;=SMG,0,J11/2)</f>
        <v>0</v>
      </c>
      <c r="M11" s="145">
        <f t="shared" ref="M11" si="5">I11+L11</f>
        <v>5804</v>
      </c>
      <c r="N11" s="145">
        <f>VLOOKUP(M11,Tarifa1,1)</f>
        <v>5490.76</v>
      </c>
      <c r="O11" s="145">
        <f t="shared" ref="O11" si="6">M11-N11</f>
        <v>313.23999999999978</v>
      </c>
      <c r="P11" s="146">
        <f>VLOOKUP(M11,Tarifa1,3)</f>
        <v>0.16</v>
      </c>
      <c r="Q11" s="145">
        <f t="shared" ref="Q11" si="7">O11*P11</f>
        <v>50.118399999999966</v>
      </c>
      <c r="R11" s="147">
        <f>VLOOKUP(M11,Tarifa1,2)</f>
        <v>441</v>
      </c>
      <c r="S11" s="145">
        <f t="shared" ref="S11" si="8">Q11+R11</f>
        <v>491.11839999999995</v>
      </c>
      <c r="T11" s="145">
        <f>VLOOKUP(M11,Credito1,2)</f>
        <v>0</v>
      </c>
      <c r="U11" s="145">
        <f t="shared" ref="U11" si="9">ROUND(S11-T11,2)</f>
        <v>491.12</v>
      </c>
      <c r="V11" s="144">
        <f>-IF(U11&gt;0,0,0)</f>
        <v>0</v>
      </c>
      <c r="W11" s="144">
        <f>IF(I11/15&lt;=SMG,0,IF(U11&lt;0,0,U11))</f>
        <v>491.12</v>
      </c>
      <c r="X11" s="148">
        <v>0</v>
      </c>
      <c r="Y11" s="144">
        <f>SUM(W11:X11)</f>
        <v>491.12</v>
      </c>
      <c r="Z11" s="144">
        <f>K11+V11-Y11-X11</f>
        <v>5312.88</v>
      </c>
      <c r="AA11" s="58"/>
      <c r="AG11" s="59"/>
    </row>
    <row r="12" spans="1:33" s="51" customFormat="1" ht="57.75" customHeight="1" x14ac:dyDescent="0.25">
      <c r="A12" s="137"/>
      <c r="B12" s="196" t="s">
        <v>99</v>
      </c>
      <c r="C12" s="196" t="s">
        <v>118</v>
      </c>
      <c r="D12" s="212" t="s">
        <v>114</v>
      </c>
      <c r="E12" s="196" t="s">
        <v>221</v>
      </c>
      <c r="F12" s="183" t="s">
        <v>61</v>
      </c>
      <c r="G12" s="183"/>
      <c r="H12" s="183"/>
      <c r="I12" s="198">
        <f>SUM(I13)</f>
        <v>6498</v>
      </c>
      <c r="J12" s="198">
        <f>SUM(J13)</f>
        <v>0</v>
      </c>
      <c r="K12" s="198">
        <f>SUM(K13)</f>
        <v>6498</v>
      </c>
      <c r="L12" s="183"/>
      <c r="M12" s="183"/>
      <c r="N12" s="183"/>
      <c r="O12" s="183"/>
      <c r="P12" s="183"/>
      <c r="Q12" s="183"/>
      <c r="R12" s="200"/>
      <c r="S12" s="183"/>
      <c r="T12" s="183"/>
      <c r="U12" s="199"/>
      <c r="V12" s="198">
        <f>SUM(V13)</f>
        <v>0</v>
      </c>
      <c r="W12" s="198">
        <f>SUM(W13)</f>
        <v>604.29</v>
      </c>
      <c r="X12" s="198">
        <f>SUM(X13)</f>
        <v>0</v>
      </c>
      <c r="Y12" s="198">
        <f>SUM(Y13)</f>
        <v>604.29</v>
      </c>
      <c r="Z12" s="198">
        <f>SUM(Z13)</f>
        <v>5893.71</v>
      </c>
      <c r="AA12" s="63"/>
      <c r="AG12" s="59"/>
    </row>
    <row r="13" spans="1:33" s="51" customFormat="1" ht="201" customHeight="1" x14ac:dyDescent="0.3">
      <c r="A13" s="137" t="s">
        <v>85</v>
      </c>
      <c r="B13" s="137" t="s">
        <v>210</v>
      </c>
      <c r="C13" s="136" t="s">
        <v>111</v>
      </c>
      <c r="D13" s="187" t="s">
        <v>205</v>
      </c>
      <c r="E13" s="190">
        <v>44743</v>
      </c>
      <c r="F13" s="139" t="s">
        <v>96</v>
      </c>
      <c r="G13" s="140">
        <v>15</v>
      </c>
      <c r="H13" s="141">
        <v>381.95</v>
      </c>
      <c r="I13" s="142">
        <v>6498</v>
      </c>
      <c r="J13" s="143">
        <v>0</v>
      </c>
      <c r="K13" s="144">
        <f>I13</f>
        <v>6498</v>
      </c>
      <c r="L13" s="145">
        <f>IF(I13/15&lt;=SMG,0,J13/2)</f>
        <v>0</v>
      </c>
      <c r="M13" s="145">
        <f t="shared" ref="M13" si="10">I13+L13</f>
        <v>6498</v>
      </c>
      <c r="N13" s="145">
        <f>VLOOKUP(M13,Tarifa1,1)</f>
        <v>6382.81</v>
      </c>
      <c r="O13" s="145">
        <f t="shared" ref="O13" si="11">M13-N13</f>
        <v>115.1899999999996</v>
      </c>
      <c r="P13" s="146">
        <f>VLOOKUP(M13,Tarifa1,3)</f>
        <v>0.1792</v>
      </c>
      <c r="Q13" s="145">
        <f t="shared" ref="Q13" si="12">O13*P13</f>
        <v>20.642047999999928</v>
      </c>
      <c r="R13" s="147">
        <f>VLOOKUP(M13,Tarifa1,2)</f>
        <v>583.65</v>
      </c>
      <c r="S13" s="145">
        <f t="shared" ref="S13" si="13">Q13+R13</f>
        <v>604.29204799999991</v>
      </c>
      <c r="T13" s="145">
        <f>VLOOKUP(M13,Credito1,2)</f>
        <v>0</v>
      </c>
      <c r="U13" s="145">
        <f t="shared" ref="U13" si="14">ROUND(S13-T13,2)</f>
        <v>604.29</v>
      </c>
      <c r="V13" s="144">
        <f>-IF(U13&gt;0,0,0)</f>
        <v>0</v>
      </c>
      <c r="W13" s="144">
        <f>IF(I13/15&lt;=SMG,0,IF(U13&lt;0,0,U13))</f>
        <v>604.29</v>
      </c>
      <c r="X13" s="148">
        <v>0</v>
      </c>
      <c r="Y13" s="144">
        <f>SUM(W13:X13)</f>
        <v>604.29</v>
      </c>
      <c r="Z13" s="144">
        <f>K13+V13-Y13</f>
        <v>5893.71</v>
      </c>
      <c r="AA13" s="58"/>
      <c r="AG13" s="59"/>
    </row>
    <row r="14" spans="1:33" s="51" customFormat="1" ht="63" customHeight="1" x14ac:dyDescent="0.25">
      <c r="A14" s="137"/>
      <c r="B14" s="196" t="s">
        <v>99</v>
      </c>
      <c r="C14" s="196" t="s">
        <v>118</v>
      </c>
      <c r="D14" s="197" t="s">
        <v>115</v>
      </c>
      <c r="E14" s="196" t="s">
        <v>221</v>
      </c>
      <c r="F14" s="183" t="s">
        <v>61</v>
      </c>
      <c r="G14" s="183"/>
      <c r="H14" s="183"/>
      <c r="I14" s="198">
        <v>4896.5</v>
      </c>
      <c r="J14" s="198">
        <f>SUM(J15)</f>
        <v>0</v>
      </c>
      <c r="K14" s="198">
        <f>SUM(K15)</f>
        <v>5771.25</v>
      </c>
      <c r="L14" s="183"/>
      <c r="M14" s="183"/>
      <c r="N14" s="183"/>
      <c r="O14" s="183"/>
      <c r="P14" s="183"/>
      <c r="Q14" s="183"/>
      <c r="R14" s="200"/>
      <c r="S14" s="183"/>
      <c r="T14" s="183"/>
      <c r="U14" s="199"/>
      <c r="V14" s="198">
        <f>SUM(V15)</f>
        <v>0</v>
      </c>
      <c r="W14" s="198">
        <f>SUM(W15)</f>
        <v>485.88</v>
      </c>
      <c r="X14" s="198">
        <f>SUM(X15)</f>
        <v>0</v>
      </c>
      <c r="Y14" s="198">
        <f>SUM(Y15)</f>
        <v>485.88</v>
      </c>
      <c r="Z14" s="198">
        <f>SUM(Z15)</f>
        <v>5285.37</v>
      </c>
      <c r="AA14" s="63"/>
      <c r="AG14" s="59"/>
    </row>
    <row r="15" spans="1:33" s="51" customFormat="1" ht="201" customHeight="1" x14ac:dyDescent="0.3">
      <c r="A15" s="137" t="s">
        <v>87</v>
      </c>
      <c r="B15" s="137" t="s">
        <v>185</v>
      </c>
      <c r="C15" s="137" t="s">
        <v>270</v>
      </c>
      <c r="D15" s="187" t="s">
        <v>187</v>
      </c>
      <c r="E15" s="190">
        <v>44470</v>
      </c>
      <c r="F15" s="139" t="s">
        <v>208</v>
      </c>
      <c r="G15" s="140">
        <v>15</v>
      </c>
      <c r="H15" s="141">
        <v>305.35000000000002</v>
      </c>
      <c r="I15" s="142">
        <v>5771.25</v>
      </c>
      <c r="J15" s="143">
        <v>0</v>
      </c>
      <c r="K15" s="144">
        <f>SUM(I15:J15)</f>
        <v>5771.25</v>
      </c>
      <c r="L15" s="145">
        <f>IF(I15/15&lt;=SMG,0,J15/2)</f>
        <v>0</v>
      </c>
      <c r="M15" s="145">
        <f t="shared" ref="M15" si="15">I15+L15</f>
        <v>5771.25</v>
      </c>
      <c r="N15" s="145">
        <f>VLOOKUP(M15,Tarifa1,1)</f>
        <v>5490.76</v>
      </c>
      <c r="O15" s="145">
        <f t="shared" ref="O15" si="16">M15-N15</f>
        <v>280.48999999999978</v>
      </c>
      <c r="P15" s="146">
        <f>VLOOKUP(M15,Tarifa1,3)</f>
        <v>0.16</v>
      </c>
      <c r="Q15" s="145">
        <f t="shared" ref="Q15" si="17">O15*P15</f>
        <v>44.878399999999964</v>
      </c>
      <c r="R15" s="147">
        <f>VLOOKUP(M15,Tarifa1,2)</f>
        <v>441</v>
      </c>
      <c r="S15" s="145">
        <f t="shared" ref="S15" si="18">Q15+R15</f>
        <v>485.87839999999994</v>
      </c>
      <c r="T15" s="145">
        <f>VLOOKUP(M15,Credito1,2)</f>
        <v>0</v>
      </c>
      <c r="U15" s="145">
        <f t="shared" ref="U15" si="19">ROUND(S15-T15,2)</f>
        <v>485.88</v>
      </c>
      <c r="V15" s="144">
        <f>-IF(U15&gt;0,0,0)</f>
        <v>0</v>
      </c>
      <c r="W15" s="144">
        <f>IF(I15/15&lt;=SMG,0,IF(U15&lt;0,0,U15))</f>
        <v>485.88</v>
      </c>
      <c r="X15" s="148">
        <v>0</v>
      </c>
      <c r="Y15" s="144">
        <f>SUM(W15:X15)</f>
        <v>485.88</v>
      </c>
      <c r="Z15" s="144">
        <f>K15+V15-Y15</f>
        <v>5285.37</v>
      </c>
      <c r="AA15" s="58"/>
      <c r="AG15" s="64"/>
    </row>
    <row r="16" spans="1:33" s="51" customFormat="1" ht="50.25" customHeight="1" x14ac:dyDescent="0.25">
      <c r="A16" s="137"/>
      <c r="B16" s="196" t="s">
        <v>99</v>
      </c>
      <c r="C16" s="196" t="s">
        <v>118</v>
      </c>
      <c r="D16" s="183" t="s">
        <v>116</v>
      </c>
      <c r="E16" s="196" t="s">
        <v>221</v>
      </c>
      <c r="F16" s="183" t="s">
        <v>61</v>
      </c>
      <c r="G16" s="183"/>
      <c r="H16" s="183"/>
      <c r="I16" s="198">
        <f>SUM(I17:I18)</f>
        <v>15931</v>
      </c>
      <c r="J16" s="198">
        <f>SUM(J17:J18)</f>
        <v>0</v>
      </c>
      <c r="K16" s="198">
        <f>SUM(K17:K18)</f>
        <v>15931</v>
      </c>
      <c r="L16" s="183"/>
      <c r="M16" s="183"/>
      <c r="N16" s="183"/>
      <c r="O16" s="183"/>
      <c r="P16" s="183"/>
      <c r="Q16" s="183"/>
      <c r="R16" s="200"/>
      <c r="S16" s="183"/>
      <c r="T16" s="183"/>
      <c r="U16" s="199"/>
      <c r="V16" s="198">
        <f>SUM(V17:V18)</f>
        <v>0</v>
      </c>
      <c r="W16" s="198">
        <f>SUM(W17:W18)</f>
        <v>1903.66</v>
      </c>
      <c r="X16" s="198">
        <f>SUM(X17:X18)</f>
        <v>0</v>
      </c>
      <c r="Y16" s="198">
        <f>SUM(Y17:Y18)</f>
        <v>1903.66</v>
      </c>
      <c r="Z16" s="198">
        <f>SUM(Z17:Z18)</f>
        <v>14027.34</v>
      </c>
      <c r="AA16" s="63"/>
      <c r="AG16" s="64"/>
    </row>
    <row r="17" spans="1:33" s="51" customFormat="1" ht="169.5" customHeight="1" x14ac:dyDescent="0.3">
      <c r="A17" s="137" t="s">
        <v>88</v>
      </c>
      <c r="B17" s="136" t="s">
        <v>144</v>
      </c>
      <c r="C17" s="137" t="s">
        <v>111</v>
      </c>
      <c r="D17" s="187" t="s">
        <v>132</v>
      </c>
      <c r="E17" s="190">
        <v>43374</v>
      </c>
      <c r="F17" s="139" t="s">
        <v>82</v>
      </c>
      <c r="G17" s="140">
        <v>15</v>
      </c>
      <c r="H17" s="141">
        <v>625.85200000000009</v>
      </c>
      <c r="I17" s="142">
        <v>10972.5</v>
      </c>
      <c r="J17" s="143">
        <v>0</v>
      </c>
      <c r="K17" s="144">
        <f>I17</f>
        <v>10972.5</v>
      </c>
      <c r="L17" s="145">
        <f>IF(I17/15&lt;=SMG,0,J17/2)</f>
        <v>0</v>
      </c>
      <c r="M17" s="145">
        <f t="shared" ref="M17" si="20">I17+L17</f>
        <v>10972.5</v>
      </c>
      <c r="N17" s="145">
        <f>VLOOKUP(M17,Tarifa1,1)</f>
        <v>7641.91</v>
      </c>
      <c r="O17" s="145">
        <f t="shared" ref="O17" si="21">M17-N17</f>
        <v>3330.59</v>
      </c>
      <c r="P17" s="146">
        <f>VLOOKUP(M17,Tarifa1,3)</f>
        <v>0.21360000000000001</v>
      </c>
      <c r="Q17" s="145">
        <f t="shared" ref="Q17" si="22">O17*P17</f>
        <v>711.41402400000004</v>
      </c>
      <c r="R17" s="147">
        <f>VLOOKUP(M17,Tarifa1,2)</f>
        <v>809.25</v>
      </c>
      <c r="S17" s="145">
        <f t="shared" ref="S17" si="23">Q17+R17</f>
        <v>1520.6640240000002</v>
      </c>
      <c r="T17" s="145">
        <f>VLOOKUP(M17,Credito1,2)</f>
        <v>0</v>
      </c>
      <c r="U17" s="145">
        <f t="shared" ref="U17" si="24">ROUND(S17-T17,2)</f>
        <v>1520.66</v>
      </c>
      <c r="V17" s="144">
        <f>-IF(U17&gt;0,0,0)</f>
        <v>0</v>
      </c>
      <c r="W17" s="144">
        <f>IF(I17/15&lt;=SMG,0,IF(U17&lt;0,0,U17))</f>
        <v>1520.66</v>
      </c>
      <c r="X17" s="148">
        <v>0</v>
      </c>
      <c r="Y17" s="144">
        <f>SUM(W17:X17)</f>
        <v>1520.66</v>
      </c>
      <c r="Z17" s="144">
        <f>K17+V17-Y17</f>
        <v>9451.84</v>
      </c>
      <c r="AA17" s="58"/>
      <c r="AG17" s="64"/>
    </row>
    <row r="18" spans="1:33" s="51" customFormat="1" ht="169.5" customHeight="1" x14ac:dyDescent="0.3">
      <c r="A18" s="233"/>
      <c r="B18" s="222" t="s">
        <v>223</v>
      </c>
      <c r="C18" s="151" t="s">
        <v>111</v>
      </c>
      <c r="D18" s="227" t="s">
        <v>224</v>
      </c>
      <c r="E18" s="223">
        <v>44991</v>
      </c>
      <c r="F18" s="224" t="s">
        <v>63</v>
      </c>
      <c r="G18" s="225">
        <v>10</v>
      </c>
      <c r="H18" s="226"/>
      <c r="I18" s="142">
        <v>4958.5</v>
      </c>
      <c r="J18" s="143">
        <v>0</v>
      </c>
      <c r="K18" s="144">
        <f>SUM(I18:J18)</f>
        <v>4958.5</v>
      </c>
      <c r="L18" s="145">
        <f>IF(I18/15&lt;=SMG,0,J18/2)</f>
        <v>0</v>
      </c>
      <c r="M18" s="145">
        <f>I18+L18</f>
        <v>4958.5</v>
      </c>
      <c r="N18" s="145">
        <f>VLOOKUP(M18,Tarifa1,1)</f>
        <v>3124.36</v>
      </c>
      <c r="O18" s="145">
        <f>M18-N18</f>
        <v>1834.1399999999999</v>
      </c>
      <c r="P18" s="146">
        <f>VLOOKUP(M18,Tarifa1,3)</f>
        <v>0.10879999999999999</v>
      </c>
      <c r="Q18" s="145">
        <f>O18*P18</f>
        <v>199.55443199999996</v>
      </c>
      <c r="R18" s="147">
        <f>VLOOKUP(M18,Tarifa1,2)</f>
        <v>183.45</v>
      </c>
      <c r="S18" s="145">
        <f>Q18+R18</f>
        <v>383.00443199999995</v>
      </c>
      <c r="T18" s="145">
        <f>VLOOKUP(M18,Credito1,2)</f>
        <v>0</v>
      </c>
      <c r="U18" s="145">
        <f>ROUND(S18-T18,2)</f>
        <v>383</v>
      </c>
      <c r="V18" s="144">
        <f>-IF(U18&gt;0,0,0)</f>
        <v>0</v>
      </c>
      <c r="W18" s="144">
        <f>IF(I18/15&lt;=SMG,0,IF(U18&lt;0,0,U18))</f>
        <v>383</v>
      </c>
      <c r="X18" s="148">
        <v>0</v>
      </c>
      <c r="Y18" s="144">
        <f>SUM(W18:X18)</f>
        <v>383</v>
      </c>
      <c r="Z18" s="144">
        <f>K18+V18-Y18</f>
        <v>4575.5</v>
      </c>
      <c r="AA18" s="56"/>
      <c r="AG18" s="64"/>
    </row>
    <row r="19" spans="1:33" s="51" customFormat="1" ht="70.5" customHeight="1" x14ac:dyDescent="0.25">
      <c r="A19" s="233"/>
      <c r="B19" s="178" t="s">
        <v>99</v>
      </c>
      <c r="C19" s="178" t="s">
        <v>118</v>
      </c>
      <c r="D19" s="178" t="s">
        <v>286</v>
      </c>
      <c r="E19" s="178" t="s">
        <v>221</v>
      </c>
      <c r="F19" s="213" t="s">
        <v>61</v>
      </c>
      <c r="G19" s="213"/>
      <c r="H19" s="183"/>
      <c r="I19" s="198">
        <f>SUM(I20:I20)</f>
        <v>3042.5</v>
      </c>
      <c r="J19" s="198">
        <f>SUM(J20:J20)</f>
        <v>0</v>
      </c>
      <c r="K19" s="198">
        <f>SUM(K20:K20)</f>
        <v>3042.5</v>
      </c>
      <c r="L19" s="183"/>
      <c r="M19" s="183"/>
      <c r="N19" s="183"/>
      <c r="O19" s="183"/>
      <c r="P19" s="183"/>
      <c r="Q19" s="183"/>
      <c r="R19" s="200"/>
      <c r="S19" s="183"/>
      <c r="T19" s="183"/>
      <c r="U19" s="199"/>
      <c r="V19" s="198">
        <f>SUM(V20:V20)</f>
        <v>0</v>
      </c>
      <c r="W19" s="198">
        <f>SUM(W20:W20)</f>
        <v>0</v>
      </c>
      <c r="X19" s="198">
        <f>SUM(X20:X20)</f>
        <v>0</v>
      </c>
      <c r="Y19" s="198">
        <f>SUM(Y20:Y20)</f>
        <v>0</v>
      </c>
      <c r="Z19" s="198">
        <f>SUM(Z20:Z20)</f>
        <v>3042.5</v>
      </c>
      <c r="AA19" s="63"/>
      <c r="AG19" s="64"/>
    </row>
    <row r="20" spans="1:33" s="51" customFormat="1" ht="169.5" customHeight="1" x14ac:dyDescent="0.3">
      <c r="A20" s="233"/>
      <c r="B20" s="137" t="s">
        <v>304</v>
      </c>
      <c r="C20" s="137" t="s">
        <v>111</v>
      </c>
      <c r="D20" s="188" t="s">
        <v>305</v>
      </c>
      <c r="E20" s="190">
        <v>45566</v>
      </c>
      <c r="F20" s="242" t="s">
        <v>287</v>
      </c>
      <c r="G20" s="153">
        <v>15</v>
      </c>
      <c r="H20" s="141">
        <v>178.81533333333334</v>
      </c>
      <c r="I20" s="142">
        <v>3042.5</v>
      </c>
      <c r="J20" s="143">
        <v>0</v>
      </c>
      <c r="K20" s="144">
        <f t="shared" ref="K20" si="25">SUM(I20:J20)</f>
        <v>3042.5</v>
      </c>
      <c r="L20" s="145">
        <f t="shared" ref="L20" si="26">IF(I20/15&lt;=SMG,0,J20/2)</f>
        <v>0</v>
      </c>
      <c r="M20" s="145">
        <f t="shared" ref="M20" si="27">I20+L20</f>
        <v>3042.5</v>
      </c>
      <c r="N20" s="145">
        <f>VLOOKUP(M20,Tarifa1,1)</f>
        <v>368.11</v>
      </c>
      <c r="O20" s="145">
        <f t="shared" ref="O20" si="28">M20-N20</f>
        <v>2674.39</v>
      </c>
      <c r="P20" s="146">
        <f>VLOOKUP(M20,Tarifa1,3)</f>
        <v>6.4000000000000001E-2</v>
      </c>
      <c r="Q20" s="145">
        <f t="shared" ref="Q20" si="29">O20*P20</f>
        <v>171.16095999999999</v>
      </c>
      <c r="R20" s="147">
        <f>VLOOKUP(M20,Tarifa1,2)</f>
        <v>7.05</v>
      </c>
      <c r="S20" s="145">
        <f t="shared" ref="S20" si="30">Q20+R20</f>
        <v>178.21096</v>
      </c>
      <c r="T20" s="145">
        <f>VLOOKUP(M20,Credito1,2)</f>
        <v>195</v>
      </c>
      <c r="U20" s="145">
        <f t="shared" ref="U20" si="31">ROUND(S20-T20,2)</f>
        <v>-16.79</v>
      </c>
      <c r="V20" s="144">
        <v>0</v>
      </c>
      <c r="W20" s="246">
        <f>IF(I20/15&lt;=SMG,0,IF(U20&lt;0,0,U20))</f>
        <v>0</v>
      </c>
      <c r="X20" s="148">
        <v>0</v>
      </c>
      <c r="Y20" s="144">
        <f>SUM(W20:X20)</f>
        <v>0</v>
      </c>
      <c r="Z20" s="246">
        <f>K20+V20-Y20</f>
        <v>3042.5</v>
      </c>
      <c r="AA20" s="247"/>
      <c r="AG20" s="64"/>
    </row>
    <row r="21" spans="1:33" s="51" customFormat="1" ht="21.75" customHeight="1" x14ac:dyDescent="0.25">
      <c r="A21" s="202"/>
      <c r="B21" s="203"/>
      <c r="C21" s="203"/>
      <c r="D21" s="204"/>
      <c r="E21" s="204"/>
      <c r="F21" s="204"/>
      <c r="G21" s="177"/>
      <c r="H21" s="205"/>
      <c r="I21" s="206"/>
      <c r="J21" s="207"/>
      <c r="K21" s="208"/>
      <c r="L21" s="209"/>
      <c r="M21" s="209"/>
      <c r="N21" s="209"/>
      <c r="O21" s="209"/>
      <c r="P21" s="210"/>
      <c r="Q21" s="209"/>
      <c r="R21" s="209"/>
      <c r="S21" s="209"/>
      <c r="T21" s="209"/>
      <c r="U21" s="209"/>
      <c r="V21" s="208"/>
      <c r="W21" s="208"/>
      <c r="X21" s="211"/>
      <c r="Y21" s="208"/>
      <c r="Z21" s="208"/>
      <c r="AA21" s="58"/>
    </row>
    <row r="22" spans="1:33" s="51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49">
        <f>I8+I12+I14+I16+I19</f>
        <v>79172.5</v>
      </c>
      <c r="J22" s="149">
        <f>J8+J12+J14+J16+J19</f>
        <v>0</v>
      </c>
      <c r="K22" s="149">
        <f>K8+K12+K14+K16+K19</f>
        <v>80047.25</v>
      </c>
      <c r="L22" s="150">
        <f t="shared" ref="L22:U22" si="32">SUM(L9:L20)</f>
        <v>0</v>
      </c>
      <c r="M22" s="150">
        <f t="shared" si="32"/>
        <v>80047.25</v>
      </c>
      <c r="N22" s="150">
        <f t="shared" si="32"/>
        <v>60433.279999999999</v>
      </c>
      <c r="O22" s="150">
        <f t="shared" si="32"/>
        <v>19613.97</v>
      </c>
      <c r="P22" s="150">
        <f t="shared" si="32"/>
        <v>1.3992000000000002</v>
      </c>
      <c r="Q22" s="150">
        <f t="shared" si="32"/>
        <v>3928.075488</v>
      </c>
      <c r="R22" s="150">
        <f t="shared" si="32"/>
        <v>7832.4</v>
      </c>
      <c r="S22" s="150">
        <f t="shared" si="32"/>
        <v>11760.475487999998</v>
      </c>
      <c r="T22" s="150">
        <f t="shared" si="32"/>
        <v>195</v>
      </c>
      <c r="U22" s="150">
        <f t="shared" si="32"/>
        <v>11565.47</v>
      </c>
      <c r="V22" s="149">
        <f>V8+V12+V14+V16+V19</f>
        <v>0</v>
      </c>
      <c r="W22" s="149">
        <f>W8+W12+W14+W16+W19</f>
        <v>11582.26</v>
      </c>
      <c r="X22" s="149">
        <f>X8+X12+X14+X16+X19</f>
        <v>0</v>
      </c>
      <c r="Y22" s="149">
        <f>Y8+Y12+Y14+Y16+Y19</f>
        <v>11582.26</v>
      </c>
      <c r="Z22" s="149">
        <f>Z8+Z12+Z14+Z16+Z19</f>
        <v>68464.990000000005</v>
      </c>
    </row>
    <row r="23" spans="1:33" s="51" customFormat="1" ht="12" customHeight="1" thickTop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33" s="51" customFormat="1" ht="12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33" s="51" customFormat="1" ht="12" customHeight="1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33" s="51" customFormat="1" ht="12" customHeight="1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33" s="51" customFormat="1" ht="12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33" s="51" customFormat="1" ht="12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33" s="51" customFormat="1" ht="12" customHeight="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33" s="51" customFormat="1" ht="12" customHeight="1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33" s="51" customFormat="1" ht="12" customHeight="1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33" s="51" customFormat="1" ht="12" customHeight="1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s="51" customFormat="1" ht="12" customHeight="1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s="51" customFormat="1" ht="12" customHeight="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44" spans="1:26" x14ac:dyDescent="0.2">
      <c r="K44" s="4" t="s">
        <v>192</v>
      </c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6"/>
  <sheetViews>
    <sheetView topLeftCell="B1" zoomScale="75" zoomScaleNormal="75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16.7109375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4.28515625" customWidth="1"/>
    <col min="27" max="27" width="58.7109375" customWidth="1"/>
  </cols>
  <sheetData>
    <row r="1" spans="1:28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79" t="s">
        <v>263</v>
      </c>
      <c r="B3" s="352" t="str">
        <f>PRESIDENCIA!A3</f>
        <v>SUELDO  DEL 01 AL 15 DE DICIEMBRE DE 2024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8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8" x14ac:dyDescent="0.2">
      <c r="A6" s="22"/>
      <c r="B6" s="22"/>
      <c r="C6" s="22"/>
      <c r="D6" s="22"/>
      <c r="E6" s="22"/>
      <c r="F6" s="22"/>
      <c r="G6" s="23" t="s">
        <v>22</v>
      </c>
      <c r="H6" s="23" t="s">
        <v>176</v>
      </c>
      <c r="I6" s="363" t="s">
        <v>1</v>
      </c>
      <c r="J6" s="364"/>
      <c r="K6" s="365"/>
      <c r="L6" s="24" t="s">
        <v>25</v>
      </c>
      <c r="M6" s="25"/>
      <c r="N6" s="366" t="s">
        <v>8</v>
      </c>
      <c r="O6" s="367"/>
      <c r="P6" s="367"/>
      <c r="Q6" s="367"/>
      <c r="R6" s="367"/>
      <c r="S6" s="368"/>
      <c r="T6" s="24" t="s">
        <v>29</v>
      </c>
      <c r="U6" s="24" t="s">
        <v>9</v>
      </c>
      <c r="V6" s="23" t="s">
        <v>52</v>
      </c>
      <c r="W6" s="369" t="s">
        <v>2</v>
      </c>
      <c r="X6" s="370"/>
      <c r="Y6" s="371"/>
      <c r="Z6" s="23" t="s">
        <v>0</v>
      </c>
      <c r="AA6" s="34"/>
    </row>
    <row r="7" spans="1:28" ht="22.5" x14ac:dyDescent="0.2">
      <c r="A7" s="26" t="s">
        <v>20</v>
      </c>
      <c r="B7" s="44" t="s">
        <v>99</v>
      </c>
      <c r="C7" s="44" t="s">
        <v>112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58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182" t="s">
        <v>215</v>
      </c>
      <c r="X7" s="23" t="s">
        <v>56</v>
      </c>
      <c r="Y7" s="23" t="s">
        <v>6</v>
      </c>
      <c r="Z7" s="26" t="s">
        <v>3</v>
      </c>
      <c r="AA7" s="36" t="s">
        <v>57</v>
      </c>
    </row>
    <row r="8" spans="1:28" x14ac:dyDescent="0.2">
      <c r="A8" s="29"/>
      <c r="B8" s="29"/>
      <c r="C8" s="29"/>
      <c r="D8" s="29"/>
      <c r="E8" s="29"/>
      <c r="F8" s="29"/>
      <c r="G8" s="29"/>
      <c r="H8" s="29"/>
      <c r="I8" s="26" t="s">
        <v>46</v>
      </c>
      <c r="J8" s="26" t="s">
        <v>59</v>
      </c>
      <c r="K8" s="26" t="s">
        <v>28</v>
      </c>
      <c r="L8" s="28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6" t="s">
        <v>51</v>
      </c>
      <c r="W8" s="26"/>
      <c r="X8" s="26"/>
      <c r="Y8" s="26" t="s">
        <v>43</v>
      </c>
      <c r="Z8" s="26" t="s">
        <v>4</v>
      </c>
      <c r="AA8" s="35"/>
    </row>
    <row r="9" spans="1:28" ht="52.5" customHeight="1" x14ac:dyDescent="0.25">
      <c r="A9" s="183"/>
      <c r="B9" s="178" t="s">
        <v>99</v>
      </c>
      <c r="C9" s="178" t="s">
        <v>118</v>
      </c>
      <c r="D9" s="212" t="s">
        <v>306</v>
      </c>
      <c r="E9" s="201"/>
      <c r="F9" s="183" t="s">
        <v>61</v>
      </c>
      <c r="G9" s="213"/>
      <c r="H9" s="183"/>
      <c r="I9" s="214">
        <f>I10</f>
        <v>14464.5</v>
      </c>
      <c r="J9" s="214">
        <f>J10</f>
        <v>0</v>
      </c>
      <c r="K9" s="214">
        <f>K10</f>
        <v>14464.5</v>
      </c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4">
        <f>V10</f>
        <v>0</v>
      </c>
      <c r="W9" s="214">
        <f>W10</f>
        <v>2266.56</v>
      </c>
      <c r="X9" s="214">
        <f>X10</f>
        <v>0</v>
      </c>
      <c r="Y9" s="214">
        <f>Y10</f>
        <v>2266.56</v>
      </c>
      <c r="Z9" s="214">
        <f>Z10</f>
        <v>12197.94</v>
      </c>
      <c r="AA9" s="215"/>
    </row>
    <row r="10" spans="1:28" ht="162.75" customHeight="1" x14ac:dyDescent="0.3">
      <c r="A10" s="160"/>
      <c r="B10" s="136" t="s">
        <v>309</v>
      </c>
      <c r="C10" s="137" t="s">
        <v>111</v>
      </c>
      <c r="D10" s="187" t="s">
        <v>308</v>
      </c>
      <c r="E10" s="190">
        <v>45566</v>
      </c>
      <c r="F10" s="139" t="s">
        <v>379</v>
      </c>
      <c r="G10" s="155">
        <v>15</v>
      </c>
      <c r="H10" s="156">
        <f>I10/G10</f>
        <v>964.3</v>
      </c>
      <c r="I10" s="142">
        <v>14464.5</v>
      </c>
      <c r="J10" s="143">
        <v>0</v>
      </c>
      <c r="K10" s="144">
        <f>SUM(I10:J10)</f>
        <v>14464.5</v>
      </c>
      <c r="L10" s="145">
        <f>IF(I10/15&lt;=SMG,0,J10/2)</f>
        <v>0</v>
      </c>
      <c r="M10" s="145">
        <f t="shared" ref="M10" si="0">I10+L10</f>
        <v>14464.5</v>
      </c>
      <c r="N10" s="145">
        <f>VLOOKUP(M10,Tarifa1,1)</f>
        <v>7641.91</v>
      </c>
      <c r="O10" s="145">
        <f t="shared" ref="O10" si="1">M10-N10</f>
        <v>6822.59</v>
      </c>
      <c r="P10" s="146">
        <f>VLOOKUP(M10,Tarifa1,3)</f>
        <v>0.21360000000000001</v>
      </c>
      <c r="Q10" s="145">
        <f t="shared" ref="Q10" si="2">O10*P10</f>
        <v>1457.3052240000002</v>
      </c>
      <c r="R10" s="147">
        <f>VLOOKUP(M10,Tarifa1,2)</f>
        <v>809.25</v>
      </c>
      <c r="S10" s="145">
        <f t="shared" ref="S10" si="3">Q10+R10</f>
        <v>2266.5552240000002</v>
      </c>
      <c r="T10" s="145">
        <f>VLOOKUP(M10,Credito1,2)</f>
        <v>0</v>
      </c>
      <c r="U10" s="145">
        <f t="shared" ref="U10" si="4">ROUND(S10-T10,2)</f>
        <v>2266.56</v>
      </c>
      <c r="V10" s="144">
        <f>-IF(U10&gt;0,0,0)</f>
        <v>0</v>
      </c>
      <c r="W10" s="144">
        <f>IF(I10/15&lt;=SMG,0,IF(U10&lt;0,0,U10))</f>
        <v>2266.56</v>
      </c>
      <c r="X10" s="148">
        <v>0</v>
      </c>
      <c r="Y10" s="144">
        <f>SUM(W10:X10)</f>
        <v>2266.56</v>
      </c>
      <c r="Z10" s="144">
        <f>K10+V10-Y10</f>
        <v>12197.94</v>
      </c>
      <c r="AA10" s="108"/>
    </row>
    <row r="11" spans="1:28" ht="56.25" customHeight="1" x14ac:dyDescent="0.25">
      <c r="A11" s="160"/>
      <c r="B11" s="178" t="s">
        <v>99</v>
      </c>
      <c r="C11" s="178" t="s">
        <v>118</v>
      </c>
      <c r="D11" s="212" t="s">
        <v>358</v>
      </c>
      <c r="E11" s="201"/>
      <c r="F11" s="183" t="s">
        <v>61</v>
      </c>
      <c r="G11" s="213"/>
      <c r="H11" s="183"/>
      <c r="I11" s="214">
        <f>I12</f>
        <v>8057.5</v>
      </c>
      <c r="J11" s="214">
        <f>J12</f>
        <v>0</v>
      </c>
      <c r="K11" s="214">
        <f>K12</f>
        <v>8057.5</v>
      </c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4">
        <f>V12</f>
        <v>0</v>
      </c>
      <c r="W11" s="214">
        <f>W12</f>
        <v>898.02</v>
      </c>
      <c r="X11" s="214">
        <f>X12</f>
        <v>0</v>
      </c>
      <c r="Y11" s="214">
        <f>Y12</f>
        <v>898.02</v>
      </c>
      <c r="Z11" s="214">
        <f>Z12</f>
        <v>7159.48</v>
      </c>
      <c r="AA11" s="215"/>
    </row>
    <row r="12" spans="1:28" ht="163.5" customHeight="1" x14ac:dyDescent="0.3">
      <c r="A12" s="160"/>
      <c r="B12" s="136" t="s">
        <v>367</v>
      </c>
      <c r="C12" s="137" t="s">
        <v>111</v>
      </c>
      <c r="D12" s="187" t="s">
        <v>388</v>
      </c>
      <c r="E12" s="190">
        <v>45581</v>
      </c>
      <c r="F12" s="139" t="s">
        <v>359</v>
      </c>
      <c r="G12" s="140">
        <v>13</v>
      </c>
      <c r="H12" s="141">
        <f t="shared" ref="H12" si="5">I12/G12</f>
        <v>619.80769230769226</v>
      </c>
      <c r="I12" s="142">
        <v>8057.5</v>
      </c>
      <c r="J12" s="143">
        <v>0</v>
      </c>
      <c r="K12" s="144">
        <f t="shared" ref="K12" si="6">SUM(I12:J12)</f>
        <v>8057.5</v>
      </c>
      <c r="L12" s="145">
        <f t="shared" ref="L12" si="7">IF(I12/15&lt;=SMG,0,J12/2)</f>
        <v>0</v>
      </c>
      <c r="M12" s="145">
        <f t="shared" ref="M12" si="8">I12+L12</f>
        <v>8057.5</v>
      </c>
      <c r="N12" s="145">
        <f t="shared" ref="N12" si="9">VLOOKUP(M12,Tarifa1,1)</f>
        <v>7641.91</v>
      </c>
      <c r="O12" s="145">
        <f t="shared" ref="O12" si="10">M12-N12</f>
        <v>415.59000000000015</v>
      </c>
      <c r="P12" s="146">
        <f t="shared" ref="P12" si="11">VLOOKUP(M12,Tarifa1,3)</f>
        <v>0.21360000000000001</v>
      </c>
      <c r="Q12" s="145">
        <f t="shared" ref="Q12" si="12">O12*P12</f>
        <v>88.770024000000035</v>
      </c>
      <c r="R12" s="147">
        <f t="shared" ref="R12" si="13">VLOOKUP(M12,Tarifa1,2)</f>
        <v>809.25</v>
      </c>
      <c r="S12" s="145">
        <f t="shared" ref="S12" si="14">Q12+R12</f>
        <v>898.02002400000003</v>
      </c>
      <c r="T12" s="145">
        <f t="shared" ref="T12" si="15">VLOOKUP(M12,Credito1,2)</f>
        <v>0</v>
      </c>
      <c r="U12" s="145">
        <f t="shared" ref="U12" si="16">ROUND(S12-T12,2)</f>
        <v>898.02</v>
      </c>
      <c r="V12" s="144">
        <f>-IF(U12&gt;0,0,0)</f>
        <v>0</v>
      </c>
      <c r="W12" s="144">
        <f t="shared" ref="W12" si="17">IF(I12/15&lt;=SMG,0,IF(U12&lt;0,0,U12))</f>
        <v>898.02</v>
      </c>
      <c r="X12" s="148">
        <v>0</v>
      </c>
      <c r="Y12" s="144">
        <f t="shared" ref="Y12" si="18">SUM(W12:X12)</f>
        <v>898.02</v>
      </c>
      <c r="Z12" s="144">
        <f t="shared" ref="Z12" si="19">K12+V12-Y12</f>
        <v>7159.48</v>
      </c>
      <c r="AA12" s="108"/>
    </row>
    <row r="13" spans="1:28" ht="53.25" customHeight="1" x14ac:dyDescent="0.25">
      <c r="A13" s="160"/>
      <c r="B13" s="178" t="s">
        <v>99</v>
      </c>
      <c r="C13" s="178" t="s">
        <v>118</v>
      </c>
      <c r="D13" s="197" t="s">
        <v>76</v>
      </c>
      <c r="E13" s="201"/>
      <c r="F13" s="183" t="s">
        <v>61</v>
      </c>
      <c r="G13" s="183"/>
      <c r="H13" s="183"/>
      <c r="I13" s="214">
        <f>SUM(I14)</f>
        <v>12455.5</v>
      </c>
      <c r="J13" s="214">
        <f>SUM(J14)</f>
        <v>0</v>
      </c>
      <c r="K13" s="214">
        <f>SUM(K14)</f>
        <v>12455.5</v>
      </c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4">
        <f>SUM(V14)</f>
        <v>0</v>
      </c>
      <c r="W13" s="214">
        <f>SUM(W14)</f>
        <v>1837.43</v>
      </c>
      <c r="X13" s="214">
        <f>SUM(X14)</f>
        <v>0</v>
      </c>
      <c r="Y13" s="214">
        <f>SUM(Y14)</f>
        <v>1837.43</v>
      </c>
      <c r="Z13" s="214">
        <f>SUM(Z14)</f>
        <v>10618.07</v>
      </c>
      <c r="AA13" s="215"/>
    </row>
    <row r="14" spans="1:28" ht="163.5" customHeight="1" x14ac:dyDescent="0.3">
      <c r="A14" s="160"/>
      <c r="B14" s="249">
        <v>160</v>
      </c>
      <c r="C14" s="250" t="s">
        <v>111</v>
      </c>
      <c r="D14" s="187" t="s">
        <v>345</v>
      </c>
      <c r="E14" s="190">
        <v>45566</v>
      </c>
      <c r="F14" s="138" t="s">
        <v>76</v>
      </c>
      <c r="G14" s="155">
        <v>15</v>
      </c>
      <c r="H14" s="156">
        <f>I14/G14</f>
        <v>830.36666666666667</v>
      </c>
      <c r="I14" s="157">
        <v>12455.5</v>
      </c>
      <c r="J14" s="158">
        <v>0</v>
      </c>
      <c r="K14" s="159">
        <f>SUM(I14:J14)</f>
        <v>12455.5</v>
      </c>
      <c r="L14" s="145">
        <f>IF(I14/15&lt;=SMG,0,J14/2)</f>
        <v>0</v>
      </c>
      <c r="M14" s="145">
        <f>I14+L14</f>
        <v>12455.5</v>
      </c>
      <c r="N14" s="145">
        <f>VLOOKUP(M14,Tarifa1,1)</f>
        <v>7641.91</v>
      </c>
      <c r="O14" s="145">
        <f>M14-N14</f>
        <v>4813.59</v>
      </c>
      <c r="P14" s="146">
        <f>VLOOKUP(M14,Tarifa1,3)</f>
        <v>0.21360000000000001</v>
      </c>
      <c r="Q14" s="145">
        <f>O14*P14</f>
        <v>1028.182824</v>
      </c>
      <c r="R14" s="147">
        <f>VLOOKUP(M14,Tarifa1,2)</f>
        <v>809.25</v>
      </c>
      <c r="S14" s="145">
        <f>Q14+R14</f>
        <v>1837.432824</v>
      </c>
      <c r="T14" s="145">
        <f>VLOOKUP(M14,Credito1,2)</f>
        <v>0</v>
      </c>
      <c r="U14" s="145">
        <f>ROUND(S14-T14,2)</f>
        <v>1837.43</v>
      </c>
      <c r="V14" s="144">
        <f>-IF(U14&gt;0,0,0)</f>
        <v>0</v>
      </c>
      <c r="W14" s="144">
        <f>IF(I14/15&lt;=SMG,0,IF(U14&lt;0,0,U14))</f>
        <v>1837.43</v>
      </c>
      <c r="X14" s="148">
        <v>0</v>
      </c>
      <c r="Y14" s="144">
        <f>SUM(W14:X14)</f>
        <v>1837.43</v>
      </c>
      <c r="Z14" s="144">
        <f>K14+V14-Y14</f>
        <v>10618.07</v>
      </c>
      <c r="AA14" s="108"/>
    </row>
    <row r="15" spans="1:28" ht="40.5" customHeight="1" thickBot="1" x14ac:dyDescent="0.3">
      <c r="A15" s="348" t="s">
        <v>44</v>
      </c>
      <c r="B15" s="349"/>
      <c r="C15" s="349"/>
      <c r="D15" s="349"/>
      <c r="E15" s="349"/>
      <c r="F15" s="349"/>
      <c r="G15" s="349"/>
      <c r="H15" s="350"/>
      <c r="I15" s="181">
        <f>I9+I13+I11</f>
        <v>34977.5</v>
      </c>
      <c r="J15" s="181">
        <f>J9+J13+J11</f>
        <v>0</v>
      </c>
      <c r="K15" s="181">
        <f>K9+K13+K11</f>
        <v>34977.5</v>
      </c>
      <c r="L15" s="150">
        <f t="shared" ref="L15:U15" si="20">SUM(L10:L10)</f>
        <v>0</v>
      </c>
      <c r="M15" s="150">
        <f t="shared" si="20"/>
        <v>14464.5</v>
      </c>
      <c r="N15" s="150">
        <f t="shared" si="20"/>
        <v>7641.91</v>
      </c>
      <c r="O15" s="150">
        <f t="shared" si="20"/>
        <v>6822.59</v>
      </c>
      <c r="P15" s="150">
        <f t="shared" si="20"/>
        <v>0.21360000000000001</v>
      </c>
      <c r="Q15" s="150">
        <f t="shared" si="20"/>
        <v>1457.3052240000002</v>
      </c>
      <c r="R15" s="150">
        <f t="shared" si="20"/>
        <v>809.25</v>
      </c>
      <c r="S15" s="150">
        <f t="shared" si="20"/>
        <v>2266.5552240000002</v>
      </c>
      <c r="T15" s="150">
        <f t="shared" si="20"/>
        <v>0</v>
      </c>
      <c r="U15" s="150">
        <f t="shared" si="20"/>
        <v>2266.56</v>
      </c>
      <c r="V15" s="181">
        <f>V9+V13+V11</f>
        <v>0</v>
      </c>
      <c r="W15" s="181">
        <f>W9+W13+W11</f>
        <v>5002.01</v>
      </c>
      <c r="X15" s="181">
        <f>X9+X13+X11</f>
        <v>0</v>
      </c>
      <c r="Y15" s="181">
        <f>Y9+Y13+Y11</f>
        <v>5002.01</v>
      </c>
      <c r="Z15" s="181">
        <f>Z9+Z13+Z11</f>
        <v>29975.49</v>
      </c>
      <c r="AA15" s="109"/>
    </row>
    <row r="16" spans="1:28" ht="13.5" thickTop="1" x14ac:dyDescent="0.2"/>
  </sheetData>
  <mergeCells count="7">
    <mergeCell ref="A15:H15"/>
    <mergeCell ref="A1:AA1"/>
    <mergeCell ref="A2:AA2"/>
    <mergeCell ref="I6:K6"/>
    <mergeCell ref="N6:S6"/>
    <mergeCell ref="W6:Y6"/>
    <mergeCell ref="B3:AB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2"/>
  <sheetViews>
    <sheetView topLeftCell="B1" zoomScale="66" zoomScaleNormal="66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6.5703125" hidden="1" customWidth="1"/>
    <col min="8" max="8" width="10" hidden="1" customWidth="1"/>
    <col min="9" max="9" width="18" customWidth="1"/>
    <col min="10" max="10" width="1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33" s="51" customFormat="1" ht="12.75" customHeight="1" x14ac:dyDescent="0.2">
      <c r="A5" s="47"/>
      <c r="B5" s="47"/>
      <c r="C5" s="372" t="s">
        <v>112</v>
      </c>
      <c r="D5" s="47"/>
      <c r="E5" s="47"/>
      <c r="F5" s="47"/>
      <c r="G5" s="48" t="s">
        <v>22</v>
      </c>
      <c r="H5" s="48" t="s">
        <v>5</v>
      </c>
      <c r="I5" s="375" t="s">
        <v>1</v>
      </c>
      <c r="J5" s="376"/>
      <c r="K5" s="377"/>
      <c r="L5" s="49" t="s">
        <v>25</v>
      </c>
      <c r="M5" s="50"/>
      <c r="N5" s="378" t="s">
        <v>8</v>
      </c>
      <c r="O5" s="379"/>
      <c r="P5" s="379"/>
      <c r="Q5" s="379"/>
      <c r="R5" s="379"/>
      <c r="S5" s="380"/>
      <c r="T5" s="49" t="s">
        <v>29</v>
      </c>
      <c r="U5" s="49" t="s">
        <v>9</v>
      </c>
      <c r="V5" s="48" t="s">
        <v>52</v>
      </c>
      <c r="W5" s="381" t="s">
        <v>2</v>
      </c>
      <c r="X5" s="382"/>
      <c r="Y5" s="383"/>
      <c r="Z5" s="48" t="s">
        <v>0</v>
      </c>
      <c r="AA5" s="47"/>
    </row>
    <row r="6" spans="1:33" s="51" customFormat="1" ht="24" x14ac:dyDescent="0.2">
      <c r="A6" s="52" t="s">
        <v>20</v>
      </c>
      <c r="B6" s="46" t="s">
        <v>99</v>
      </c>
      <c r="C6" s="373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58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215</v>
      </c>
      <c r="X6" s="48" t="s">
        <v>56</v>
      </c>
      <c r="Y6" s="48" t="s">
        <v>6</v>
      </c>
      <c r="Z6" s="52" t="s">
        <v>3</v>
      </c>
      <c r="AA6" s="52" t="s">
        <v>57</v>
      </c>
    </row>
    <row r="7" spans="1:33" s="51" customFormat="1" ht="12" x14ac:dyDescent="0.2">
      <c r="A7" s="60"/>
      <c r="B7" s="60"/>
      <c r="C7" s="374"/>
      <c r="D7" s="60"/>
      <c r="E7" s="60"/>
      <c r="F7" s="60"/>
      <c r="G7" s="60"/>
      <c r="H7" s="60"/>
      <c r="I7" s="60" t="s">
        <v>46</v>
      </c>
      <c r="J7" s="60" t="s">
        <v>59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119</v>
      </c>
      <c r="V7" s="60" t="s">
        <v>51</v>
      </c>
      <c r="W7" s="60"/>
      <c r="X7" s="60"/>
      <c r="Y7" s="60" t="s">
        <v>43</v>
      </c>
      <c r="Z7" s="60" t="s">
        <v>4</v>
      </c>
      <c r="AA7" s="57"/>
    </row>
    <row r="8" spans="1:33" s="51" customFormat="1" ht="35.25" customHeight="1" x14ac:dyDescent="0.25">
      <c r="A8" s="62"/>
      <c r="B8" s="129"/>
      <c r="C8" s="129"/>
      <c r="D8" s="128" t="s">
        <v>68</v>
      </c>
      <c r="E8" s="127" t="s">
        <v>221</v>
      </c>
      <c r="F8" s="129" t="s">
        <v>61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  <c r="V8" s="129"/>
      <c r="W8" s="129"/>
      <c r="X8" s="129"/>
      <c r="Y8" s="129"/>
      <c r="Z8" s="129"/>
      <c r="AA8" s="63"/>
    </row>
    <row r="9" spans="1:33" s="91" customFormat="1" ht="184.5" customHeight="1" x14ac:dyDescent="0.35">
      <c r="A9" s="107" t="s">
        <v>85</v>
      </c>
      <c r="B9" s="136" t="s">
        <v>344</v>
      </c>
      <c r="C9" s="137" t="s">
        <v>111</v>
      </c>
      <c r="D9" s="256" t="s">
        <v>307</v>
      </c>
      <c r="E9" s="283">
        <v>45566</v>
      </c>
      <c r="F9" s="187" t="s">
        <v>222</v>
      </c>
      <c r="G9" s="270">
        <v>15</v>
      </c>
      <c r="H9" s="271">
        <f t="shared" ref="H9:H12" si="0">I9/G9</f>
        <v>779.9666666666667</v>
      </c>
      <c r="I9" s="272">
        <v>11699.5</v>
      </c>
      <c r="J9" s="273">
        <v>0</v>
      </c>
      <c r="K9" s="274">
        <f>SUM(I9:J9)</f>
        <v>11699.5</v>
      </c>
      <c r="L9" s="275">
        <f>IF(I9/15&lt;=SMG,0,J9/2)</f>
        <v>0</v>
      </c>
      <c r="M9" s="275">
        <f t="shared" ref="M9:M11" si="1">I9+L9</f>
        <v>11699.5</v>
      </c>
      <c r="N9" s="275">
        <f t="shared" ref="N9" si="2">VLOOKUP(M9,Tarifa1,1)</f>
        <v>7641.91</v>
      </c>
      <c r="O9" s="275">
        <f t="shared" ref="O9:O11" si="3">M9-N9</f>
        <v>4057.59</v>
      </c>
      <c r="P9" s="276">
        <f t="shared" ref="P9" si="4">VLOOKUP(M9,Tarifa1,3)</f>
        <v>0.21360000000000001</v>
      </c>
      <c r="Q9" s="275">
        <f t="shared" ref="Q9:Q11" si="5">O9*P9</f>
        <v>866.70122400000002</v>
      </c>
      <c r="R9" s="277">
        <f t="shared" ref="R9" si="6">VLOOKUP(M9,Tarifa1,2)</f>
        <v>809.25</v>
      </c>
      <c r="S9" s="275">
        <f t="shared" ref="S9:S11" si="7">Q9+R9</f>
        <v>1675.9512239999999</v>
      </c>
      <c r="T9" s="275">
        <f t="shared" ref="T9" si="8">VLOOKUP(M9,Credito1,2)</f>
        <v>0</v>
      </c>
      <c r="U9" s="275">
        <f t="shared" ref="U9:U11" si="9">ROUND(S9-T9,2)</f>
        <v>1675.95</v>
      </c>
      <c r="V9" s="274">
        <f>-IF(U9&gt;0,0,0)</f>
        <v>0</v>
      </c>
      <c r="W9" s="274">
        <f t="shared" ref="W9" si="10">IF(I9/15&lt;=SMG,0,IF(U9&lt;0,0,U9))</f>
        <v>1675.95</v>
      </c>
      <c r="X9" s="278">
        <v>0</v>
      </c>
      <c r="Y9" s="274">
        <f t="shared" ref="Y9:Y13" si="11">SUM(W9:X9)</f>
        <v>1675.95</v>
      </c>
      <c r="Z9" s="274">
        <f t="shared" ref="Z9" si="12">K9+V9-Y9</f>
        <v>10023.549999999999</v>
      </c>
      <c r="AA9" s="108"/>
      <c r="AB9" s="93"/>
      <c r="AG9" s="94"/>
    </row>
    <row r="10" spans="1:33" s="91" customFormat="1" ht="184.5" customHeight="1" x14ac:dyDescent="0.35">
      <c r="A10" s="107"/>
      <c r="B10" s="136" t="s">
        <v>364</v>
      </c>
      <c r="C10" s="137" t="s">
        <v>111</v>
      </c>
      <c r="D10" s="256" t="s">
        <v>365</v>
      </c>
      <c r="E10" s="283">
        <v>45581</v>
      </c>
      <c r="F10" s="187" t="s">
        <v>366</v>
      </c>
      <c r="G10" s="270"/>
      <c r="H10" s="271"/>
      <c r="I10" s="272">
        <v>11699.5</v>
      </c>
      <c r="J10" s="273">
        <v>0</v>
      </c>
      <c r="K10" s="274">
        <f>SUM(I10:J10)</f>
        <v>11699.5</v>
      </c>
      <c r="L10" s="275">
        <f>IF(I10/15&lt;=SMG,0,J10/2)</f>
        <v>0</v>
      </c>
      <c r="M10" s="275">
        <f t="shared" ref="M10" si="13">I10+L10</f>
        <v>11699.5</v>
      </c>
      <c r="N10" s="275">
        <f t="shared" ref="N10" si="14">VLOOKUP(M10,Tarifa1,1)</f>
        <v>7641.91</v>
      </c>
      <c r="O10" s="275">
        <f t="shared" ref="O10" si="15">M10-N10</f>
        <v>4057.59</v>
      </c>
      <c r="P10" s="276">
        <f t="shared" ref="P10" si="16">VLOOKUP(M10,Tarifa1,3)</f>
        <v>0.21360000000000001</v>
      </c>
      <c r="Q10" s="275">
        <f t="shared" ref="Q10" si="17">O10*P10</f>
        <v>866.70122400000002</v>
      </c>
      <c r="R10" s="277">
        <f t="shared" ref="R10" si="18">VLOOKUP(M10,Tarifa1,2)</f>
        <v>809.25</v>
      </c>
      <c r="S10" s="275">
        <f t="shared" ref="S10" si="19">Q10+R10</f>
        <v>1675.9512239999999</v>
      </c>
      <c r="T10" s="275">
        <f t="shared" ref="T10" si="20">VLOOKUP(M10,Credito1,2)</f>
        <v>0</v>
      </c>
      <c r="U10" s="275">
        <f t="shared" ref="U10" si="21">ROUND(S10-T10,2)</f>
        <v>1675.95</v>
      </c>
      <c r="V10" s="274">
        <f>-IF(U10&gt;0,0,0)</f>
        <v>0</v>
      </c>
      <c r="W10" s="274">
        <f t="shared" ref="W10" si="22">IF(I10/15&lt;=SMG,0,IF(U10&lt;0,0,U10))</f>
        <v>1675.95</v>
      </c>
      <c r="X10" s="278">
        <v>0</v>
      </c>
      <c r="Y10" s="274">
        <f t="shared" ref="Y10" si="23">SUM(W10:X10)</f>
        <v>1675.95</v>
      </c>
      <c r="Z10" s="274">
        <f t="shared" ref="Z10" si="24">K10+V10-Y10</f>
        <v>10023.549999999999</v>
      </c>
      <c r="AA10" s="108"/>
      <c r="AB10" s="93"/>
      <c r="AG10" s="94"/>
    </row>
    <row r="11" spans="1:33" s="91" customFormat="1" ht="184.5" customHeight="1" x14ac:dyDescent="0.35">
      <c r="A11" s="107"/>
      <c r="B11" s="136" t="s">
        <v>237</v>
      </c>
      <c r="C11" s="137" t="s">
        <v>111</v>
      </c>
      <c r="D11" s="256" t="s">
        <v>244</v>
      </c>
      <c r="E11" s="283">
        <v>45139</v>
      </c>
      <c r="F11" s="187" t="s">
        <v>245</v>
      </c>
      <c r="G11" s="270"/>
      <c r="H11" s="271"/>
      <c r="I11" s="272">
        <v>4509</v>
      </c>
      <c r="J11" s="273">
        <v>0</v>
      </c>
      <c r="K11" s="274">
        <f>SUM(I11:J11)</f>
        <v>4509</v>
      </c>
      <c r="L11" s="275">
        <f>IF(I11/15&lt;=SMG,0,J11/2)</f>
        <v>0</v>
      </c>
      <c r="M11" s="275">
        <f t="shared" si="1"/>
        <v>4509</v>
      </c>
      <c r="N11" s="275">
        <f>VLOOKUP(M11,Tarifa1,1)</f>
        <v>3124.36</v>
      </c>
      <c r="O11" s="275">
        <f t="shared" si="3"/>
        <v>1384.6399999999999</v>
      </c>
      <c r="P11" s="276">
        <f>VLOOKUP(M11,Tarifa1,3)</f>
        <v>0.10879999999999999</v>
      </c>
      <c r="Q11" s="275">
        <f t="shared" si="5"/>
        <v>150.64883199999997</v>
      </c>
      <c r="R11" s="277">
        <f>VLOOKUP(M11,Tarifa1,2)</f>
        <v>183.45</v>
      </c>
      <c r="S11" s="275">
        <f t="shared" si="7"/>
        <v>334.09883199999996</v>
      </c>
      <c r="T11" s="275">
        <f>VLOOKUP(M11,Credito1,2)</f>
        <v>195</v>
      </c>
      <c r="U11" s="275">
        <f t="shared" si="9"/>
        <v>139.1</v>
      </c>
      <c r="V11" s="274">
        <f t="shared" ref="V11:V14" si="25">-IF(U11&gt;0,0,0)</f>
        <v>0</v>
      </c>
      <c r="W11" s="274">
        <f>IF(I11/15&lt;=SMG,0,IF(U11&lt;0,0,U11))</f>
        <v>139.1</v>
      </c>
      <c r="X11" s="278">
        <v>0</v>
      </c>
      <c r="Y11" s="274">
        <f>SUM(W11:X11)</f>
        <v>139.1</v>
      </c>
      <c r="Z11" s="274">
        <f>K11+V11-Y11</f>
        <v>4369.8999999999996</v>
      </c>
      <c r="AA11" s="108"/>
      <c r="AB11" s="93"/>
      <c r="AG11" s="94"/>
    </row>
    <row r="12" spans="1:33" s="91" customFormat="1" ht="184.5" customHeight="1" x14ac:dyDescent="0.35">
      <c r="A12" s="107"/>
      <c r="B12" s="137" t="s">
        <v>170</v>
      </c>
      <c r="C12" s="137" t="s">
        <v>111</v>
      </c>
      <c r="D12" s="256" t="s">
        <v>171</v>
      </c>
      <c r="E12" s="283">
        <v>43983</v>
      </c>
      <c r="F12" s="187" t="s">
        <v>198</v>
      </c>
      <c r="G12" s="270">
        <v>15</v>
      </c>
      <c r="H12" s="271">
        <f t="shared" si="0"/>
        <v>779.9666666666667</v>
      </c>
      <c r="I12" s="272">
        <v>11699.5</v>
      </c>
      <c r="J12" s="273">
        <v>0</v>
      </c>
      <c r="K12" s="274">
        <f>SUM(I12:J12)</f>
        <v>11699.5</v>
      </c>
      <c r="L12" s="275">
        <f>IF(I12/15&lt;=SMG,0,J12/2)</f>
        <v>0</v>
      </c>
      <c r="M12" s="275">
        <f t="shared" ref="M12:M13" si="26">I12+L12</f>
        <v>11699.5</v>
      </c>
      <c r="N12" s="275">
        <f t="shared" ref="N12:N13" si="27">VLOOKUP(M12,Tarifa1,1)</f>
        <v>7641.91</v>
      </c>
      <c r="O12" s="275">
        <f t="shared" ref="O12:O13" si="28">M12-N12</f>
        <v>4057.59</v>
      </c>
      <c r="P12" s="276">
        <f t="shared" ref="P12:P13" si="29">VLOOKUP(M12,Tarifa1,3)</f>
        <v>0.21360000000000001</v>
      </c>
      <c r="Q12" s="275">
        <f t="shared" ref="Q12:Q13" si="30">O12*P12</f>
        <v>866.70122400000002</v>
      </c>
      <c r="R12" s="277">
        <f t="shared" ref="R12:R13" si="31">VLOOKUP(M12,Tarifa1,2)</f>
        <v>809.25</v>
      </c>
      <c r="S12" s="275">
        <f t="shared" ref="S12:S13" si="32">Q12+R12</f>
        <v>1675.9512239999999</v>
      </c>
      <c r="T12" s="275">
        <f t="shared" ref="T12:T13" si="33">VLOOKUP(M12,Credito1,2)</f>
        <v>0</v>
      </c>
      <c r="U12" s="275">
        <f t="shared" ref="U12:U13" si="34">ROUND(S12-T12,2)</f>
        <v>1675.95</v>
      </c>
      <c r="V12" s="274">
        <f t="shared" si="25"/>
        <v>0</v>
      </c>
      <c r="W12" s="274">
        <f t="shared" ref="W12:W13" si="35">IF(I12/15&lt;=SMG,0,IF(U12&lt;0,0,U12))</f>
        <v>1675.95</v>
      </c>
      <c r="X12" s="278">
        <v>0</v>
      </c>
      <c r="Y12" s="274">
        <f t="shared" si="11"/>
        <v>1675.95</v>
      </c>
      <c r="Z12" s="274">
        <f t="shared" ref="Z12" si="36">K12+V12-Y12</f>
        <v>10023.549999999999</v>
      </c>
      <c r="AA12" s="108"/>
      <c r="AB12" s="93"/>
      <c r="AG12" s="94"/>
    </row>
    <row r="13" spans="1:33" s="91" customFormat="1" ht="184.5" customHeight="1" x14ac:dyDescent="0.35">
      <c r="A13" s="107"/>
      <c r="B13" s="136" t="s">
        <v>380</v>
      </c>
      <c r="C13" s="136" t="s">
        <v>111</v>
      </c>
      <c r="D13" s="257" t="s">
        <v>381</v>
      </c>
      <c r="E13" s="287">
        <v>45616</v>
      </c>
      <c r="F13" s="187" t="s">
        <v>67</v>
      </c>
      <c r="G13" s="270"/>
      <c r="H13" s="271"/>
      <c r="I13" s="272">
        <v>6440.5</v>
      </c>
      <c r="J13" s="273">
        <v>0</v>
      </c>
      <c r="K13" s="272">
        <f>I13</f>
        <v>6440.5</v>
      </c>
      <c r="L13" s="275">
        <f t="shared" ref="L13" si="37">IF(I13/15&lt;=SMG,0,J13/2)</f>
        <v>0</v>
      </c>
      <c r="M13" s="275">
        <f t="shared" si="26"/>
        <v>6440.5</v>
      </c>
      <c r="N13" s="275">
        <f t="shared" si="27"/>
        <v>6382.81</v>
      </c>
      <c r="O13" s="275">
        <f t="shared" si="28"/>
        <v>57.6899999999996</v>
      </c>
      <c r="P13" s="276">
        <f t="shared" si="29"/>
        <v>0.1792</v>
      </c>
      <c r="Q13" s="275">
        <f t="shared" si="30"/>
        <v>10.338047999999928</v>
      </c>
      <c r="R13" s="277">
        <f t="shared" si="31"/>
        <v>583.65</v>
      </c>
      <c r="S13" s="275">
        <f t="shared" si="32"/>
        <v>593.98804799999994</v>
      </c>
      <c r="T13" s="275">
        <f t="shared" si="33"/>
        <v>0</v>
      </c>
      <c r="U13" s="275">
        <f t="shared" si="34"/>
        <v>593.99</v>
      </c>
      <c r="V13" s="274">
        <f t="shared" ref="V13" si="38">-IF(U13&gt;0,0,0)</f>
        <v>0</v>
      </c>
      <c r="W13" s="274">
        <f t="shared" si="35"/>
        <v>593.99</v>
      </c>
      <c r="X13" s="278">
        <v>779.53</v>
      </c>
      <c r="Y13" s="274">
        <f t="shared" si="11"/>
        <v>1373.52</v>
      </c>
      <c r="Z13" s="274">
        <f>K13+V13-Y13+J13</f>
        <v>5066.9799999999996</v>
      </c>
      <c r="AA13" s="108"/>
      <c r="AB13" s="93"/>
      <c r="AG13" s="94"/>
    </row>
    <row r="14" spans="1:33" s="91" customFormat="1" ht="184.5" customHeight="1" x14ac:dyDescent="0.35">
      <c r="A14" s="107"/>
      <c r="B14" s="136" t="s">
        <v>227</v>
      </c>
      <c r="C14" s="136" t="s">
        <v>111</v>
      </c>
      <c r="D14" s="257" t="s">
        <v>226</v>
      </c>
      <c r="E14" s="288">
        <v>45042</v>
      </c>
      <c r="F14" s="187" t="s">
        <v>67</v>
      </c>
      <c r="G14" s="270"/>
      <c r="H14" s="271"/>
      <c r="I14" s="272">
        <v>6440.5</v>
      </c>
      <c r="J14" s="273">
        <v>0</v>
      </c>
      <c r="K14" s="272">
        <f>I14</f>
        <v>6440.5</v>
      </c>
      <c r="L14" s="275">
        <f t="shared" ref="L14" si="39">IF(I14/15&lt;=SMG,0,J14/2)</f>
        <v>0</v>
      </c>
      <c r="M14" s="275">
        <f t="shared" ref="M14" si="40">I14+L14</f>
        <v>6440.5</v>
      </c>
      <c r="N14" s="275">
        <f t="shared" ref="N14" si="41">VLOOKUP(M14,Tarifa1,1)</f>
        <v>6382.81</v>
      </c>
      <c r="O14" s="275">
        <f t="shared" ref="O14" si="42">M14-N14</f>
        <v>57.6899999999996</v>
      </c>
      <c r="P14" s="276">
        <f t="shared" ref="P14" si="43">VLOOKUP(M14,Tarifa1,3)</f>
        <v>0.1792</v>
      </c>
      <c r="Q14" s="275">
        <f t="shared" ref="Q14" si="44">O14*P14</f>
        <v>10.338047999999928</v>
      </c>
      <c r="R14" s="277">
        <f t="shared" ref="R14" si="45">VLOOKUP(M14,Tarifa1,2)</f>
        <v>583.65</v>
      </c>
      <c r="S14" s="275">
        <f t="shared" ref="S14" si="46">Q14+R14</f>
        <v>593.98804799999994</v>
      </c>
      <c r="T14" s="275">
        <f t="shared" ref="T14" si="47">VLOOKUP(M14,Credito1,2)</f>
        <v>0</v>
      </c>
      <c r="U14" s="275">
        <f t="shared" ref="U14" si="48">ROUND(S14-T14,2)</f>
        <v>593.99</v>
      </c>
      <c r="V14" s="274">
        <f t="shared" si="25"/>
        <v>0</v>
      </c>
      <c r="W14" s="274">
        <f t="shared" ref="W14" si="49">IF(I14/15&lt;=SMG,0,IF(U14&lt;0,0,U14))</f>
        <v>593.99</v>
      </c>
      <c r="X14" s="278">
        <v>0</v>
      </c>
      <c r="Y14" s="274">
        <f t="shared" ref="Y14" si="50">SUM(W14:X14)</f>
        <v>593.99</v>
      </c>
      <c r="Z14" s="274">
        <f>K14+V14-Y14+J14</f>
        <v>5846.51</v>
      </c>
      <c r="AA14" s="108"/>
      <c r="AG14" s="94"/>
    </row>
    <row r="15" spans="1:33" s="91" customFormat="1" ht="184.5" customHeight="1" x14ac:dyDescent="0.35">
      <c r="A15" s="165"/>
      <c r="B15" s="136" t="s">
        <v>230</v>
      </c>
      <c r="C15" s="136" t="s">
        <v>111</v>
      </c>
      <c r="D15" s="257" t="s">
        <v>231</v>
      </c>
      <c r="E15" s="288">
        <v>45078</v>
      </c>
      <c r="F15" s="187" t="s">
        <v>232</v>
      </c>
      <c r="G15" s="270"/>
      <c r="H15" s="271"/>
      <c r="I15" s="272">
        <v>8808.5</v>
      </c>
      <c r="J15" s="273">
        <v>0</v>
      </c>
      <c r="K15" s="274">
        <f t="shared" ref="K15" si="51">SUM(I15:J15)</f>
        <v>8808.5</v>
      </c>
      <c r="L15" s="275">
        <f t="shared" ref="L15" si="52">IF(I15/15&lt;=SMG,0,J15/2)</f>
        <v>0</v>
      </c>
      <c r="M15" s="275">
        <f t="shared" ref="M15" si="53">I15+L15</f>
        <v>8808.5</v>
      </c>
      <c r="N15" s="275">
        <f t="shared" ref="N15" si="54">VLOOKUP(M15,Tarifa1,1)</f>
        <v>7641.91</v>
      </c>
      <c r="O15" s="275">
        <f t="shared" ref="O15" si="55">M15-N15</f>
        <v>1166.5900000000001</v>
      </c>
      <c r="P15" s="276">
        <f t="shared" ref="P15" si="56">VLOOKUP(M15,Tarifa1,3)</f>
        <v>0.21360000000000001</v>
      </c>
      <c r="Q15" s="275">
        <f t="shared" ref="Q15" si="57">O15*P15</f>
        <v>249.18362400000004</v>
      </c>
      <c r="R15" s="277">
        <f t="shared" ref="R15" si="58">VLOOKUP(M15,Tarifa1,2)</f>
        <v>809.25</v>
      </c>
      <c r="S15" s="275">
        <f t="shared" ref="S15" si="59">Q15+R15</f>
        <v>1058.433624</v>
      </c>
      <c r="T15" s="275">
        <f t="shared" ref="T15" si="60">VLOOKUP(M15,Credito1,2)</f>
        <v>0</v>
      </c>
      <c r="U15" s="275">
        <f t="shared" ref="U15" si="61">ROUND(S15-T15,2)</f>
        <v>1058.43</v>
      </c>
      <c r="V15" s="274">
        <f t="shared" ref="V15" si="62">-IF(U15&gt;0,0,0)</f>
        <v>0</v>
      </c>
      <c r="W15" s="274">
        <f t="shared" ref="W15" si="63">IF(I15/15&lt;=SMG,0,IF(U15&lt;0,0,U15))</f>
        <v>1058.43</v>
      </c>
      <c r="X15" s="278">
        <v>0</v>
      </c>
      <c r="Y15" s="274">
        <f t="shared" ref="Y15" si="64">SUM(W15:X15)</f>
        <v>1058.43</v>
      </c>
      <c r="Z15" s="274">
        <f t="shared" ref="Z15" si="65">K15+V15-Y15</f>
        <v>7750.07</v>
      </c>
      <c r="AA15" s="108"/>
      <c r="AG15" s="94"/>
    </row>
    <row r="16" spans="1:33" s="91" customFormat="1" ht="168.75" customHeight="1" x14ac:dyDescent="0.35">
      <c r="A16" s="165"/>
      <c r="B16" s="137" t="s">
        <v>156</v>
      </c>
      <c r="C16" s="137" t="s">
        <v>111</v>
      </c>
      <c r="D16" s="258" t="s">
        <v>150</v>
      </c>
      <c r="E16" s="284">
        <v>43512</v>
      </c>
      <c r="F16" s="187" t="s">
        <v>149</v>
      </c>
      <c r="G16" s="270">
        <v>15</v>
      </c>
      <c r="H16" s="271"/>
      <c r="I16" s="272">
        <v>8808.5</v>
      </c>
      <c r="J16" s="273">
        <v>0</v>
      </c>
      <c r="K16" s="274">
        <f t="shared" ref="K16" si="66">SUM(I16:J16)</f>
        <v>8808.5</v>
      </c>
      <c r="L16" s="275">
        <f t="shared" ref="L16" si="67">IF(I16/15&lt;=SMG,0,J16/2)</f>
        <v>0</v>
      </c>
      <c r="M16" s="275">
        <f t="shared" ref="M16" si="68">I16+L16</f>
        <v>8808.5</v>
      </c>
      <c r="N16" s="275">
        <f t="shared" ref="N16" si="69">VLOOKUP(M16,Tarifa1,1)</f>
        <v>7641.91</v>
      </c>
      <c r="O16" s="275">
        <f t="shared" ref="O16" si="70">M16-N16</f>
        <v>1166.5900000000001</v>
      </c>
      <c r="P16" s="276">
        <f t="shared" ref="P16" si="71">VLOOKUP(M16,Tarifa1,3)</f>
        <v>0.21360000000000001</v>
      </c>
      <c r="Q16" s="275">
        <f t="shared" ref="Q16" si="72">O16*P16</f>
        <v>249.18362400000004</v>
      </c>
      <c r="R16" s="277">
        <f t="shared" ref="R16" si="73">VLOOKUP(M16,Tarifa1,2)</f>
        <v>809.25</v>
      </c>
      <c r="S16" s="275">
        <f t="shared" ref="S16" si="74">Q16+R16</f>
        <v>1058.433624</v>
      </c>
      <c r="T16" s="275">
        <f t="shared" ref="T16" si="75">VLOOKUP(M16,Credito1,2)</f>
        <v>0</v>
      </c>
      <c r="U16" s="275">
        <f t="shared" ref="U16" si="76">ROUND(S16-T16,2)</f>
        <v>1058.43</v>
      </c>
      <c r="V16" s="274">
        <f t="shared" ref="V16" si="77">-IF(U16&gt;0,0,0)</f>
        <v>0</v>
      </c>
      <c r="W16" s="274">
        <f t="shared" ref="W16" si="78">IF(I16/15&lt;=SMG,0,IF(U16&lt;0,0,U16))</f>
        <v>1058.43</v>
      </c>
      <c r="X16" s="278">
        <v>0</v>
      </c>
      <c r="Y16" s="274">
        <f t="shared" ref="Y16" si="79">SUM(W16:X16)</f>
        <v>1058.43</v>
      </c>
      <c r="Z16" s="274">
        <f t="shared" ref="Z16" si="80">K16+V16-Y16</f>
        <v>7750.07</v>
      </c>
      <c r="AA16" s="108"/>
      <c r="AB16" s="179"/>
      <c r="AG16" s="94"/>
    </row>
    <row r="17" spans="1:33" s="91" customFormat="1" ht="168.75" customHeight="1" x14ac:dyDescent="0.35">
      <c r="A17" s="165"/>
      <c r="B17" s="137" t="s">
        <v>160</v>
      </c>
      <c r="C17" s="137" t="s">
        <v>111</v>
      </c>
      <c r="D17" s="258" t="s">
        <v>161</v>
      </c>
      <c r="E17" s="284">
        <v>43632</v>
      </c>
      <c r="F17" s="187" t="s">
        <v>149</v>
      </c>
      <c r="G17" s="270">
        <v>15</v>
      </c>
      <c r="H17" s="271"/>
      <c r="I17" s="272">
        <v>8808.5</v>
      </c>
      <c r="J17" s="273">
        <v>0</v>
      </c>
      <c r="K17" s="274">
        <f t="shared" ref="K17" si="81">SUM(I17:J17)</f>
        <v>8808.5</v>
      </c>
      <c r="L17" s="275">
        <f t="shared" ref="L17" si="82">IF(I17/15&lt;=SMG,0,J17/2)</f>
        <v>0</v>
      </c>
      <c r="M17" s="275">
        <f t="shared" ref="M17" si="83">I17+L17</f>
        <v>8808.5</v>
      </c>
      <c r="N17" s="275">
        <f t="shared" ref="N17" si="84">VLOOKUP(M17,Tarifa1,1)</f>
        <v>7641.91</v>
      </c>
      <c r="O17" s="275">
        <f t="shared" ref="O17" si="85">M17-N17</f>
        <v>1166.5900000000001</v>
      </c>
      <c r="P17" s="276">
        <f t="shared" ref="P17" si="86">VLOOKUP(M17,Tarifa1,3)</f>
        <v>0.21360000000000001</v>
      </c>
      <c r="Q17" s="275">
        <f t="shared" ref="Q17" si="87">O17*P17</f>
        <v>249.18362400000004</v>
      </c>
      <c r="R17" s="277">
        <f t="shared" ref="R17" si="88">VLOOKUP(M17,Tarifa1,2)</f>
        <v>809.25</v>
      </c>
      <c r="S17" s="275">
        <f t="shared" ref="S17" si="89">Q17+R17</f>
        <v>1058.433624</v>
      </c>
      <c r="T17" s="275">
        <f t="shared" ref="T17" si="90">VLOOKUP(M17,Credito1,2)</f>
        <v>0</v>
      </c>
      <c r="U17" s="275">
        <f t="shared" ref="U17" si="91">ROUND(S17-T17,2)</f>
        <v>1058.43</v>
      </c>
      <c r="V17" s="274">
        <f>-IF(U17&gt;0,0,0)</f>
        <v>0</v>
      </c>
      <c r="W17" s="274">
        <f t="shared" ref="W17" si="92">IF(I17/15&lt;=SMG,0,IF(U17&lt;0,0,U17))</f>
        <v>1058.43</v>
      </c>
      <c r="X17" s="278">
        <v>516.66999999999996</v>
      </c>
      <c r="Y17" s="274">
        <f t="shared" ref="Y17" si="93">SUM(W17:X17)</f>
        <v>1575.1</v>
      </c>
      <c r="Z17" s="274">
        <f t="shared" ref="Z17" si="94">K17+V17-Y17</f>
        <v>7233.4</v>
      </c>
      <c r="AA17" s="108"/>
      <c r="AB17" s="179"/>
      <c r="AG17" s="94"/>
    </row>
    <row r="18" spans="1:33" s="91" customFormat="1" ht="168.75" customHeight="1" x14ac:dyDescent="0.35">
      <c r="A18" s="107"/>
      <c r="B18" s="137" t="s">
        <v>200</v>
      </c>
      <c r="C18" s="137" t="s">
        <v>111</v>
      </c>
      <c r="D18" s="258" t="s">
        <v>201</v>
      </c>
      <c r="E18" s="284">
        <v>44728</v>
      </c>
      <c r="F18" s="187" t="s">
        <v>149</v>
      </c>
      <c r="G18" s="270"/>
      <c r="H18" s="271"/>
      <c r="I18" s="272">
        <v>8808.5</v>
      </c>
      <c r="J18" s="273">
        <v>0</v>
      </c>
      <c r="K18" s="274">
        <f>SUM(I18:J18)</f>
        <v>8808.5</v>
      </c>
      <c r="L18" s="275">
        <f t="shared" ref="L18" si="95">IF(I18/15&lt;=SMG,0,J18/2)</f>
        <v>0</v>
      </c>
      <c r="M18" s="275">
        <f t="shared" ref="M18:M25" si="96">I18+L18</f>
        <v>8808.5</v>
      </c>
      <c r="N18" s="275">
        <f t="shared" ref="N18" si="97">VLOOKUP(M18,Tarifa1,1)</f>
        <v>7641.91</v>
      </c>
      <c r="O18" s="275">
        <f t="shared" ref="O18:O25" si="98">M18-N18</f>
        <v>1166.5900000000001</v>
      </c>
      <c r="P18" s="276">
        <f t="shared" ref="P18" si="99">VLOOKUP(M18,Tarifa1,3)</f>
        <v>0.21360000000000001</v>
      </c>
      <c r="Q18" s="275">
        <f t="shared" ref="Q18:Q25" si="100">O18*P18</f>
        <v>249.18362400000004</v>
      </c>
      <c r="R18" s="277">
        <f t="shared" ref="R18" si="101">VLOOKUP(M18,Tarifa1,2)</f>
        <v>809.25</v>
      </c>
      <c r="S18" s="275">
        <f t="shared" ref="S18:S25" si="102">Q18+R18</f>
        <v>1058.433624</v>
      </c>
      <c r="T18" s="275">
        <f t="shared" ref="T18" si="103">VLOOKUP(M18,Credito1,2)</f>
        <v>0</v>
      </c>
      <c r="U18" s="275">
        <f t="shared" ref="U18:U25" si="104">ROUND(S18-T18,2)</f>
        <v>1058.43</v>
      </c>
      <c r="V18" s="274">
        <f t="shared" ref="V18:V26" si="105">-IF(U18&gt;0,0,0)</f>
        <v>0</v>
      </c>
      <c r="W18" s="274">
        <f t="shared" ref="W18" si="106">IF(I18/15&lt;=SMG,0,IF(U18&lt;0,0,U18))</f>
        <v>1058.43</v>
      </c>
      <c r="X18" s="278">
        <v>0</v>
      </c>
      <c r="Y18" s="274">
        <f t="shared" ref="Y18" si="107">SUM(W18:X18)</f>
        <v>1058.43</v>
      </c>
      <c r="Z18" s="274">
        <f>K18+V18-Y18</f>
        <v>7750.07</v>
      </c>
      <c r="AA18" s="108"/>
      <c r="AG18" s="94"/>
    </row>
    <row r="19" spans="1:33" s="91" customFormat="1" ht="168.75" customHeight="1" x14ac:dyDescent="0.35">
      <c r="A19" s="107"/>
      <c r="B19" s="137" t="s">
        <v>225</v>
      </c>
      <c r="C19" s="137" t="s">
        <v>111</v>
      </c>
      <c r="D19" s="256" t="s">
        <v>228</v>
      </c>
      <c r="E19" s="283">
        <v>45033</v>
      </c>
      <c r="F19" s="187" t="s">
        <v>149</v>
      </c>
      <c r="G19" s="270"/>
      <c r="H19" s="271"/>
      <c r="I19" s="272">
        <v>7048</v>
      </c>
      <c r="J19" s="273">
        <v>0</v>
      </c>
      <c r="K19" s="274">
        <f>SUM(I19:J19)</f>
        <v>7048</v>
      </c>
      <c r="L19" s="275">
        <f t="shared" ref="L19" si="108">IF(I19/15&lt;=SMG,0,J19/2)</f>
        <v>0</v>
      </c>
      <c r="M19" s="275">
        <f t="shared" ref="M19" si="109">I19+L19</f>
        <v>7048</v>
      </c>
      <c r="N19" s="275">
        <f t="shared" ref="N19" si="110">VLOOKUP(M19,Tarifa1,1)</f>
        <v>6382.81</v>
      </c>
      <c r="O19" s="275">
        <f t="shared" ref="O19" si="111">M19-N19</f>
        <v>665.1899999999996</v>
      </c>
      <c r="P19" s="276">
        <f t="shared" ref="P19" si="112">VLOOKUP(M19,Tarifa1,3)</f>
        <v>0.1792</v>
      </c>
      <c r="Q19" s="275">
        <f t="shared" ref="Q19" si="113">O19*P19</f>
        <v>119.20204799999993</v>
      </c>
      <c r="R19" s="277">
        <f t="shared" ref="R19" si="114">VLOOKUP(M19,Tarifa1,2)</f>
        <v>583.65</v>
      </c>
      <c r="S19" s="275">
        <f t="shared" ref="S19" si="115">Q19+R19</f>
        <v>702.85204799999997</v>
      </c>
      <c r="T19" s="275">
        <f t="shared" ref="T19" si="116">VLOOKUP(M19,Credito1,2)</f>
        <v>0</v>
      </c>
      <c r="U19" s="275">
        <f t="shared" ref="U19" si="117">ROUND(S19-T19,2)</f>
        <v>702.85</v>
      </c>
      <c r="V19" s="274">
        <f t="shared" si="105"/>
        <v>0</v>
      </c>
      <c r="W19" s="274">
        <f t="shared" ref="W19" si="118">IF(I19/15&lt;=SMG,0,IF(U19&lt;0,0,U19))</f>
        <v>702.85</v>
      </c>
      <c r="X19" s="278">
        <v>5000</v>
      </c>
      <c r="Y19" s="274">
        <f t="shared" ref="Y19" si="119">SUM(W19:X19)</f>
        <v>5702.85</v>
      </c>
      <c r="Z19" s="274">
        <f>K19+V19-Y19</f>
        <v>1345.1499999999996</v>
      </c>
      <c r="AA19" s="108"/>
      <c r="AG19" s="94"/>
    </row>
    <row r="20" spans="1:33" s="91" customFormat="1" ht="168.75" customHeight="1" x14ac:dyDescent="0.35">
      <c r="A20" s="107"/>
      <c r="B20" s="137" t="s">
        <v>264</v>
      </c>
      <c r="C20" s="137" t="s">
        <v>111</v>
      </c>
      <c r="D20" s="256" t="s">
        <v>265</v>
      </c>
      <c r="E20" s="285">
        <v>45475</v>
      </c>
      <c r="F20" s="187" t="s">
        <v>149</v>
      </c>
      <c r="G20" s="271"/>
      <c r="H20" s="272">
        <v>6843</v>
      </c>
      <c r="I20" s="272">
        <v>7048</v>
      </c>
      <c r="J20" s="273">
        <v>0</v>
      </c>
      <c r="K20" s="274">
        <f>SUM(I20:J20)</f>
        <v>7048</v>
      </c>
      <c r="L20" s="275">
        <f t="shared" ref="L20:L21" si="120">IF(I20/15&lt;=SMG,0,J20/2)</f>
        <v>0</v>
      </c>
      <c r="M20" s="275">
        <f t="shared" ref="M20:M21" si="121">I20+L20</f>
        <v>7048</v>
      </c>
      <c r="N20" s="275">
        <f t="shared" ref="N20:N21" si="122">VLOOKUP(M20,Tarifa1,1)</f>
        <v>6382.81</v>
      </c>
      <c r="O20" s="275">
        <f t="shared" ref="O20:O21" si="123">M20-N20</f>
        <v>665.1899999999996</v>
      </c>
      <c r="P20" s="276">
        <f t="shared" ref="P20:P21" si="124">VLOOKUP(M20,Tarifa1,3)</f>
        <v>0.1792</v>
      </c>
      <c r="Q20" s="275">
        <f t="shared" ref="Q20:Q21" si="125">O20*P20</f>
        <v>119.20204799999993</v>
      </c>
      <c r="R20" s="277">
        <f t="shared" ref="R20:R21" si="126">VLOOKUP(M20,Tarifa1,2)</f>
        <v>583.65</v>
      </c>
      <c r="S20" s="275">
        <f t="shared" ref="S20:S21" si="127">Q20+R20</f>
        <v>702.85204799999997</v>
      </c>
      <c r="T20" s="275">
        <f t="shared" ref="T20:T21" si="128">VLOOKUP(M20,Credito1,2)</f>
        <v>0</v>
      </c>
      <c r="U20" s="275">
        <f t="shared" ref="U20:U21" si="129">ROUND(S20-T20,2)</f>
        <v>702.85</v>
      </c>
      <c r="V20" s="274">
        <f t="shared" ref="V20:V21" si="130">-IF(U20&gt;0,0,0)</f>
        <v>0</v>
      </c>
      <c r="W20" s="274">
        <f t="shared" ref="W20:W21" si="131">IF(I20/15&lt;=SMG,0,IF(U20&lt;0,0,U20))</f>
        <v>702.85</v>
      </c>
      <c r="X20" s="278">
        <v>423</v>
      </c>
      <c r="Y20" s="274">
        <f t="shared" ref="Y20:Y21" si="132">SUM(W20:X20)</f>
        <v>1125.8499999999999</v>
      </c>
      <c r="Z20" s="274">
        <f>K20+V20-Y20</f>
        <v>5922.15</v>
      </c>
      <c r="AA20" s="108"/>
      <c r="AG20" s="94"/>
    </row>
    <row r="21" spans="1:33" s="91" customFormat="1" ht="168.75" customHeight="1" x14ac:dyDescent="0.35">
      <c r="A21" s="107"/>
      <c r="B21" s="137" t="s">
        <v>391</v>
      </c>
      <c r="C21" s="137" t="s">
        <v>111</v>
      </c>
      <c r="D21" s="256" t="s">
        <v>389</v>
      </c>
      <c r="E21" s="285">
        <v>45629</v>
      </c>
      <c r="F21" s="187" t="s">
        <v>390</v>
      </c>
      <c r="G21" s="271"/>
      <c r="H21" s="272"/>
      <c r="I21" s="272">
        <v>7500.63</v>
      </c>
      <c r="J21" s="273">
        <v>0</v>
      </c>
      <c r="K21" s="274">
        <f>SUM(I21:J21)</f>
        <v>7500.63</v>
      </c>
      <c r="L21" s="275">
        <f t="shared" si="120"/>
        <v>0</v>
      </c>
      <c r="M21" s="275">
        <f t="shared" si="121"/>
        <v>7500.63</v>
      </c>
      <c r="N21" s="275">
        <f t="shared" si="122"/>
        <v>6382.81</v>
      </c>
      <c r="O21" s="275">
        <f t="shared" si="123"/>
        <v>1117.8199999999997</v>
      </c>
      <c r="P21" s="276">
        <f t="shared" si="124"/>
        <v>0.1792</v>
      </c>
      <c r="Q21" s="275">
        <f t="shared" si="125"/>
        <v>200.31334399999994</v>
      </c>
      <c r="R21" s="277">
        <f t="shared" si="126"/>
        <v>583.65</v>
      </c>
      <c r="S21" s="275">
        <f t="shared" si="127"/>
        <v>783.96334399999989</v>
      </c>
      <c r="T21" s="275">
        <f t="shared" si="128"/>
        <v>0</v>
      </c>
      <c r="U21" s="275">
        <f t="shared" si="129"/>
        <v>783.96</v>
      </c>
      <c r="V21" s="274">
        <f t="shared" si="130"/>
        <v>0</v>
      </c>
      <c r="W21" s="274">
        <f t="shared" si="131"/>
        <v>783.96</v>
      </c>
      <c r="X21" s="278">
        <v>0</v>
      </c>
      <c r="Y21" s="274">
        <f t="shared" si="132"/>
        <v>783.96</v>
      </c>
      <c r="Z21" s="274">
        <f>K21+V21-Y21</f>
        <v>6716.67</v>
      </c>
      <c r="AA21" s="108"/>
      <c r="AG21" s="94"/>
    </row>
    <row r="22" spans="1:33" s="91" customFormat="1" ht="168.75" customHeight="1" x14ac:dyDescent="0.35">
      <c r="A22" s="107"/>
      <c r="B22" s="137" t="s">
        <v>334</v>
      </c>
      <c r="C22" s="137" t="s">
        <v>111</v>
      </c>
      <c r="D22" s="256" t="s">
        <v>335</v>
      </c>
      <c r="E22" s="285">
        <v>45566</v>
      </c>
      <c r="F22" s="187" t="s">
        <v>149</v>
      </c>
      <c r="G22" s="271"/>
      <c r="H22" s="272"/>
      <c r="I22" s="272">
        <v>6627.5</v>
      </c>
      <c r="J22" s="273">
        <v>0</v>
      </c>
      <c r="K22" s="274">
        <f>SUM(I22:J22)</f>
        <v>6627.5</v>
      </c>
      <c r="L22" s="275">
        <f>IF(I22/15&lt;=SMG,0,J22/2)</f>
        <v>0</v>
      </c>
      <c r="M22" s="275">
        <f>I22+L22</f>
        <v>6627.5</v>
      </c>
      <c r="N22" s="275">
        <f>VLOOKUP(M22,Tarifa1,1)</f>
        <v>6382.81</v>
      </c>
      <c r="O22" s="275">
        <f>M22-N22</f>
        <v>244.6899999999996</v>
      </c>
      <c r="P22" s="276">
        <f>VLOOKUP(M22,Tarifa1,3)</f>
        <v>0.1792</v>
      </c>
      <c r="Q22" s="275">
        <f>O22*P22</f>
        <v>43.848447999999927</v>
      </c>
      <c r="R22" s="277">
        <f>VLOOKUP(M22,Tarifa1,2)</f>
        <v>583.65</v>
      </c>
      <c r="S22" s="275">
        <f>Q22+R22</f>
        <v>627.49844799999994</v>
      </c>
      <c r="T22" s="275">
        <f>VLOOKUP(M22,Credito1,2)</f>
        <v>0</v>
      </c>
      <c r="U22" s="275">
        <f>ROUND(S22-T22,2)</f>
        <v>627.5</v>
      </c>
      <c r="V22" s="274">
        <f>-IF(U22&gt;0,0,0)</f>
        <v>0</v>
      </c>
      <c r="W22" s="274">
        <f>IF(I22/15&lt;=SMG,0,IF(U22&lt;0,0,U22))</f>
        <v>627.5</v>
      </c>
      <c r="X22" s="278">
        <v>0</v>
      </c>
      <c r="Y22" s="274">
        <f>SUM(W22:X22)</f>
        <v>627.5</v>
      </c>
      <c r="Z22" s="274">
        <f>K22+V22-Y22</f>
        <v>6000</v>
      </c>
      <c r="AA22" s="108"/>
      <c r="AG22" s="94"/>
    </row>
    <row r="23" spans="1:33" s="91" customFormat="1" ht="168.75" customHeight="1" x14ac:dyDescent="0.35">
      <c r="A23" s="107"/>
      <c r="B23" s="173" t="s">
        <v>204</v>
      </c>
      <c r="C23" s="173" t="s">
        <v>111</v>
      </c>
      <c r="D23" s="261" t="s">
        <v>202</v>
      </c>
      <c r="E23" s="286">
        <v>44728</v>
      </c>
      <c r="F23" s="269" t="s">
        <v>203</v>
      </c>
      <c r="G23" s="279"/>
      <c r="H23" s="280"/>
      <c r="I23" s="262">
        <v>6440.5</v>
      </c>
      <c r="J23" s="263">
        <v>0</v>
      </c>
      <c r="K23" s="262">
        <f>I23</f>
        <v>6440.5</v>
      </c>
      <c r="L23" s="264">
        <f t="shared" ref="L23" si="133">IF(I23/15&lt;=SMG,0,J23/2)</f>
        <v>0</v>
      </c>
      <c r="M23" s="264">
        <f t="shared" ref="M23" si="134">I23+L23</f>
        <v>6440.5</v>
      </c>
      <c r="N23" s="264">
        <f t="shared" ref="N23" si="135">VLOOKUP(M23,Tarifa1,1)</f>
        <v>6382.81</v>
      </c>
      <c r="O23" s="264">
        <f t="shared" ref="O23" si="136">M23-N23</f>
        <v>57.6899999999996</v>
      </c>
      <c r="P23" s="265">
        <f t="shared" ref="P23" si="137">VLOOKUP(M23,Tarifa1,3)</f>
        <v>0.1792</v>
      </c>
      <c r="Q23" s="264">
        <f t="shared" ref="Q23" si="138">O23*P23</f>
        <v>10.338047999999928</v>
      </c>
      <c r="R23" s="266">
        <f t="shared" ref="R23" si="139">VLOOKUP(M23,Tarifa1,2)</f>
        <v>583.65</v>
      </c>
      <c r="S23" s="264">
        <f t="shared" ref="S23" si="140">Q23+R23</f>
        <v>593.98804799999994</v>
      </c>
      <c r="T23" s="264">
        <f t="shared" ref="T23" si="141">VLOOKUP(M23,Credito1,2)</f>
        <v>0</v>
      </c>
      <c r="U23" s="264">
        <f t="shared" ref="U23" si="142">ROUND(S23-T23,2)</f>
        <v>593.99</v>
      </c>
      <c r="V23" s="267">
        <f t="shared" ref="V23" si="143">-IF(U23&gt;0,0,0)</f>
        <v>0</v>
      </c>
      <c r="W23" s="267">
        <f t="shared" ref="W23" si="144">IF(I23/15&lt;=SMG,0,IF(U23&lt;0,0,U23))</f>
        <v>593.99</v>
      </c>
      <c r="X23" s="268">
        <v>0</v>
      </c>
      <c r="Y23" s="267">
        <f>SUM(W23:X23)</f>
        <v>593.99</v>
      </c>
      <c r="Z23" s="267">
        <f>K23+V23-Y23+J23</f>
        <v>5846.51</v>
      </c>
      <c r="AA23" s="170"/>
      <c r="AG23" s="94"/>
    </row>
    <row r="24" spans="1:33" s="91" customFormat="1" ht="104.25" customHeight="1" x14ac:dyDescent="0.35">
      <c r="A24" s="165"/>
      <c r="B24" s="173" t="s">
        <v>204</v>
      </c>
      <c r="C24" s="173" t="s">
        <v>111</v>
      </c>
      <c r="D24" s="261" t="s">
        <v>202</v>
      </c>
      <c r="E24" s="286">
        <v>44728</v>
      </c>
      <c r="F24" s="269" t="s">
        <v>203</v>
      </c>
      <c r="G24" s="279"/>
      <c r="H24" s="280"/>
      <c r="I24" s="262">
        <v>6440.5</v>
      </c>
      <c r="J24" s="263">
        <v>0</v>
      </c>
      <c r="K24" s="262">
        <f>I24</f>
        <v>6440.5</v>
      </c>
      <c r="L24" s="264">
        <f t="shared" ref="L24" si="145">IF(I24/15&lt;=SMG,0,J24/2)</f>
        <v>0</v>
      </c>
      <c r="M24" s="264">
        <f t="shared" ref="M24" si="146">I24+L24</f>
        <v>6440.5</v>
      </c>
      <c r="N24" s="264">
        <f t="shared" ref="N24" si="147">VLOOKUP(M24,Tarifa1,1)</f>
        <v>6382.81</v>
      </c>
      <c r="O24" s="264">
        <f t="shared" ref="O24" si="148">M24-N24</f>
        <v>57.6899999999996</v>
      </c>
      <c r="P24" s="265">
        <f t="shared" ref="P24" si="149">VLOOKUP(M24,Tarifa1,3)</f>
        <v>0.1792</v>
      </c>
      <c r="Q24" s="264">
        <f t="shared" ref="Q24" si="150">O24*P24</f>
        <v>10.338047999999928</v>
      </c>
      <c r="R24" s="266">
        <f t="shared" ref="R24" si="151">VLOOKUP(M24,Tarifa1,2)</f>
        <v>583.65</v>
      </c>
      <c r="S24" s="264">
        <f t="shared" ref="S24" si="152">Q24+R24</f>
        <v>593.98804799999994</v>
      </c>
      <c r="T24" s="264">
        <f t="shared" ref="T24" si="153">VLOOKUP(M24,Credito1,2)</f>
        <v>0</v>
      </c>
      <c r="U24" s="264">
        <f t="shared" ref="U24" si="154">ROUND(S24-T24,2)</f>
        <v>593.99</v>
      </c>
      <c r="V24" s="267">
        <f t="shared" ref="V24" si="155">-IF(U24&gt;0,0,0)</f>
        <v>0</v>
      </c>
      <c r="W24" s="267">
        <f t="shared" ref="W24" si="156">IF(I24/15&lt;=SMG,0,IF(U24&lt;0,0,U24))</f>
        <v>593.99</v>
      </c>
      <c r="X24" s="268">
        <v>0</v>
      </c>
      <c r="Y24" s="267">
        <f>SUM(W24:X24)</f>
        <v>593.99</v>
      </c>
      <c r="Z24" s="267">
        <f>K24+V24-Y24+J24</f>
        <v>5846.51</v>
      </c>
      <c r="AA24" s="170"/>
      <c r="AG24" s="94"/>
    </row>
    <row r="25" spans="1:33" s="91" customFormat="1" ht="184.5" customHeight="1" x14ac:dyDescent="0.35">
      <c r="A25" s="107"/>
      <c r="B25" s="137" t="s">
        <v>376</v>
      </c>
      <c r="C25" s="137" t="s">
        <v>111</v>
      </c>
      <c r="D25" s="258" t="s">
        <v>371</v>
      </c>
      <c r="E25" s="283">
        <v>45581</v>
      </c>
      <c r="F25" s="187" t="s">
        <v>372</v>
      </c>
      <c r="G25" s="270"/>
      <c r="H25" s="271"/>
      <c r="I25" s="272">
        <v>5434.83</v>
      </c>
      <c r="J25" s="273">
        <v>0</v>
      </c>
      <c r="K25" s="274">
        <f>SUM(I25:J25)</f>
        <v>5434.83</v>
      </c>
      <c r="L25" s="275">
        <f>IF(I25/15&lt;=SMG,0,J25/2)</f>
        <v>0</v>
      </c>
      <c r="M25" s="275">
        <f t="shared" si="96"/>
        <v>5434.83</v>
      </c>
      <c r="N25" s="275">
        <f>VLOOKUP(M25,Tarifa1,1)</f>
        <v>3124.36</v>
      </c>
      <c r="O25" s="275">
        <f t="shared" si="98"/>
        <v>2310.4699999999998</v>
      </c>
      <c r="P25" s="276">
        <f>VLOOKUP(M25,Tarifa1,3)</f>
        <v>0.10879999999999999</v>
      </c>
      <c r="Q25" s="275">
        <f t="shared" si="100"/>
        <v>251.37913599999996</v>
      </c>
      <c r="R25" s="277">
        <f>VLOOKUP(M25,Tarifa1,2)</f>
        <v>183.45</v>
      </c>
      <c r="S25" s="275">
        <f t="shared" si="102"/>
        <v>434.82913599999995</v>
      </c>
      <c r="T25" s="275">
        <f>VLOOKUP(M25,Credito1,2)</f>
        <v>0</v>
      </c>
      <c r="U25" s="275">
        <f t="shared" si="104"/>
        <v>434.83</v>
      </c>
      <c r="V25" s="274">
        <f>-IF(U25&gt;0,0,0)</f>
        <v>0</v>
      </c>
      <c r="W25" s="274">
        <f>IF(I25/15&lt;=SMG,0,IF(U25&lt;0,0,U25))</f>
        <v>434.83</v>
      </c>
      <c r="X25" s="278">
        <v>666.66</v>
      </c>
      <c r="Y25" s="274">
        <f>SUM(W25:X25)</f>
        <v>1101.49</v>
      </c>
      <c r="Z25" s="274">
        <f>K25+V25-Y25</f>
        <v>4333.34</v>
      </c>
      <c r="AA25" s="108"/>
      <c r="AG25" s="94"/>
    </row>
    <row r="26" spans="1:33" s="91" customFormat="1" ht="184.5" customHeight="1" x14ac:dyDescent="0.35">
      <c r="A26" s="107"/>
      <c r="B26" s="137" t="s">
        <v>256</v>
      </c>
      <c r="C26" s="137" t="s">
        <v>111</v>
      </c>
      <c r="D26" s="258" t="s">
        <v>255</v>
      </c>
      <c r="E26" s="284">
        <v>45188</v>
      </c>
      <c r="F26" s="187" t="s">
        <v>254</v>
      </c>
      <c r="G26" s="270"/>
      <c r="H26" s="271"/>
      <c r="I26" s="272">
        <v>4601</v>
      </c>
      <c r="J26" s="273">
        <v>0</v>
      </c>
      <c r="K26" s="274">
        <f>SUM(I26:J26)</f>
        <v>4601</v>
      </c>
      <c r="L26" s="275">
        <f>IF(I26/15&lt;=SMG,0,J26/2)</f>
        <v>0</v>
      </c>
      <c r="M26" s="275">
        <f t="shared" ref="M26" si="157">I26+L26</f>
        <v>4601</v>
      </c>
      <c r="N26" s="275">
        <f t="shared" ref="N26" si="158">VLOOKUP(M26,Tarifa1,1)</f>
        <v>3124.36</v>
      </c>
      <c r="O26" s="275">
        <f t="shared" ref="O26" si="159">M26-N26</f>
        <v>1476.6399999999999</v>
      </c>
      <c r="P26" s="276">
        <f t="shared" ref="P26" si="160">VLOOKUP(M26,Tarifa1,3)</f>
        <v>0.10879999999999999</v>
      </c>
      <c r="Q26" s="275">
        <f t="shared" ref="Q26" si="161">O26*P26</f>
        <v>160.65843199999998</v>
      </c>
      <c r="R26" s="277">
        <f t="shared" ref="R26" si="162">VLOOKUP(M26,Tarifa1,2)</f>
        <v>183.45</v>
      </c>
      <c r="S26" s="275">
        <f t="shared" ref="S26" si="163">Q26+R26</f>
        <v>344.10843199999999</v>
      </c>
      <c r="T26" s="275">
        <f t="shared" ref="T26" si="164">VLOOKUP(M26,Credito1,2)</f>
        <v>0</v>
      </c>
      <c r="U26" s="275">
        <f t="shared" ref="U26" si="165">ROUND(S26-T26,2)</f>
        <v>344.11</v>
      </c>
      <c r="V26" s="274">
        <f t="shared" si="105"/>
        <v>0</v>
      </c>
      <c r="W26" s="274">
        <f t="shared" ref="W26" si="166">IF(I26/15&lt;=SMG,0,IF(U26&lt;0,0,U26))</f>
        <v>344.11</v>
      </c>
      <c r="X26" s="278">
        <v>0</v>
      </c>
      <c r="Y26" s="274">
        <f t="shared" ref="Y26" si="167">SUM(W26:X26)</f>
        <v>344.11</v>
      </c>
      <c r="Z26" s="274">
        <f>K26+V26-Y26</f>
        <v>4256.8900000000003</v>
      </c>
      <c r="AA26" s="108"/>
      <c r="AG26" s="94"/>
    </row>
    <row r="27" spans="1:33" s="51" customFormat="1" ht="39" customHeight="1" thickBot="1" x14ac:dyDescent="0.35">
      <c r="A27" s="348" t="s">
        <v>44</v>
      </c>
      <c r="B27" s="349"/>
      <c r="C27" s="349"/>
      <c r="D27" s="349"/>
      <c r="E27" s="349"/>
      <c r="F27" s="349"/>
      <c r="G27" s="349"/>
      <c r="H27" s="350"/>
      <c r="I27" s="281">
        <f t="shared" ref="I27:Z27" si="168">SUM(I9:I26)</f>
        <v>138863.46</v>
      </c>
      <c r="J27" s="281">
        <f t="shared" si="168"/>
        <v>0</v>
      </c>
      <c r="K27" s="281">
        <f t="shared" si="168"/>
        <v>138863.46</v>
      </c>
      <c r="L27" s="282">
        <f t="shared" si="168"/>
        <v>0</v>
      </c>
      <c r="M27" s="282">
        <f t="shared" si="168"/>
        <v>138863.46</v>
      </c>
      <c r="N27" s="282">
        <f t="shared" si="168"/>
        <v>113928.93</v>
      </c>
      <c r="O27" s="282">
        <f t="shared" si="168"/>
        <v>24934.529999999992</v>
      </c>
      <c r="P27" s="282">
        <f t="shared" si="168"/>
        <v>3.255199999999999</v>
      </c>
      <c r="Q27" s="282">
        <f t="shared" si="168"/>
        <v>4683.4426480000002</v>
      </c>
      <c r="R27" s="282">
        <f t="shared" si="168"/>
        <v>10884.3</v>
      </c>
      <c r="S27" s="282">
        <f t="shared" si="168"/>
        <v>15567.742647999999</v>
      </c>
      <c r="T27" s="282">
        <f t="shared" si="168"/>
        <v>195</v>
      </c>
      <c r="U27" s="282">
        <f t="shared" si="168"/>
        <v>15372.730000000001</v>
      </c>
      <c r="V27" s="281">
        <f t="shared" si="168"/>
        <v>0</v>
      </c>
      <c r="W27" s="281">
        <f t="shared" si="168"/>
        <v>15372.730000000001</v>
      </c>
      <c r="X27" s="281">
        <f t="shared" si="168"/>
        <v>7385.86</v>
      </c>
      <c r="Y27" s="281">
        <f t="shared" si="168"/>
        <v>22758.590000000004</v>
      </c>
      <c r="Z27" s="281">
        <f t="shared" si="168"/>
        <v>116104.86999999997</v>
      </c>
      <c r="AA27" s="109"/>
    </row>
    <row r="28" spans="1:33" s="51" customFormat="1" ht="26.25" customHeight="1" thickTop="1" x14ac:dyDescent="0.25">
      <c r="A28" s="103"/>
      <c r="B28" s="103"/>
      <c r="C28" s="103"/>
      <c r="D28" s="103"/>
      <c r="E28" s="103"/>
      <c r="F28" s="103"/>
      <c r="G28" s="103"/>
      <c r="H28" s="103"/>
      <c r="I28" s="104"/>
      <c r="J28" s="104"/>
      <c r="K28" s="10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4"/>
      <c r="W28" s="104"/>
      <c r="X28" s="104"/>
      <c r="Y28" s="104"/>
      <c r="Z28" s="104"/>
    </row>
    <row r="29" spans="1:33" s="51" customFormat="1" ht="24.75" customHeight="1" x14ac:dyDescent="0.25">
      <c r="A29" s="103"/>
      <c r="B29" s="103"/>
      <c r="C29" s="103"/>
      <c r="D29" s="103"/>
      <c r="E29" s="103"/>
      <c r="F29" s="103"/>
      <c r="G29" s="103"/>
      <c r="H29" s="103"/>
      <c r="I29" s="104"/>
      <c r="J29" s="104"/>
      <c r="K29" s="104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4"/>
      <c r="W29" s="104"/>
      <c r="X29" s="104"/>
      <c r="Y29" s="104"/>
      <c r="Z29" s="104"/>
    </row>
    <row r="30" spans="1:33" s="51" customFormat="1" ht="24.75" customHeight="1" x14ac:dyDescent="0.25">
      <c r="A30" s="103"/>
      <c r="B30" s="103"/>
      <c r="C30" s="103"/>
      <c r="D30" s="103"/>
      <c r="E30" s="103"/>
      <c r="F30" s="103"/>
      <c r="G30" s="103"/>
      <c r="H30" s="103"/>
      <c r="I30" s="104"/>
      <c r="J30" s="104"/>
      <c r="K30" s="104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4"/>
      <c r="W30" s="104"/>
      <c r="X30" s="104"/>
      <c r="Y30" s="104"/>
      <c r="Z30" s="104"/>
    </row>
    <row r="31" spans="1:33" s="51" customFormat="1" ht="24.75" customHeight="1" x14ac:dyDescent="0.25">
      <c r="A31" s="103"/>
      <c r="B31" s="103"/>
      <c r="C31" s="103"/>
      <c r="D31" s="103"/>
      <c r="E31" s="103"/>
      <c r="F31" s="103"/>
      <c r="G31" s="103"/>
      <c r="H31" s="103"/>
      <c r="I31" s="104"/>
      <c r="J31" s="104"/>
      <c r="K31" s="104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4"/>
      <c r="W31" s="104"/>
      <c r="X31" s="104"/>
      <c r="Y31" s="104"/>
      <c r="Z31" s="104"/>
    </row>
    <row r="32" spans="1:33" s="51" customFormat="1" ht="24.75" customHeight="1" x14ac:dyDescent="0.25">
      <c r="A32" s="103"/>
      <c r="B32" s="103"/>
      <c r="C32" s="103"/>
      <c r="D32" s="103"/>
      <c r="E32" s="103"/>
      <c r="F32" s="103"/>
      <c r="G32" s="103"/>
      <c r="H32" s="103"/>
      <c r="I32" s="104"/>
      <c r="J32" s="104"/>
      <c r="K32" s="104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4"/>
      <c r="W32" s="104"/>
      <c r="X32" s="104"/>
      <c r="Y32" s="104"/>
      <c r="Z32" s="104"/>
    </row>
  </sheetData>
  <mergeCells count="8">
    <mergeCell ref="A27:H27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E18:E19 D18:D25 D26:E26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topLeftCell="B1" zoomScale="69" zoomScaleNormal="69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3.85546875" customWidth="1"/>
    <col min="7" max="7" width="7.85546875" hidden="1" customWidth="1"/>
    <col min="8" max="8" width="2.5703125" hidden="1" customWidth="1"/>
    <col min="9" max="9" width="15.4257812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75" t="s">
        <v>1</v>
      </c>
      <c r="J5" s="376"/>
      <c r="K5" s="377"/>
      <c r="L5" s="49" t="s">
        <v>25</v>
      </c>
      <c r="M5" s="50"/>
      <c r="N5" s="378" t="s">
        <v>8</v>
      </c>
      <c r="O5" s="379"/>
      <c r="P5" s="379"/>
      <c r="Q5" s="379"/>
      <c r="R5" s="379"/>
      <c r="S5" s="380"/>
      <c r="T5" s="49" t="s">
        <v>29</v>
      </c>
      <c r="U5" s="49" t="s">
        <v>9</v>
      </c>
      <c r="V5" s="48" t="s">
        <v>52</v>
      </c>
      <c r="W5" s="381" t="s">
        <v>2</v>
      </c>
      <c r="X5" s="382"/>
      <c r="Y5" s="383"/>
      <c r="Z5" s="48" t="s">
        <v>0</v>
      </c>
      <c r="AA5" s="47"/>
    </row>
    <row r="6" spans="1:27" s="51" customFormat="1" ht="24" x14ac:dyDescent="0.2">
      <c r="A6" s="52" t="s">
        <v>104</v>
      </c>
      <c r="B6" s="46" t="s">
        <v>99</v>
      </c>
      <c r="C6" s="46" t="s">
        <v>118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58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3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215</v>
      </c>
      <c r="X6" s="48" t="s">
        <v>56</v>
      </c>
      <c r="Y6" s="48" t="s">
        <v>6</v>
      </c>
      <c r="Z6" s="52" t="s">
        <v>3</v>
      </c>
      <c r="AA6" s="52" t="s">
        <v>57</v>
      </c>
    </row>
    <row r="7" spans="1:27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59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4" t="s">
        <v>14</v>
      </c>
      <c r="S7" s="49" t="s">
        <v>38</v>
      </c>
      <c r="T7" s="54" t="s">
        <v>18</v>
      </c>
      <c r="U7" s="55" t="s">
        <v>119</v>
      </c>
      <c r="V7" s="52" t="s">
        <v>51</v>
      </c>
      <c r="W7" s="52"/>
      <c r="X7" s="52"/>
      <c r="Y7" s="52" t="s">
        <v>43</v>
      </c>
      <c r="Z7" s="52" t="s">
        <v>4</v>
      </c>
      <c r="AA7" s="56"/>
    </row>
    <row r="8" spans="1:27" s="4" customFormat="1" ht="39.75" customHeight="1" x14ac:dyDescent="0.25">
      <c r="A8" s="95"/>
      <c r="B8" s="114"/>
      <c r="C8" s="114"/>
      <c r="D8" s="213" t="s">
        <v>69</v>
      </c>
      <c r="E8" s="178" t="s">
        <v>221</v>
      </c>
      <c r="F8" s="213" t="s">
        <v>61</v>
      </c>
      <c r="G8" s="213"/>
      <c r="H8" s="213"/>
      <c r="I8" s="214">
        <f>SUM(I9:I20)</f>
        <v>56009.33</v>
      </c>
      <c r="J8" s="214">
        <f>SUM(J9:J20)</f>
        <v>248.5</v>
      </c>
      <c r="K8" s="214">
        <f>SUM(K9:K20)</f>
        <v>56257.83</v>
      </c>
      <c r="L8" s="213"/>
      <c r="M8" s="213"/>
      <c r="N8" s="213"/>
      <c r="O8" s="213"/>
      <c r="P8" s="213"/>
      <c r="Q8" s="213"/>
      <c r="R8" s="216"/>
      <c r="S8" s="213"/>
      <c r="T8" s="213"/>
      <c r="U8" s="213"/>
      <c r="V8" s="214">
        <f>SUM(V9:V20)</f>
        <v>0</v>
      </c>
      <c r="W8" s="214">
        <f>SUM(W9:W20)</f>
        <v>2351.1000000000004</v>
      </c>
      <c r="X8" s="214">
        <f>SUM(X9:X20)</f>
        <v>0</v>
      </c>
      <c r="Y8" s="214">
        <f>SUM(Y9:Y20)</f>
        <v>2351.1000000000004</v>
      </c>
      <c r="Z8" s="214">
        <f>SUM(Z9:Z20)</f>
        <v>53906.73</v>
      </c>
      <c r="AA8" s="96"/>
    </row>
    <row r="9" spans="1:27" s="4" customFormat="1" ht="180" customHeight="1" x14ac:dyDescent="0.3">
      <c r="A9" s="43"/>
      <c r="B9" s="289" t="s">
        <v>157</v>
      </c>
      <c r="C9" s="289" t="s">
        <v>111</v>
      </c>
      <c r="D9" s="187" t="s">
        <v>155</v>
      </c>
      <c r="E9" s="283">
        <v>43512</v>
      </c>
      <c r="F9" s="187" t="s">
        <v>154</v>
      </c>
      <c r="G9" s="270">
        <v>15</v>
      </c>
      <c r="H9" s="271">
        <f>I9/G9</f>
        <v>300.60000000000002</v>
      </c>
      <c r="I9" s="272">
        <v>4509</v>
      </c>
      <c r="J9" s="273">
        <v>0</v>
      </c>
      <c r="K9" s="274">
        <f>SUM(I9:J9)</f>
        <v>4509</v>
      </c>
      <c r="L9" s="275">
        <f>IF(I9/15&lt;=SMG,0,J9/2)</f>
        <v>0</v>
      </c>
      <c r="M9" s="275">
        <f t="shared" ref="M9:M10" si="0">I9+L9</f>
        <v>4509</v>
      </c>
      <c r="N9" s="275">
        <f>VLOOKUP(M9,Tarifa1,1)</f>
        <v>3124.36</v>
      </c>
      <c r="O9" s="275">
        <f t="shared" ref="O9:O10" si="1">M9-N9</f>
        <v>1384.6399999999999</v>
      </c>
      <c r="P9" s="276">
        <f>VLOOKUP(M9,Tarifa1,3)</f>
        <v>0.10879999999999999</v>
      </c>
      <c r="Q9" s="275">
        <f t="shared" ref="Q9:Q10" si="2">O9*P9</f>
        <v>150.64883199999997</v>
      </c>
      <c r="R9" s="277">
        <f>VLOOKUP(M9,Tarifa1,2)</f>
        <v>183.45</v>
      </c>
      <c r="S9" s="275">
        <f t="shared" ref="S9:S10" si="3">Q9+R9</f>
        <v>334.09883199999996</v>
      </c>
      <c r="T9" s="275">
        <f>VLOOKUP(M9,Credito1,2)</f>
        <v>195</v>
      </c>
      <c r="U9" s="275">
        <f t="shared" ref="U9:U10" si="4">ROUND(S9-T9,2)</f>
        <v>139.1</v>
      </c>
      <c r="V9" s="274">
        <f>-IF(U9&gt;0,0,0)</f>
        <v>0</v>
      </c>
      <c r="W9" s="274">
        <f>IF(I9/15&lt;=SMG,0,IF(U9&lt;0,0,U9))</f>
        <v>139.1</v>
      </c>
      <c r="X9" s="278">
        <v>0</v>
      </c>
      <c r="Y9" s="274">
        <f>SUM(W9:X9)</f>
        <v>139.1</v>
      </c>
      <c r="Z9" s="274">
        <f>K9+V9-Y9</f>
        <v>4369.8999999999996</v>
      </c>
      <c r="AA9" s="87"/>
    </row>
    <row r="10" spans="1:27" s="4" customFormat="1" ht="180" customHeight="1" x14ac:dyDescent="0.3">
      <c r="A10" s="43"/>
      <c r="B10" s="289" t="s">
        <v>101</v>
      </c>
      <c r="C10" s="289" t="s">
        <v>111</v>
      </c>
      <c r="D10" s="187" t="s">
        <v>70</v>
      </c>
      <c r="E10" s="283">
        <v>39448</v>
      </c>
      <c r="F10" s="187" t="s">
        <v>71</v>
      </c>
      <c r="G10" s="270">
        <v>15</v>
      </c>
      <c r="H10" s="271">
        <f>I10/G10</f>
        <v>300.60000000000002</v>
      </c>
      <c r="I10" s="272">
        <v>4509</v>
      </c>
      <c r="J10" s="273">
        <v>0</v>
      </c>
      <c r="K10" s="274">
        <f>SUM(I10:J10)</f>
        <v>4509</v>
      </c>
      <c r="L10" s="275">
        <f>IF(I10/15&lt;=SMG,0,J10/2)</f>
        <v>0</v>
      </c>
      <c r="M10" s="275">
        <f t="shared" si="0"/>
        <v>4509</v>
      </c>
      <c r="N10" s="275">
        <f>VLOOKUP(M10,Tarifa1,1)</f>
        <v>3124.36</v>
      </c>
      <c r="O10" s="275">
        <f t="shared" si="1"/>
        <v>1384.6399999999999</v>
      </c>
      <c r="P10" s="276">
        <f>VLOOKUP(M10,Tarifa1,3)</f>
        <v>0.10879999999999999</v>
      </c>
      <c r="Q10" s="275">
        <f t="shared" si="2"/>
        <v>150.64883199999997</v>
      </c>
      <c r="R10" s="277">
        <f>VLOOKUP(M10,Tarifa1,2)</f>
        <v>183.45</v>
      </c>
      <c r="S10" s="275">
        <f t="shared" si="3"/>
        <v>334.09883199999996</v>
      </c>
      <c r="T10" s="275">
        <f>VLOOKUP(M10,Credito1,2)</f>
        <v>195</v>
      </c>
      <c r="U10" s="275">
        <f t="shared" si="4"/>
        <v>139.1</v>
      </c>
      <c r="V10" s="274">
        <f t="shared" ref="V10:V20" si="5">-IF(U10&gt;0,0,0)</f>
        <v>0</v>
      </c>
      <c r="W10" s="274">
        <f>IF(I10/15&lt;=SMG,0,IF(U10&lt;0,0,U10))</f>
        <v>139.1</v>
      </c>
      <c r="X10" s="278">
        <v>0</v>
      </c>
      <c r="Y10" s="274">
        <f>SUM(W10:X10)</f>
        <v>139.1</v>
      </c>
      <c r="Z10" s="274">
        <f>K10+V10-Y10</f>
        <v>4369.8999999999996</v>
      </c>
      <c r="AA10" s="87"/>
    </row>
    <row r="11" spans="1:27" s="4" customFormat="1" ht="180" customHeight="1" x14ac:dyDescent="0.3">
      <c r="A11" s="43"/>
      <c r="B11" s="289" t="s">
        <v>206</v>
      </c>
      <c r="C11" s="289" t="s">
        <v>111</v>
      </c>
      <c r="D11" s="187" t="s">
        <v>209</v>
      </c>
      <c r="E11" s="288">
        <v>44743</v>
      </c>
      <c r="F11" s="187" t="s">
        <v>154</v>
      </c>
      <c r="G11" s="270">
        <v>15</v>
      </c>
      <c r="H11" s="271"/>
      <c r="I11" s="272">
        <v>4509</v>
      </c>
      <c r="J11" s="273">
        <v>0</v>
      </c>
      <c r="K11" s="274">
        <f>SUM(I11:J11)</f>
        <v>4509</v>
      </c>
      <c r="L11" s="275">
        <f>IF(I11/15&lt;=SMG,0,J11/2)</f>
        <v>0</v>
      </c>
      <c r="M11" s="275">
        <f t="shared" ref="M11:M13" si="6">I11+L11</f>
        <v>4509</v>
      </c>
      <c r="N11" s="275">
        <f>VLOOKUP(M11,Tarifa1,1)</f>
        <v>3124.36</v>
      </c>
      <c r="O11" s="275">
        <f t="shared" ref="O11:O13" si="7">M11-N11</f>
        <v>1384.6399999999999</v>
      </c>
      <c r="P11" s="276">
        <f>VLOOKUP(M11,Tarifa1,3)</f>
        <v>0.10879999999999999</v>
      </c>
      <c r="Q11" s="275">
        <f t="shared" ref="Q11:Q13" si="8">O11*P11</f>
        <v>150.64883199999997</v>
      </c>
      <c r="R11" s="277">
        <f>VLOOKUP(M11,Tarifa1,2)</f>
        <v>183.45</v>
      </c>
      <c r="S11" s="275">
        <f t="shared" ref="S11:S13" si="9">Q11+R11</f>
        <v>334.09883199999996</v>
      </c>
      <c r="T11" s="275">
        <f>VLOOKUP(M11,Credito1,2)</f>
        <v>195</v>
      </c>
      <c r="U11" s="275">
        <f t="shared" ref="U11:U13" si="10">ROUND(S11-T11,2)</f>
        <v>139.1</v>
      </c>
      <c r="V11" s="274">
        <f t="shared" ref="V11:V12" si="11">-IF(U11&gt;0,0,0)</f>
        <v>0</v>
      </c>
      <c r="W11" s="274">
        <f>IF(I11/15&lt;=SMG,0,IF(U11&lt;0,0,U11))</f>
        <v>139.1</v>
      </c>
      <c r="X11" s="278">
        <v>0</v>
      </c>
      <c r="Y11" s="274">
        <f>SUM(W11:X11)</f>
        <v>139.1</v>
      </c>
      <c r="Z11" s="274">
        <f>K11+V11-Y11</f>
        <v>4369.8999999999996</v>
      </c>
      <c r="AA11" s="87"/>
    </row>
    <row r="12" spans="1:27" s="4" customFormat="1" ht="180" customHeight="1" x14ac:dyDescent="0.3">
      <c r="A12" s="43"/>
      <c r="B12" s="250" t="s">
        <v>164</v>
      </c>
      <c r="C12" s="289" t="s">
        <v>111</v>
      </c>
      <c r="D12" s="231" t="s">
        <v>163</v>
      </c>
      <c r="E12" s="193">
        <v>43617</v>
      </c>
      <c r="F12" s="187" t="s">
        <v>71</v>
      </c>
      <c r="G12" s="140">
        <v>15</v>
      </c>
      <c r="H12" s="141"/>
      <c r="I12" s="272">
        <v>4509</v>
      </c>
      <c r="J12" s="273">
        <v>0</v>
      </c>
      <c r="K12" s="274">
        <f>SUM(I12:J12)</f>
        <v>4509</v>
      </c>
      <c r="L12" s="275">
        <f>IF(I12/15&lt;=SMG,0,J12/2)</f>
        <v>0</v>
      </c>
      <c r="M12" s="275">
        <f t="shared" si="6"/>
        <v>4509</v>
      </c>
      <c r="N12" s="275">
        <f>VLOOKUP(M12,Tarifa1,1)</f>
        <v>3124.36</v>
      </c>
      <c r="O12" s="275">
        <f t="shared" si="7"/>
        <v>1384.6399999999999</v>
      </c>
      <c r="P12" s="276">
        <f>VLOOKUP(M12,Tarifa1,3)</f>
        <v>0.10879999999999999</v>
      </c>
      <c r="Q12" s="275">
        <f t="shared" si="8"/>
        <v>150.64883199999997</v>
      </c>
      <c r="R12" s="277">
        <f>VLOOKUP(M12,Tarifa1,2)</f>
        <v>183.45</v>
      </c>
      <c r="S12" s="275">
        <f t="shared" si="9"/>
        <v>334.09883199999996</v>
      </c>
      <c r="T12" s="275">
        <f>VLOOKUP(M12,Credito1,2)</f>
        <v>195</v>
      </c>
      <c r="U12" s="275">
        <f t="shared" si="10"/>
        <v>139.1</v>
      </c>
      <c r="V12" s="274">
        <f t="shared" si="11"/>
        <v>0</v>
      </c>
      <c r="W12" s="274">
        <f>IF(I12/15&lt;=SMG,0,IF(U12&lt;0,0,U12))</f>
        <v>139.1</v>
      </c>
      <c r="X12" s="278">
        <v>0</v>
      </c>
      <c r="Y12" s="274">
        <f>SUM(W12:X12)</f>
        <v>139.1</v>
      </c>
      <c r="Z12" s="274">
        <f>K12+V12-Y12</f>
        <v>4369.8999999999996</v>
      </c>
      <c r="AA12" s="87"/>
    </row>
    <row r="13" spans="1:27" s="4" customFormat="1" ht="180" customHeight="1" x14ac:dyDescent="0.3">
      <c r="A13" s="43"/>
      <c r="B13" s="289" t="s">
        <v>125</v>
      </c>
      <c r="C13" s="289" t="s">
        <v>111</v>
      </c>
      <c r="D13" s="188" t="s">
        <v>124</v>
      </c>
      <c r="E13" s="290">
        <v>42948</v>
      </c>
      <c r="F13" s="187" t="s">
        <v>229</v>
      </c>
      <c r="G13" s="270">
        <v>15</v>
      </c>
      <c r="H13" s="271">
        <f>I13/G13</f>
        <v>362.322</v>
      </c>
      <c r="I13" s="272">
        <v>5434.83</v>
      </c>
      <c r="J13" s="273">
        <v>0</v>
      </c>
      <c r="K13" s="274">
        <f>SUM(I13:J13)</f>
        <v>5434.83</v>
      </c>
      <c r="L13" s="275">
        <f>IF(I13/15&lt;=SMG,0,J13/2)</f>
        <v>0</v>
      </c>
      <c r="M13" s="275">
        <f t="shared" si="6"/>
        <v>5434.83</v>
      </c>
      <c r="N13" s="275">
        <f>VLOOKUP(M13,Tarifa1,1)</f>
        <v>3124.36</v>
      </c>
      <c r="O13" s="275">
        <f t="shared" si="7"/>
        <v>2310.4699999999998</v>
      </c>
      <c r="P13" s="276">
        <f>VLOOKUP(M13,Tarifa1,3)</f>
        <v>0.10879999999999999</v>
      </c>
      <c r="Q13" s="275">
        <f t="shared" si="8"/>
        <v>251.37913599999996</v>
      </c>
      <c r="R13" s="277">
        <f>VLOOKUP(M13,Tarifa1,2)</f>
        <v>183.45</v>
      </c>
      <c r="S13" s="275">
        <f t="shared" si="9"/>
        <v>434.82913599999995</v>
      </c>
      <c r="T13" s="275">
        <f>VLOOKUP(M13,Credito1,2)</f>
        <v>0</v>
      </c>
      <c r="U13" s="275">
        <f t="shared" si="10"/>
        <v>434.83</v>
      </c>
      <c r="V13" s="274">
        <f>-IF(U13&gt;0,0,0)</f>
        <v>0</v>
      </c>
      <c r="W13" s="274">
        <f>IF(I13/15&lt;=SMG,0,IF(U13&lt;0,0,U13))</f>
        <v>434.83</v>
      </c>
      <c r="X13" s="278">
        <v>0</v>
      </c>
      <c r="Y13" s="274">
        <f>SUM(W13:X13)</f>
        <v>434.83</v>
      </c>
      <c r="Z13" s="274">
        <f>K13+V13-Y13</f>
        <v>5000</v>
      </c>
      <c r="AA13" s="87"/>
    </row>
    <row r="14" spans="1:27" s="4" customFormat="1" ht="180" customHeight="1" x14ac:dyDescent="0.3">
      <c r="A14" s="43"/>
      <c r="B14" s="289" t="s">
        <v>234</v>
      </c>
      <c r="C14" s="289" t="s">
        <v>111</v>
      </c>
      <c r="D14" s="188" t="s">
        <v>235</v>
      </c>
      <c r="E14" s="290">
        <v>45078</v>
      </c>
      <c r="F14" s="187" t="s">
        <v>229</v>
      </c>
      <c r="G14" s="270"/>
      <c r="H14" s="271"/>
      <c r="I14" s="272">
        <v>4153.5</v>
      </c>
      <c r="J14" s="273">
        <v>0</v>
      </c>
      <c r="K14" s="274">
        <f t="shared" ref="K14" si="12">SUM(I14:J14)</f>
        <v>4153.5</v>
      </c>
      <c r="L14" s="275">
        <f t="shared" ref="L14" si="13">IF(I14/15&lt;=SMG,0,J14/2)</f>
        <v>0</v>
      </c>
      <c r="M14" s="275">
        <f t="shared" ref="M14:M16" si="14">I14+L14</f>
        <v>4153.5</v>
      </c>
      <c r="N14" s="275">
        <f t="shared" ref="N14" si="15">VLOOKUP(M14,Tarifa1,1)</f>
        <v>3124.36</v>
      </c>
      <c r="O14" s="275">
        <f t="shared" ref="O14:O16" si="16">M14-N14</f>
        <v>1029.1399999999999</v>
      </c>
      <c r="P14" s="276">
        <f t="shared" ref="P14" si="17">VLOOKUP(M14,Tarifa1,3)</f>
        <v>0.10879999999999999</v>
      </c>
      <c r="Q14" s="275">
        <f t="shared" ref="Q14:Q16" si="18">O14*P14</f>
        <v>111.97043199999997</v>
      </c>
      <c r="R14" s="277">
        <f t="shared" ref="R14" si="19">VLOOKUP(M14,Tarifa1,2)</f>
        <v>183.45</v>
      </c>
      <c r="S14" s="275">
        <f t="shared" ref="S14:S16" si="20">Q14+R14</f>
        <v>295.42043199999995</v>
      </c>
      <c r="T14" s="275">
        <f t="shared" ref="T14" si="21">VLOOKUP(M14,Credito1,2)</f>
        <v>195</v>
      </c>
      <c r="U14" s="275">
        <f t="shared" ref="U14:U16" si="22">ROUND(S14-T14,2)</f>
        <v>100.42</v>
      </c>
      <c r="V14" s="274">
        <f t="shared" si="5"/>
        <v>0</v>
      </c>
      <c r="W14" s="274">
        <f t="shared" ref="W14" si="23">IF(I14/15&lt;=SMG,0,IF(U14&lt;0,0,U14))</f>
        <v>100.42</v>
      </c>
      <c r="X14" s="278">
        <v>0</v>
      </c>
      <c r="Y14" s="274">
        <f t="shared" ref="Y14" si="24">SUM(W14:X14)</f>
        <v>100.42</v>
      </c>
      <c r="Z14" s="274">
        <f t="shared" ref="Z14" si="25">K14+V14-Y14</f>
        <v>4053.08</v>
      </c>
      <c r="AA14" s="87"/>
    </row>
    <row r="15" spans="1:27" s="4" customFormat="1" ht="154.5" customHeight="1" x14ac:dyDescent="0.3">
      <c r="A15" s="248"/>
      <c r="B15" s="292" t="s">
        <v>328</v>
      </c>
      <c r="C15" s="292" t="s">
        <v>111</v>
      </c>
      <c r="D15" s="293" t="s">
        <v>321</v>
      </c>
      <c r="E15" s="294">
        <v>45566</v>
      </c>
      <c r="F15" s="227" t="s">
        <v>100</v>
      </c>
      <c r="G15" s="295"/>
      <c r="H15" s="296"/>
      <c r="I15" s="297">
        <v>4153.5</v>
      </c>
      <c r="J15" s="298">
        <v>0</v>
      </c>
      <c r="K15" s="299">
        <f t="shared" ref="K15" si="26">SUM(I15:J15)</f>
        <v>4153.5</v>
      </c>
      <c r="L15" s="300">
        <f t="shared" ref="L15" si="27">IF(I15/15&lt;=SMG,0,J15/2)</f>
        <v>0</v>
      </c>
      <c r="M15" s="300">
        <f t="shared" ref="M15" si="28">I15+L15</f>
        <v>4153.5</v>
      </c>
      <c r="N15" s="300">
        <f t="shared" ref="N15" si="29">VLOOKUP(M15,Tarifa1,1)</f>
        <v>3124.36</v>
      </c>
      <c r="O15" s="300">
        <f t="shared" ref="O15" si="30">M15-N15</f>
        <v>1029.1399999999999</v>
      </c>
      <c r="P15" s="301">
        <f t="shared" ref="P15" si="31">VLOOKUP(M15,Tarifa1,3)</f>
        <v>0.10879999999999999</v>
      </c>
      <c r="Q15" s="300">
        <f t="shared" ref="Q15" si="32">O15*P15</f>
        <v>111.97043199999997</v>
      </c>
      <c r="R15" s="302">
        <f t="shared" ref="R15" si="33">VLOOKUP(M15,Tarifa1,2)</f>
        <v>183.45</v>
      </c>
      <c r="S15" s="300">
        <f t="shared" ref="S15" si="34">Q15+R15</f>
        <v>295.42043199999995</v>
      </c>
      <c r="T15" s="300">
        <f t="shared" ref="T15" si="35">VLOOKUP(M15,Credito1,2)</f>
        <v>195</v>
      </c>
      <c r="U15" s="300">
        <f t="shared" ref="U15" si="36">ROUND(S15-T15,2)</f>
        <v>100.42</v>
      </c>
      <c r="V15" s="299">
        <f t="shared" ref="V15" si="37">-IF(U15&gt;0,0,0)</f>
        <v>0</v>
      </c>
      <c r="W15" s="299">
        <f t="shared" ref="W15" si="38">IF(I15/15&lt;=SMG,0,IF(U15&lt;0,0,U15))</f>
        <v>100.42</v>
      </c>
      <c r="X15" s="303">
        <v>0</v>
      </c>
      <c r="Y15" s="299">
        <f t="shared" ref="Y15" si="39">SUM(W15:X15)</f>
        <v>100.42</v>
      </c>
      <c r="Z15" s="299">
        <f t="shared" ref="Z15" si="40">K15+V15-Y15</f>
        <v>4053.08</v>
      </c>
      <c r="AA15" s="101"/>
    </row>
    <row r="16" spans="1:27" s="4" customFormat="1" ht="154.5" customHeight="1" x14ac:dyDescent="0.3">
      <c r="A16" s="43"/>
      <c r="B16" s="289" t="s">
        <v>165</v>
      </c>
      <c r="C16" s="289" t="s">
        <v>111</v>
      </c>
      <c r="D16" s="188" t="s">
        <v>166</v>
      </c>
      <c r="E16" s="290">
        <v>43709</v>
      </c>
      <c r="F16" s="187" t="s">
        <v>193</v>
      </c>
      <c r="G16" s="270">
        <v>15</v>
      </c>
      <c r="H16" s="271"/>
      <c r="I16" s="272">
        <v>4005.5</v>
      </c>
      <c r="J16" s="273">
        <v>0</v>
      </c>
      <c r="K16" s="274">
        <f>SUM(I16:J16)</f>
        <v>4005.5</v>
      </c>
      <c r="L16" s="275">
        <f>IF(I16/15&lt;=SMG,0,J16/2)</f>
        <v>0</v>
      </c>
      <c r="M16" s="275">
        <f t="shared" si="14"/>
        <v>4005.5</v>
      </c>
      <c r="N16" s="275">
        <f>VLOOKUP(M16,Tarifa1,1)</f>
        <v>3124.36</v>
      </c>
      <c r="O16" s="275">
        <f t="shared" si="16"/>
        <v>881.13999999999987</v>
      </c>
      <c r="P16" s="276">
        <f>VLOOKUP(M16,Tarifa1,3)</f>
        <v>0.10879999999999999</v>
      </c>
      <c r="Q16" s="275">
        <f t="shared" si="18"/>
        <v>95.868031999999985</v>
      </c>
      <c r="R16" s="277">
        <f>VLOOKUP(M16,Tarifa1,2)</f>
        <v>183.45</v>
      </c>
      <c r="S16" s="275">
        <f t="shared" si="20"/>
        <v>279.31803199999996</v>
      </c>
      <c r="T16" s="275">
        <f>VLOOKUP(M16,Credito1,2)</f>
        <v>195</v>
      </c>
      <c r="U16" s="275">
        <f t="shared" si="22"/>
        <v>84.32</v>
      </c>
      <c r="V16" s="274">
        <f t="shared" si="5"/>
        <v>0</v>
      </c>
      <c r="W16" s="274">
        <f>IF(I16/15&lt;=SMG,0,IF(U16&lt;0,0,U16))</f>
        <v>84.32</v>
      </c>
      <c r="X16" s="278">
        <v>0</v>
      </c>
      <c r="Y16" s="274">
        <f>SUM(W16:X16)</f>
        <v>84.32</v>
      </c>
      <c r="Z16" s="274">
        <f>K16+V16-Y16</f>
        <v>3921.18</v>
      </c>
      <c r="AA16" s="87"/>
    </row>
    <row r="17" spans="1:33" s="4" customFormat="1" ht="154.5" customHeight="1" x14ac:dyDescent="0.3">
      <c r="A17" s="43"/>
      <c r="B17" s="289" t="s">
        <v>243</v>
      </c>
      <c r="C17" s="289" t="s">
        <v>111</v>
      </c>
      <c r="D17" s="188" t="s">
        <v>242</v>
      </c>
      <c r="E17" s="290">
        <v>45123</v>
      </c>
      <c r="F17" s="187" t="s">
        <v>241</v>
      </c>
      <c r="G17" s="270">
        <v>15</v>
      </c>
      <c r="H17" s="271"/>
      <c r="I17" s="272">
        <v>4442.5</v>
      </c>
      <c r="J17" s="273">
        <v>0</v>
      </c>
      <c r="K17" s="274">
        <f>SUM(I17:J17)</f>
        <v>4442.5</v>
      </c>
      <c r="L17" s="275">
        <f t="shared" ref="L17" si="41">IF(I17/15&lt;=SMG,0,J17/2)</f>
        <v>0</v>
      </c>
      <c r="M17" s="275">
        <f t="shared" ref="M17:M20" si="42">I17+L17</f>
        <v>4442.5</v>
      </c>
      <c r="N17" s="275">
        <f t="shared" ref="N17:N19" si="43">VLOOKUP(M17,Tarifa1,1)</f>
        <v>3124.36</v>
      </c>
      <c r="O17" s="275">
        <f t="shared" ref="O17:O20" si="44">M17-N17</f>
        <v>1318.1399999999999</v>
      </c>
      <c r="P17" s="276">
        <f t="shared" ref="P17:P19" si="45">VLOOKUP(M17,Tarifa1,3)</f>
        <v>0.10879999999999999</v>
      </c>
      <c r="Q17" s="275">
        <f t="shared" ref="Q17:Q20" si="46">O17*P17</f>
        <v>143.41363199999998</v>
      </c>
      <c r="R17" s="277">
        <f t="shared" ref="R17:R19" si="47">VLOOKUP(M17,Tarifa1,2)</f>
        <v>183.45</v>
      </c>
      <c r="S17" s="275">
        <f t="shared" ref="S17:S20" si="48">Q17+R17</f>
        <v>326.86363199999994</v>
      </c>
      <c r="T17" s="275">
        <f t="shared" ref="T17:T19" si="49">VLOOKUP(M17,Credito1,2)</f>
        <v>195</v>
      </c>
      <c r="U17" s="275">
        <f t="shared" ref="U17:U20" si="50">ROUND(S17-T17,2)</f>
        <v>131.86000000000001</v>
      </c>
      <c r="V17" s="274">
        <f t="shared" si="5"/>
        <v>0</v>
      </c>
      <c r="W17" s="274">
        <f t="shared" ref="W17:W19" si="51">IF(I17/15&lt;=SMG,0,IF(U17&lt;0,0,U17))</f>
        <v>131.86000000000001</v>
      </c>
      <c r="X17" s="278">
        <v>0</v>
      </c>
      <c r="Y17" s="274">
        <f>SUM(W17:X17)</f>
        <v>131.86000000000001</v>
      </c>
      <c r="Z17" s="274">
        <f>K17+V17-Y17</f>
        <v>4310.6400000000003</v>
      </c>
      <c r="AA17" s="87"/>
    </row>
    <row r="18" spans="1:33" s="4" customFormat="1" ht="154.5" customHeight="1" x14ac:dyDescent="0.3">
      <c r="A18" s="43"/>
      <c r="B18" s="250" t="s">
        <v>194</v>
      </c>
      <c r="C18" s="289" t="s">
        <v>111</v>
      </c>
      <c r="D18" s="187" t="s">
        <v>188</v>
      </c>
      <c r="E18" s="283">
        <v>44473</v>
      </c>
      <c r="F18" s="187" t="s">
        <v>316</v>
      </c>
      <c r="G18" s="270">
        <v>15</v>
      </c>
      <c r="H18" s="271"/>
      <c r="I18" s="272">
        <v>3727.5</v>
      </c>
      <c r="J18" s="273">
        <v>248.5</v>
      </c>
      <c r="K18" s="274">
        <f>SUM(I18:J18)</f>
        <v>3976</v>
      </c>
      <c r="L18" s="275">
        <f>IF(I18/15&lt;=SMG,0,J18/2)</f>
        <v>0</v>
      </c>
      <c r="M18" s="275">
        <f t="shared" ref="M18" si="52">I18+L18</f>
        <v>3727.5</v>
      </c>
      <c r="N18" s="275">
        <f t="shared" ref="N18" si="53">VLOOKUP(M18,Tarifa1,1)</f>
        <v>3124.36</v>
      </c>
      <c r="O18" s="275">
        <f t="shared" ref="O18" si="54">M18-N18</f>
        <v>603.13999999999987</v>
      </c>
      <c r="P18" s="276">
        <f t="shared" ref="P18" si="55">VLOOKUP(M18,Tarifa1,3)</f>
        <v>0.10879999999999999</v>
      </c>
      <c r="Q18" s="275">
        <f t="shared" ref="Q18" si="56">O18*P18</f>
        <v>65.621631999999977</v>
      </c>
      <c r="R18" s="277">
        <f t="shared" ref="R18" si="57">VLOOKUP(M18,Tarifa1,2)</f>
        <v>183.45</v>
      </c>
      <c r="S18" s="275">
        <f t="shared" ref="S18" si="58">Q18+R18</f>
        <v>249.07163199999997</v>
      </c>
      <c r="T18" s="275">
        <f t="shared" ref="T18" si="59">VLOOKUP(M18,Credito1,2)</f>
        <v>195</v>
      </c>
      <c r="U18" s="275">
        <f t="shared" ref="U18" si="60">ROUND(S18-T18,2)</f>
        <v>54.07</v>
      </c>
      <c r="V18" s="274">
        <f>-IF(U18&gt;0,0,0)</f>
        <v>0</v>
      </c>
      <c r="W18" s="274">
        <f t="shared" ref="W18" si="61">IF(I18/15&lt;=SMG,0,IF(U18&lt;0,0,U18))</f>
        <v>0</v>
      </c>
      <c r="X18" s="278">
        <v>0</v>
      </c>
      <c r="Y18" s="274">
        <f>SUM(W18:X18)</f>
        <v>0</v>
      </c>
      <c r="Z18" s="274">
        <f>K18+V18-Y18</f>
        <v>3976</v>
      </c>
      <c r="AA18" s="87"/>
    </row>
    <row r="19" spans="1:33" s="4" customFormat="1" ht="154.5" customHeight="1" x14ac:dyDescent="0.3">
      <c r="A19" s="43"/>
      <c r="B19" s="250" t="s">
        <v>186</v>
      </c>
      <c r="C19" s="289" t="s">
        <v>111</v>
      </c>
      <c r="D19" s="187" t="s">
        <v>189</v>
      </c>
      <c r="E19" s="283">
        <v>44470</v>
      </c>
      <c r="F19" s="251" t="s">
        <v>72</v>
      </c>
      <c r="G19" s="270">
        <v>15</v>
      </c>
      <c r="H19" s="271">
        <f>I19/G19</f>
        <v>512.5333333333333</v>
      </c>
      <c r="I19" s="272">
        <v>7688</v>
      </c>
      <c r="J19" s="273">
        <v>0</v>
      </c>
      <c r="K19" s="274">
        <f t="shared" ref="K19" si="62">SUM(I19:J19)</f>
        <v>7688</v>
      </c>
      <c r="L19" s="275">
        <f t="shared" ref="L19" si="63">IF(I19/15&lt;=SMG,0,J19/2)</f>
        <v>0</v>
      </c>
      <c r="M19" s="275">
        <f t="shared" si="42"/>
        <v>7688</v>
      </c>
      <c r="N19" s="275">
        <f t="shared" si="43"/>
        <v>7641.91</v>
      </c>
      <c r="O19" s="275">
        <f t="shared" si="44"/>
        <v>46.090000000000146</v>
      </c>
      <c r="P19" s="276">
        <f t="shared" si="45"/>
        <v>0.21360000000000001</v>
      </c>
      <c r="Q19" s="275">
        <f t="shared" si="46"/>
        <v>9.8448240000000311</v>
      </c>
      <c r="R19" s="277">
        <f t="shared" si="47"/>
        <v>809.25</v>
      </c>
      <c r="S19" s="275">
        <f t="shared" si="48"/>
        <v>819.09482400000002</v>
      </c>
      <c r="T19" s="275">
        <f t="shared" si="49"/>
        <v>0</v>
      </c>
      <c r="U19" s="275">
        <f t="shared" si="50"/>
        <v>819.09</v>
      </c>
      <c r="V19" s="274">
        <f t="shared" si="5"/>
        <v>0</v>
      </c>
      <c r="W19" s="274">
        <f t="shared" si="51"/>
        <v>819.09</v>
      </c>
      <c r="X19" s="278">
        <v>0</v>
      </c>
      <c r="Y19" s="274">
        <f t="shared" ref="Y19" si="64">SUM(W19:X19)</f>
        <v>819.09</v>
      </c>
      <c r="Z19" s="274">
        <f t="shared" ref="Z19" si="65">K19+V19-Y19</f>
        <v>6868.91</v>
      </c>
      <c r="AA19" s="87"/>
    </row>
    <row r="20" spans="1:33" s="4" customFormat="1" ht="154.5" customHeight="1" x14ac:dyDescent="0.3">
      <c r="A20" s="43"/>
      <c r="B20" s="250" t="s">
        <v>247</v>
      </c>
      <c r="C20" s="289" t="s">
        <v>111</v>
      </c>
      <c r="D20" s="187" t="s">
        <v>248</v>
      </c>
      <c r="E20" s="283">
        <v>45173</v>
      </c>
      <c r="F20" s="187" t="s">
        <v>153</v>
      </c>
      <c r="G20" s="270">
        <v>15</v>
      </c>
      <c r="H20" s="271"/>
      <c r="I20" s="272">
        <v>4368</v>
      </c>
      <c r="J20" s="273">
        <v>0</v>
      </c>
      <c r="K20" s="274">
        <f>SUM(I20:J20)</f>
        <v>4368</v>
      </c>
      <c r="L20" s="275">
        <f>IF(I20/15&lt;=SMG,0,J20/2)</f>
        <v>0</v>
      </c>
      <c r="M20" s="275">
        <f t="shared" si="42"/>
        <v>4368</v>
      </c>
      <c r="N20" s="275">
        <f t="shared" ref="N20" si="66">VLOOKUP(M20,Tarifa1,1)</f>
        <v>3124.36</v>
      </c>
      <c r="O20" s="275">
        <f t="shared" si="44"/>
        <v>1243.6399999999999</v>
      </c>
      <c r="P20" s="276">
        <f t="shared" ref="P20" si="67">VLOOKUP(M20,Tarifa1,3)</f>
        <v>0.10879999999999999</v>
      </c>
      <c r="Q20" s="275">
        <f t="shared" si="46"/>
        <v>135.30803199999997</v>
      </c>
      <c r="R20" s="277">
        <f t="shared" ref="R20" si="68">VLOOKUP(M20,Tarifa1,2)</f>
        <v>183.45</v>
      </c>
      <c r="S20" s="275">
        <f t="shared" si="48"/>
        <v>318.75803199999996</v>
      </c>
      <c r="T20" s="275">
        <f t="shared" ref="T20" si="69">VLOOKUP(M20,Credito1,2)</f>
        <v>195</v>
      </c>
      <c r="U20" s="275">
        <f t="shared" si="50"/>
        <v>123.76</v>
      </c>
      <c r="V20" s="274">
        <f t="shared" si="5"/>
        <v>0</v>
      </c>
      <c r="W20" s="274">
        <f t="shared" ref="W20" si="70">IF(I20/15&lt;=SMG,0,IF(U20&lt;0,0,U20))</f>
        <v>123.76</v>
      </c>
      <c r="X20" s="278">
        <v>0</v>
      </c>
      <c r="Y20" s="274">
        <f>SUM(W20:X20)</f>
        <v>123.76</v>
      </c>
      <c r="Z20" s="274">
        <f>K20+V20-Y20</f>
        <v>4244.24</v>
      </c>
      <c r="AA20" s="87"/>
    </row>
    <row r="21" spans="1:33" s="4" customFormat="1" ht="50.25" customHeight="1" x14ac:dyDescent="0.25">
      <c r="A21" s="248"/>
      <c r="B21" s="113" t="s">
        <v>99</v>
      </c>
      <c r="C21" s="113" t="s">
        <v>118</v>
      </c>
      <c r="D21" s="213" t="s">
        <v>117</v>
      </c>
      <c r="E21" s="178" t="s">
        <v>221</v>
      </c>
      <c r="F21" s="213" t="s">
        <v>61</v>
      </c>
      <c r="G21" s="213"/>
      <c r="H21" s="213"/>
      <c r="I21" s="214">
        <f>SUM(I22:I22)</f>
        <v>6871.16</v>
      </c>
      <c r="J21" s="214">
        <f>SUM(J22:J22)</f>
        <v>0</v>
      </c>
      <c r="K21" s="214">
        <f>SUM(K22:K22)</f>
        <v>6871.16</v>
      </c>
      <c r="L21" s="213"/>
      <c r="M21" s="213"/>
      <c r="N21" s="213"/>
      <c r="O21" s="213"/>
      <c r="P21" s="213"/>
      <c r="Q21" s="213"/>
      <c r="R21" s="216"/>
      <c r="S21" s="213"/>
      <c r="T21" s="213"/>
      <c r="U21" s="213"/>
      <c r="V21" s="214">
        <f>SUM(V22:V22)</f>
        <v>0</v>
      </c>
      <c r="W21" s="214">
        <f>SUM(W22:W22)</f>
        <v>671.16</v>
      </c>
      <c r="X21" s="214">
        <f>SUM(X22:X22)</f>
        <v>0</v>
      </c>
      <c r="Y21" s="214">
        <f>SUM(Y22:Y22)</f>
        <v>671.16</v>
      </c>
      <c r="Z21" s="214">
        <f>SUM(Z22:Z22)</f>
        <v>6200</v>
      </c>
      <c r="AA21" s="96"/>
    </row>
    <row r="22" spans="1:33" s="4" customFormat="1" ht="154.5" customHeight="1" x14ac:dyDescent="0.3">
      <c r="A22" s="248"/>
      <c r="B22" s="250" t="s">
        <v>158</v>
      </c>
      <c r="C22" s="289" t="s">
        <v>111</v>
      </c>
      <c r="D22" s="187" t="s">
        <v>151</v>
      </c>
      <c r="E22" s="283">
        <v>43512</v>
      </c>
      <c r="F22" s="187" t="s">
        <v>152</v>
      </c>
      <c r="G22" s="270">
        <v>15</v>
      </c>
      <c r="H22" s="271"/>
      <c r="I22" s="272">
        <v>6871.16</v>
      </c>
      <c r="J22" s="273">
        <v>0</v>
      </c>
      <c r="K22" s="274">
        <f>SUM(I22:J22)</f>
        <v>6871.16</v>
      </c>
      <c r="L22" s="275">
        <f>IF(I22/15&lt;=SMG,0,J22/2)</f>
        <v>0</v>
      </c>
      <c r="M22" s="275">
        <f>I22+L22</f>
        <v>6871.16</v>
      </c>
      <c r="N22" s="275">
        <f>VLOOKUP(M22,Tarifa1,1)</f>
        <v>6382.81</v>
      </c>
      <c r="O22" s="275">
        <f>M22-N22</f>
        <v>488.34999999999945</v>
      </c>
      <c r="P22" s="276">
        <f>VLOOKUP(M22,Tarifa1,3)</f>
        <v>0.1792</v>
      </c>
      <c r="Q22" s="275">
        <f>O22*P22</f>
        <v>87.512319999999903</v>
      </c>
      <c r="R22" s="277">
        <f>VLOOKUP(M22,Tarifa1,2)</f>
        <v>583.65</v>
      </c>
      <c r="S22" s="275">
        <f>Q22+R22</f>
        <v>671.16231999999991</v>
      </c>
      <c r="T22" s="275">
        <f>VLOOKUP(M22,Credito1,2)</f>
        <v>0</v>
      </c>
      <c r="U22" s="275">
        <f>ROUND(S22-T22,2)</f>
        <v>671.16</v>
      </c>
      <c r="V22" s="274">
        <f>-IF(U22&gt;0,0,0)</f>
        <v>0</v>
      </c>
      <c r="W22" s="274">
        <f>IF(I22/15&lt;=SMG,0,IF(U22&lt;0,0,U22))</f>
        <v>671.16</v>
      </c>
      <c r="X22" s="278">
        <v>0</v>
      </c>
      <c r="Y22" s="274">
        <f>SUM(W22:X22)</f>
        <v>671.16</v>
      </c>
      <c r="Z22" s="274">
        <f>K22+V22-Y22</f>
        <v>6200</v>
      </c>
      <c r="AA22" s="87"/>
    </row>
    <row r="23" spans="1:33" s="4" customFormat="1" ht="57.75" customHeight="1" x14ac:dyDescent="0.25">
      <c r="A23" s="110"/>
      <c r="B23" s="113" t="s">
        <v>99</v>
      </c>
      <c r="C23" s="113" t="s">
        <v>118</v>
      </c>
      <c r="D23" s="213" t="s">
        <v>69</v>
      </c>
      <c r="E23" s="178" t="s">
        <v>221</v>
      </c>
      <c r="F23" s="213" t="s">
        <v>61</v>
      </c>
      <c r="G23" s="213"/>
      <c r="H23" s="213"/>
      <c r="I23" s="214">
        <f>SUM(I24:I25)</f>
        <v>8045.86</v>
      </c>
      <c r="J23" s="214">
        <f>SUM(J24:J25)</f>
        <v>0</v>
      </c>
      <c r="K23" s="214">
        <f>SUM(K24:K25)</f>
        <v>8045.86</v>
      </c>
      <c r="L23" s="213"/>
      <c r="M23" s="213"/>
      <c r="N23" s="213"/>
      <c r="O23" s="213"/>
      <c r="P23" s="213"/>
      <c r="Q23" s="213"/>
      <c r="R23" s="216"/>
      <c r="S23" s="213"/>
      <c r="T23" s="213"/>
      <c r="U23" s="213"/>
      <c r="V23" s="214">
        <f>SUM(V24:V25)</f>
        <v>0</v>
      </c>
      <c r="W23" s="214">
        <f>SUM(W24:W25)</f>
        <v>118.36</v>
      </c>
      <c r="X23" s="214">
        <f>SUM(X24:X25)</f>
        <v>0</v>
      </c>
      <c r="Y23" s="214">
        <f>SUM(Y24:Y25)</f>
        <v>118.36</v>
      </c>
      <c r="Z23" s="214">
        <f>SUM(Z24:Z25)</f>
        <v>7927.5</v>
      </c>
      <c r="AA23" s="217"/>
      <c r="AB23" s="179"/>
    </row>
    <row r="24" spans="1:33" s="4" customFormat="1" ht="164.25" customHeight="1" x14ac:dyDescent="0.3">
      <c r="A24" s="110"/>
      <c r="B24" s="250" t="s">
        <v>319</v>
      </c>
      <c r="C24" s="289" t="s">
        <v>111</v>
      </c>
      <c r="D24" s="187" t="s">
        <v>320</v>
      </c>
      <c r="E24" s="190">
        <v>45566</v>
      </c>
      <c r="F24" s="139" t="s">
        <v>133</v>
      </c>
      <c r="G24" s="140">
        <v>15</v>
      </c>
      <c r="H24" s="141"/>
      <c r="I24" s="272">
        <v>4318.3599999999997</v>
      </c>
      <c r="J24" s="273">
        <v>0</v>
      </c>
      <c r="K24" s="274">
        <f t="shared" ref="K24" si="71">SUM(I24:J24)</f>
        <v>4318.3599999999997</v>
      </c>
      <c r="L24" s="275">
        <f t="shared" ref="L24" si="72">IF(I24/15&lt;=SMG,0,J24/2)</f>
        <v>0</v>
      </c>
      <c r="M24" s="275">
        <f t="shared" ref="M24:M25" si="73">I24+L24</f>
        <v>4318.3599999999997</v>
      </c>
      <c r="N24" s="275">
        <f t="shared" ref="N24:N25" si="74">VLOOKUP(M24,Tarifa1,1)</f>
        <v>3124.36</v>
      </c>
      <c r="O24" s="275">
        <f t="shared" ref="O24:O25" si="75">M24-N24</f>
        <v>1193.9999999999995</v>
      </c>
      <c r="P24" s="276">
        <f t="shared" ref="P24:P25" si="76">VLOOKUP(M24,Tarifa1,3)</f>
        <v>0.10879999999999999</v>
      </c>
      <c r="Q24" s="275">
        <f t="shared" ref="Q24:Q25" si="77">O24*P24</f>
        <v>129.90719999999993</v>
      </c>
      <c r="R24" s="277">
        <f t="shared" ref="R24:R25" si="78">VLOOKUP(M24,Tarifa1,2)</f>
        <v>183.45</v>
      </c>
      <c r="S24" s="275">
        <f t="shared" ref="S24:S25" si="79">Q24+R24</f>
        <v>313.35719999999992</v>
      </c>
      <c r="T24" s="275">
        <f t="shared" ref="T24:T25" si="80">VLOOKUP(M24,Credito1,2)</f>
        <v>195</v>
      </c>
      <c r="U24" s="275">
        <f t="shared" ref="U24:U25" si="81">ROUND(S24-T24,2)</f>
        <v>118.36</v>
      </c>
      <c r="V24" s="274">
        <f>-IF(U24&gt;0,0,0)</f>
        <v>0</v>
      </c>
      <c r="W24" s="274">
        <f t="shared" ref="W24:W25" si="82">IF(I24/15&lt;=SMG,0,IF(U24&lt;0,0,U24))</f>
        <v>118.36</v>
      </c>
      <c r="X24" s="278">
        <v>0</v>
      </c>
      <c r="Y24" s="274">
        <f t="shared" ref="Y24" si="83">SUM(W24:X24)</f>
        <v>118.36</v>
      </c>
      <c r="Z24" s="274">
        <f t="shared" ref="Z24" si="84">K24+V24-Y24</f>
        <v>4200</v>
      </c>
      <c r="AA24" s="87"/>
      <c r="AB24" s="85"/>
    </row>
    <row r="25" spans="1:33" s="4" customFormat="1" ht="164.25" customHeight="1" x14ac:dyDescent="0.3">
      <c r="A25" s="110"/>
      <c r="B25" s="250" t="s">
        <v>317</v>
      </c>
      <c r="C25" s="289" t="s">
        <v>111</v>
      </c>
      <c r="D25" s="187" t="s">
        <v>318</v>
      </c>
      <c r="E25" s="190">
        <v>45566</v>
      </c>
      <c r="F25" s="139" t="s">
        <v>133</v>
      </c>
      <c r="G25" s="140">
        <v>15</v>
      </c>
      <c r="H25" s="141"/>
      <c r="I25" s="272">
        <v>3727.5</v>
      </c>
      <c r="J25" s="273">
        <v>0</v>
      </c>
      <c r="K25" s="274">
        <f>SUM(I25:J25)</f>
        <v>3727.5</v>
      </c>
      <c r="L25" s="275">
        <f>IF(I25/15&lt;=SMG,0,J25/2)</f>
        <v>0</v>
      </c>
      <c r="M25" s="275">
        <f t="shared" si="73"/>
        <v>3727.5</v>
      </c>
      <c r="N25" s="275">
        <f t="shared" si="74"/>
        <v>3124.36</v>
      </c>
      <c r="O25" s="275">
        <f t="shared" si="75"/>
        <v>603.13999999999987</v>
      </c>
      <c r="P25" s="276">
        <f t="shared" si="76"/>
        <v>0.10879999999999999</v>
      </c>
      <c r="Q25" s="275">
        <f t="shared" si="77"/>
        <v>65.621631999999977</v>
      </c>
      <c r="R25" s="277">
        <f t="shared" si="78"/>
        <v>183.45</v>
      </c>
      <c r="S25" s="275">
        <f t="shared" si="79"/>
        <v>249.07163199999997</v>
      </c>
      <c r="T25" s="275">
        <f t="shared" si="80"/>
        <v>195</v>
      </c>
      <c r="U25" s="275">
        <f t="shared" si="81"/>
        <v>54.07</v>
      </c>
      <c r="V25" s="274">
        <f>-IF(U25&gt;0,0,0)</f>
        <v>0</v>
      </c>
      <c r="W25" s="274">
        <f t="shared" si="82"/>
        <v>0</v>
      </c>
      <c r="X25" s="278">
        <v>0</v>
      </c>
      <c r="Y25" s="274">
        <f>SUM(W25:X25)</f>
        <v>0</v>
      </c>
      <c r="Z25" s="274">
        <f>K25+V25-Y25</f>
        <v>3727.5</v>
      </c>
      <c r="AA25" s="87"/>
      <c r="AB25" s="85"/>
    </row>
    <row r="26" spans="1:33" s="4" customFormat="1" ht="57.75" customHeight="1" x14ac:dyDescent="0.25">
      <c r="A26" s="106"/>
      <c r="B26" s="113" t="s">
        <v>99</v>
      </c>
      <c r="C26" s="113" t="s">
        <v>118</v>
      </c>
      <c r="D26" s="213" t="s">
        <v>117</v>
      </c>
      <c r="E26" s="178" t="s">
        <v>221</v>
      </c>
      <c r="F26" s="213" t="s">
        <v>61</v>
      </c>
      <c r="G26" s="213"/>
      <c r="H26" s="213"/>
      <c r="I26" s="214">
        <f>SUM(I27:I28)</f>
        <v>12062.33</v>
      </c>
      <c r="J26" s="214">
        <f>SUM(J27:J28)</f>
        <v>0</v>
      </c>
      <c r="K26" s="214">
        <f>SUM(K27:K28)</f>
        <v>12062.33</v>
      </c>
      <c r="L26" s="213"/>
      <c r="M26" s="213"/>
      <c r="N26" s="213"/>
      <c r="O26" s="213"/>
      <c r="P26" s="213"/>
      <c r="Q26" s="213"/>
      <c r="R26" s="216"/>
      <c r="S26" s="213"/>
      <c r="T26" s="213"/>
      <c r="U26" s="213"/>
      <c r="V26" s="214">
        <f>SUM(V27:V28)</f>
        <v>0</v>
      </c>
      <c r="W26" s="214">
        <f>SUM(W27:W28)</f>
        <v>1062.33</v>
      </c>
      <c r="X26" s="214">
        <f>SUM(X27:X28)</f>
        <v>0</v>
      </c>
      <c r="Y26" s="214">
        <f>SUM(Y27:Y28)</f>
        <v>1062.33</v>
      </c>
      <c r="Z26" s="214">
        <f>SUM(Z27:Z28)</f>
        <v>11000</v>
      </c>
      <c r="AA26" s="96"/>
    </row>
    <row r="27" spans="1:33" s="4" customFormat="1" ht="164.25" customHeight="1" x14ac:dyDescent="0.3">
      <c r="A27" s="107" t="s">
        <v>84</v>
      </c>
      <c r="B27" s="250" t="s">
        <v>145</v>
      </c>
      <c r="C27" s="289" t="s">
        <v>111</v>
      </c>
      <c r="D27" s="187" t="s">
        <v>135</v>
      </c>
      <c r="E27" s="283">
        <v>43374</v>
      </c>
      <c r="F27" s="187" t="s">
        <v>134</v>
      </c>
      <c r="G27" s="270">
        <v>15</v>
      </c>
      <c r="H27" s="271">
        <f>I27/G27</f>
        <v>441.83333333333331</v>
      </c>
      <c r="I27" s="272">
        <v>6627.5</v>
      </c>
      <c r="J27" s="273">
        <v>0</v>
      </c>
      <c r="K27" s="274">
        <f>SUM(I27:J27)</f>
        <v>6627.5</v>
      </c>
      <c r="L27" s="275">
        <f>IF(I27/15&lt;=SMG,0,J27/2)</f>
        <v>0</v>
      </c>
      <c r="M27" s="275">
        <f>I27+L27</f>
        <v>6627.5</v>
      </c>
      <c r="N27" s="275">
        <f>VLOOKUP(M27,Tarifa1,1)</f>
        <v>6382.81</v>
      </c>
      <c r="O27" s="275">
        <f>M27-N27</f>
        <v>244.6899999999996</v>
      </c>
      <c r="P27" s="276">
        <f>VLOOKUP(M27,Tarifa1,3)</f>
        <v>0.1792</v>
      </c>
      <c r="Q27" s="275">
        <f>O27*P27</f>
        <v>43.848447999999927</v>
      </c>
      <c r="R27" s="277">
        <f>VLOOKUP(M27,Tarifa1,2)</f>
        <v>583.65</v>
      </c>
      <c r="S27" s="275">
        <f>Q27+R27</f>
        <v>627.49844799999994</v>
      </c>
      <c r="T27" s="275">
        <f>VLOOKUP(M27,Credito1,2)</f>
        <v>0</v>
      </c>
      <c r="U27" s="275">
        <f>ROUND(S27-T27,2)</f>
        <v>627.5</v>
      </c>
      <c r="V27" s="274">
        <f>-IF(U27&gt;0,0,0)</f>
        <v>0</v>
      </c>
      <c r="W27" s="274">
        <f>IF(I27/15&lt;=SMG,0,IF(U27&lt;0,0,U27))</f>
        <v>627.5</v>
      </c>
      <c r="X27" s="278">
        <v>0</v>
      </c>
      <c r="Y27" s="274">
        <f>SUM(W27:X27)</f>
        <v>627.5</v>
      </c>
      <c r="Z27" s="274">
        <f>K27+V27-Y27</f>
        <v>6000</v>
      </c>
      <c r="AA27" s="87"/>
      <c r="AG27" s="92"/>
    </row>
    <row r="28" spans="1:33" s="4" customFormat="1" ht="164.25" customHeight="1" x14ac:dyDescent="0.3">
      <c r="A28" s="107"/>
      <c r="B28" s="250" t="s">
        <v>288</v>
      </c>
      <c r="C28" s="289" t="s">
        <v>111</v>
      </c>
      <c r="D28" s="187" t="s">
        <v>289</v>
      </c>
      <c r="E28" s="283">
        <v>45459</v>
      </c>
      <c r="F28" s="187" t="s">
        <v>152</v>
      </c>
      <c r="G28" s="270">
        <v>15</v>
      </c>
      <c r="H28" s="271"/>
      <c r="I28" s="272">
        <v>5434.83</v>
      </c>
      <c r="J28" s="273">
        <v>0</v>
      </c>
      <c r="K28" s="274">
        <f>SUM(I28:J28)</f>
        <v>5434.83</v>
      </c>
      <c r="L28" s="275">
        <f>IF(I28/15&lt;=SMG,0,J28/2)</f>
        <v>0</v>
      </c>
      <c r="M28" s="275">
        <f t="shared" ref="M28" si="85">I28+L28</f>
        <v>5434.83</v>
      </c>
      <c r="N28" s="275">
        <f>VLOOKUP(M28,Tarifa1,1)</f>
        <v>3124.36</v>
      </c>
      <c r="O28" s="275">
        <f t="shared" ref="O28" si="86">M28-N28</f>
        <v>2310.4699999999998</v>
      </c>
      <c r="P28" s="276">
        <f>VLOOKUP(M28,Tarifa1,3)</f>
        <v>0.10879999999999999</v>
      </c>
      <c r="Q28" s="275">
        <f t="shared" ref="Q28" si="87">O28*P28</f>
        <v>251.37913599999996</v>
      </c>
      <c r="R28" s="277">
        <f>VLOOKUP(M28,Tarifa1,2)</f>
        <v>183.45</v>
      </c>
      <c r="S28" s="275">
        <f t="shared" ref="S28" si="88">Q28+R28</f>
        <v>434.82913599999995</v>
      </c>
      <c r="T28" s="275">
        <f>VLOOKUP(M28,Credito1,2)</f>
        <v>0</v>
      </c>
      <c r="U28" s="275">
        <f t="shared" ref="U28" si="89">ROUND(S28-T28,2)</f>
        <v>434.83</v>
      </c>
      <c r="V28" s="274">
        <f>-IF(U28&gt;0,0,0)</f>
        <v>0</v>
      </c>
      <c r="W28" s="274">
        <f>IF(I28/15&lt;=SMG,0,IF(U28&lt;0,0,U28))</f>
        <v>434.83</v>
      </c>
      <c r="X28" s="278">
        <v>0</v>
      </c>
      <c r="Y28" s="274">
        <f>SUM(W28:X28)</f>
        <v>434.83</v>
      </c>
      <c r="Z28" s="274">
        <f>K28+V28-Y28</f>
        <v>5000</v>
      </c>
      <c r="AA28" s="87"/>
      <c r="AG28" s="92"/>
    </row>
    <row r="29" spans="1:33" s="4" customFormat="1" ht="27.75" customHeight="1" x14ac:dyDescent="0.25">
      <c r="A29" s="160"/>
      <c r="B29" s="160"/>
      <c r="C29" s="160"/>
      <c r="D29" s="160"/>
      <c r="E29" s="160"/>
      <c r="F29" s="160"/>
      <c r="G29" s="160"/>
      <c r="H29" s="160"/>
      <c r="I29" s="166"/>
      <c r="J29" s="166"/>
      <c r="K29" s="166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33" s="4" customFormat="1" ht="75" customHeight="1" thickBot="1" x14ac:dyDescent="0.35">
      <c r="A30" s="348" t="s">
        <v>44</v>
      </c>
      <c r="B30" s="349"/>
      <c r="C30" s="349"/>
      <c r="D30" s="349"/>
      <c r="E30" s="349"/>
      <c r="F30" s="349"/>
      <c r="G30" s="349"/>
      <c r="H30" s="350"/>
      <c r="I30" s="281">
        <f>I8+I21+I23+I26</f>
        <v>82988.680000000008</v>
      </c>
      <c r="J30" s="281">
        <f>J8+J21+J23+J26</f>
        <v>248.5</v>
      </c>
      <c r="K30" s="281">
        <f>K8+K21+K23+K26</f>
        <v>83237.180000000008</v>
      </c>
      <c r="L30" s="282">
        <f t="shared" ref="L30:U30" si="90">SUM(L9:L29)</f>
        <v>0</v>
      </c>
      <c r="M30" s="282">
        <f t="shared" si="90"/>
        <v>82988.680000000008</v>
      </c>
      <c r="N30" s="282">
        <f t="shared" si="90"/>
        <v>64148.57</v>
      </c>
      <c r="O30" s="282">
        <f t="shared" si="90"/>
        <v>18840.109999999993</v>
      </c>
      <c r="P30" s="282">
        <f t="shared" si="90"/>
        <v>2.0951999999999997</v>
      </c>
      <c r="Q30" s="282">
        <f t="shared" si="90"/>
        <v>2106.2402159999992</v>
      </c>
      <c r="R30" s="282">
        <f t="shared" si="90"/>
        <v>4544.8499999999995</v>
      </c>
      <c r="S30" s="282">
        <f t="shared" si="90"/>
        <v>6651.0902160000014</v>
      </c>
      <c r="T30" s="282">
        <f t="shared" si="90"/>
        <v>2340</v>
      </c>
      <c r="U30" s="282">
        <f t="shared" si="90"/>
        <v>4311.09</v>
      </c>
      <c r="V30" s="281">
        <f>V8+V21+V23+V26</f>
        <v>0</v>
      </c>
      <c r="W30" s="281">
        <f>W8+W21+W23+W26</f>
        <v>4202.9500000000007</v>
      </c>
      <c r="X30" s="281">
        <f>X8+X21+X23+X26</f>
        <v>0</v>
      </c>
      <c r="Y30" s="281">
        <f>Y8+Y21+Y23+Y26</f>
        <v>4202.9500000000007</v>
      </c>
      <c r="Z30" s="281">
        <f>Z8+Z21+Z23+Z26</f>
        <v>79034.23000000001</v>
      </c>
    </row>
    <row r="31" spans="1:33" s="4" customFormat="1" ht="18" customHeight="1" thickTop="1" x14ac:dyDescent="0.25">
      <c r="A31" s="133"/>
      <c r="B31" s="133"/>
      <c r="C31" s="133"/>
      <c r="D31" s="133"/>
      <c r="E31" s="133"/>
      <c r="F31" s="133"/>
      <c r="G31" s="133"/>
      <c r="H31" s="133"/>
      <c r="I31" s="134"/>
      <c r="J31" s="134"/>
      <c r="K31" s="134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4"/>
      <c r="W31" s="134"/>
      <c r="X31" s="134"/>
      <c r="Y31" s="134"/>
      <c r="Z31" s="134"/>
    </row>
    <row r="32" spans="1:33" s="4" customFormat="1" ht="18" customHeight="1" x14ac:dyDescent="0.25">
      <c r="A32" s="133"/>
      <c r="B32" s="133"/>
      <c r="C32" s="133"/>
      <c r="D32" s="133"/>
      <c r="E32" s="133"/>
      <c r="F32" s="133"/>
      <c r="G32" s="133"/>
      <c r="H32" s="133"/>
      <c r="I32" s="134"/>
      <c r="J32" s="134"/>
      <c r="K32" s="134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4"/>
      <c r="W32" s="134"/>
      <c r="X32" s="134"/>
      <c r="Y32" s="134"/>
      <c r="Z32" s="134"/>
    </row>
    <row r="33" spans="1:27" s="4" customFormat="1" ht="18" customHeight="1" x14ac:dyDescent="0.25">
      <c r="A33" s="133"/>
      <c r="B33" s="133"/>
      <c r="C33" s="133"/>
      <c r="D33" s="133"/>
      <c r="E33" s="133"/>
      <c r="F33" s="133"/>
      <c r="G33" s="133"/>
      <c r="H33" s="133"/>
      <c r="I33" s="134"/>
      <c r="J33" s="134"/>
      <c r="K33" s="134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4"/>
      <c r="W33" s="134"/>
      <c r="X33" s="134"/>
      <c r="Y33" s="134"/>
      <c r="Z33" s="134"/>
    </row>
    <row r="34" spans="1:27" s="4" customFormat="1" ht="18" customHeight="1" x14ac:dyDescent="0.25">
      <c r="A34" s="133"/>
      <c r="B34" s="133"/>
      <c r="C34" s="133"/>
      <c r="D34" s="133"/>
      <c r="E34" s="133"/>
      <c r="F34" s="133"/>
      <c r="G34" s="133"/>
      <c r="H34" s="133"/>
      <c r="I34" s="134"/>
      <c r="J34" s="134"/>
      <c r="K34" s="134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4"/>
      <c r="W34" s="134"/>
      <c r="X34" s="134"/>
      <c r="Y34" s="134"/>
      <c r="Z34" s="134"/>
    </row>
    <row r="35" spans="1:27" s="4" customFormat="1" ht="20.25" x14ac:dyDescent="0.3"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</row>
    <row r="36" spans="1:27" s="4" customFormat="1" x14ac:dyDescent="0.2"/>
    <row r="37" spans="1:27" s="4" customFormat="1" x14ac:dyDescent="0.2"/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6"/>
  <sheetViews>
    <sheetView topLeftCell="B1" zoomScale="55" zoomScaleNormal="55" workbookViewId="0">
      <selection activeCell="W12" sqref="W1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1.85546875" customWidth="1"/>
    <col min="7" max="7" width="7.42578125" hidden="1" customWidth="1"/>
    <col min="8" max="8" width="10" hidden="1" customWidth="1"/>
    <col min="9" max="9" width="18.7109375" customWidth="1"/>
    <col min="10" max="10" width="14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1" t="s">
        <v>78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31" s="51" customFormat="1" ht="21" customHeight="1" x14ac:dyDescent="0.25">
      <c r="A5" s="47"/>
      <c r="B5" s="47"/>
      <c r="C5" s="385" t="s">
        <v>118</v>
      </c>
      <c r="D5" s="47"/>
      <c r="E5" s="47"/>
      <c r="F5" s="47"/>
      <c r="G5" s="48" t="s">
        <v>22</v>
      </c>
      <c r="H5" s="48" t="s">
        <v>5</v>
      </c>
      <c r="I5" s="353" t="s">
        <v>1</v>
      </c>
      <c r="J5" s="354"/>
      <c r="K5" s="355"/>
      <c r="L5" s="118" t="s">
        <v>25</v>
      </c>
      <c r="M5" s="119"/>
      <c r="N5" s="356" t="s">
        <v>8</v>
      </c>
      <c r="O5" s="357"/>
      <c r="P5" s="357"/>
      <c r="Q5" s="357"/>
      <c r="R5" s="357"/>
      <c r="S5" s="358"/>
      <c r="T5" s="118" t="s">
        <v>29</v>
      </c>
      <c r="U5" s="118" t="s">
        <v>9</v>
      </c>
      <c r="V5" s="117" t="s">
        <v>52</v>
      </c>
      <c r="W5" s="359" t="s">
        <v>2</v>
      </c>
      <c r="X5" s="360"/>
      <c r="Y5" s="361"/>
      <c r="Z5" s="117" t="s">
        <v>0</v>
      </c>
      <c r="AA5" s="47"/>
    </row>
    <row r="6" spans="1:31" s="51" customFormat="1" ht="31.5" x14ac:dyDescent="0.25">
      <c r="A6" s="52" t="s">
        <v>20</v>
      </c>
      <c r="B6" s="120" t="s">
        <v>99</v>
      </c>
      <c r="C6" s="386"/>
      <c r="D6" s="121" t="s">
        <v>21</v>
      </c>
      <c r="E6" s="52"/>
      <c r="F6" s="52"/>
      <c r="G6" s="53" t="s">
        <v>23</v>
      </c>
      <c r="H6" s="52" t="s">
        <v>24</v>
      </c>
      <c r="I6" s="117" t="s">
        <v>5</v>
      </c>
      <c r="J6" s="117" t="s">
        <v>58</v>
      </c>
      <c r="K6" s="117" t="s">
        <v>27</v>
      </c>
      <c r="L6" s="122" t="s">
        <v>26</v>
      </c>
      <c r="M6" s="119" t="s">
        <v>31</v>
      </c>
      <c r="N6" s="119" t="s">
        <v>11</v>
      </c>
      <c r="O6" s="119" t="s">
        <v>33</v>
      </c>
      <c r="P6" s="119" t="s">
        <v>35</v>
      </c>
      <c r="Q6" s="119" t="s">
        <v>36</v>
      </c>
      <c r="R6" s="115" t="s">
        <v>13</v>
      </c>
      <c r="S6" s="119" t="s">
        <v>9</v>
      </c>
      <c r="T6" s="122" t="s">
        <v>39</v>
      </c>
      <c r="U6" s="122" t="s">
        <v>40</v>
      </c>
      <c r="V6" s="121" t="s">
        <v>30</v>
      </c>
      <c r="W6" s="117" t="s">
        <v>215</v>
      </c>
      <c r="X6" s="117" t="s">
        <v>56</v>
      </c>
      <c r="Y6" s="117" t="s">
        <v>6</v>
      </c>
      <c r="Z6" s="121" t="s">
        <v>3</v>
      </c>
      <c r="AA6" s="121" t="s">
        <v>57</v>
      </c>
    </row>
    <row r="7" spans="1:31" s="51" customFormat="1" ht="15.75" x14ac:dyDescent="0.25">
      <c r="A7" s="52"/>
      <c r="B7" s="52"/>
      <c r="C7" s="387"/>
      <c r="D7" s="52"/>
      <c r="E7" s="52"/>
      <c r="F7" s="52"/>
      <c r="G7" s="52"/>
      <c r="H7" s="52"/>
      <c r="I7" s="121" t="s">
        <v>46</v>
      </c>
      <c r="J7" s="121" t="s">
        <v>59</v>
      </c>
      <c r="K7" s="121" t="s">
        <v>28</v>
      </c>
      <c r="L7" s="122" t="s">
        <v>42</v>
      </c>
      <c r="M7" s="118" t="s">
        <v>32</v>
      </c>
      <c r="N7" s="118" t="s">
        <v>12</v>
      </c>
      <c r="O7" s="118" t="s">
        <v>34</v>
      </c>
      <c r="P7" s="118" t="s">
        <v>34</v>
      </c>
      <c r="Q7" s="118" t="s">
        <v>37</v>
      </c>
      <c r="R7" s="221" t="s">
        <v>14</v>
      </c>
      <c r="S7" s="118" t="s">
        <v>38</v>
      </c>
      <c r="T7" s="122" t="s">
        <v>18</v>
      </c>
      <c r="U7" s="126" t="s">
        <v>182</v>
      </c>
      <c r="V7" s="121" t="s">
        <v>51</v>
      </c>
      <c r="W7" s="121"/>
      <c r="X7" s="121"/>
      <c r="Y7" s="121" t="s">
        <v>43</v>
      </c>
      <c r="Z7" s="121" t="s">
        <v>4</v>
      </c>
      <c r="AA7" s="56"/>
    </row>
    <row r="8" spans="1:31" s="51" customFormat="1" ht="64.5" customHeight="1" x14ac:dyDescent="0.3">
      <c r="A8" s="37"/>
      <c r="B8" s="178" t="s">
        <v>99</v>
      </c>
      <c r="C8" s="178" t="s">
        <v>118</v>
      </c>
      <c r="D8" s="308" t="s">
        <v>138</v>
      </c>
      <c r="E8" s="308" t="s">
        <v>221</v>
      </c>
      <c r="F8" s="309" t="s">
        <v>61</v>
      </c>
      <c r="G8" s="309"/>
      <c r="H8" s="309"/>
      <c r="I8" s="310">
        <f>SUM(I9:I10)</f>
        <v>12182</v>
      </c>
      <c r="J8" s="310">
        <f t="shared" ref="J8:Z8" si="0">SUM(J9:J10)</f>
        <v>0</v>
      </c>
      <c r="K8" s="310">
        <f t="shared" si="0"/>
        <v>12182</v>
      </c>
      <c r="L8" s="310">
        <f t="shared" si="0"/>
        <v>0</v>
      </c>
      <c r="M8" s="310">
        <f t="shared" si="0"/>
        <v>12182</v>
      </c>
      <c r="N8" s="310">
        <f t="shared" si="0"/>
        <v>9507.17</v>
      </c>
      <c r="O8" s="310">
        <f t="shared" si="0"/>
        <v>2674.8299999999995</v>
      </c>
      <c r="P8" s="310">
        <f t="shared" si="0"/>
        <v>0.28799999999999998</v>
      </c>
      <c r="Q8" s="310">
        <f t="shared" si="0"/>
        <v>350.20607999999993</v>
      </c>
      <c r="R8" s="310">
        <f t="shared" si="0"/>
        <v>767.09999999999991</v>
      </c>
      <c r="S8" s="310">
        <f t="shared" si="0"/>
        <v>1117.3060799999998</v>
      </c>
      <c r="T8" s="310">
        <f t="shared" si="0"/>
        <v>0</v>
      </c>
      <c r="U8" s="310">
        <f t="shared" si="0"/>
        <v>1117.3</v>
      </c>
      <c r="V8" s="310">
        <f t="shared" si="0"/>
        <v>0</v>
      </c>
      <c r="W8" s="310">
        <f t="shared" si="0"/>
        <v>1117.3</v>
      </c>
      <c r="X8" s="310">
        <f t="shared" si="0"/>
        <v>0</v>
      </c>
      <c r="Y8" s="310">
        <f t="shared" si="0"/>
        <v>1117.3</v>
      </c>
      <c r="Z8" s="310">
        <f t="shared" si="0"/>
        <v>11064.7</v>
      </c>
      <c r="AA8" s="97"/>
    </row>
    <row r="9" spans="1:31" s="51" customFormat="1" ht="147" customHeight="1" x14ac:dyDescent="0.3">
      <c r="A9" s="37"/>
      <c r="B9" s="305">
        <v>377</v>
      </c>
      <c r="C9" s="306" t="s">
        <v>111</v>
      </c>
      <c r="D9" s="228" t="s">
        <v>313</v>
      </c>
      <c r="E9" s="307">
        <v>45566</v>
      </c>
      <c r="F9" s="228" t="s">
        <v>262</v>
      </c>
      <c r="G9" s="249">
        <v>15</v>
      </c>
      <c r="H9" s="249"/>
      <c r="I9" s="272">
        <v>7223.5</v>
      </c>
      <c r="J9" s="273">
        <v>0</v>
      </c>
      <c r="K9" s="274">
        <f>SUM(I9:J9)</f>
        <v>7223.5</v>
      </c>
      <c r="L9" s="275">
        <f>IF(I9/15&lt;=SMG,0,J9/2)</f>
        <v>0</v>
      </c>
      <c r="M9" s="275">
        <f>I9+L9</f>
        <v>7223.5</v>
      </c>
      <c r="N9" s="275">
        <f>VLOOKUP(M9,Tarifa1,1)</f>
        <v>6382.81</v>
      </c>
      <c r="O9" s="275">
        <f>M9-N9</f>
        <v>840.6899999999996</v>
      </c>
      <c r="P9" s="276">
        <f>VLOOKUP(M9,Tarifa1,3)</f>
        <v>0.1792</v>
      </c>
      <c r="Q9" s="275">
        <f>O9*P9</f>
        <v>150.65164799999994</v>
      </c>
      <c r="R9" s="277">
        <f>VLOOKUP(M9,Tarifa1,2)</f>
        <v>583.65</v>
      </c>
      <c r="S9" s="275">
        <f>Q9+R9</f>
        <v>734.30164799999989</v>
      </c>
      <c r="T9" s="275">
        <f>VLOOKUP(M9,Credito1,2)</f>
        <v>0</v>
      </c>
      <c r="U9" s="275">
        <f>ROUND(S9-T9,2)</f>
        <v>734.3</v>
      </c>
      <c r="V9" s="274">
        <f>-IF(U9&gt;0,0,0)</f>
        <v>0</v>
      </c>
      <c r="W9" s="274">
        <f>IF(I9/15&lt;=SMG,0,IF(U9&lt;0,0,U9))</f>
        <v>734.3</v>
      </c>
      <c r="X9" s="278">
        <v>0</v>
      </c>
      <c r="Y9" s="274">
        <f>SUM(W9:X9)</f>
        <v>734.3</v>
      </c>
      <c r="Z9" s="274">
        <f>K9+V9-Y9</f>
        <v>6489.2</v>
      </c>
      <c r="AA9" s="132"/>
    </row>
    <row r="10" spans="1:31" s="51" customFormat="1" ht="147" customHeight="1" x14ac:dyDescent="0.3">
      <c r="A10" s="37"/>
      <c r="B10" s="250" t="s">
        <v>315</v>
      </c>
      <c r="C10" s="289" t="s">
        <v>111</v>
      </c>
      <c r="D10" s="229" t="s">
        <v>314</v>
      </c>
      <c r="E10" s="283">
        <v>45566</v>
      </c>
      <c r="F10" s="187" t="s">
        <v>207</v>
      </c>
      <c r="G10" s="270">
        <v>15</v>
      </c>
      <c r="H10" s="271">
        <v>341.11</v>
      </c>
      <c r="I10" s="272">
        <v>4958.5</v>
      </c>
      <c r="J10" s="273">
        <v>0</v>
      </c>
      <c r="K10" s="274">
        <f>SUM(I10:J10)</f>
        <v>4958.5</v>
      </c>
      <c r="L10" s="275">
        <f>IF(I10/15&lt;=SMG,0,J10/2)</f>
        <v>0</v>
      </c>
      <c r="M10" s="275">
        <f>I10+L10</f>
        <v>4958.5</v>
      </c>
      <c r="N10" s="275">
        <f>VLOOKUP(M10,Tarifa1,1)</f>
        <v>3124.36</v>
      </c>
      <c r="O10" s="275">
        <f>M10-N10</f>
        <v>1834.1399999999999</v>
      </c>
      <c r="P10" s="276">
        <f>VLOOKUP(M10,Tarifa1,3)</f>
        <v>0.10879999999999999</v>
      </c>
      <c r="Q10" s="275">
        <f>O10*P10</f>
        <v>199.55443199999996</v>
      </c>
      <c r="R10" s="277">
        <f>VLOOKUP(M10,Tarifa1,2)</f>
        <v>183.45</v>
      </c>
      <c r="S10" s="275">
        <f>Q10+R10</f>
        <v>383.00443199999995</v>
      </c>
      <c r="T10" s="275">
        <f>VLOOKUP(M10,Credito1,2)</f>
        <v>0</v>
      </c>
      <c r="U10" s="275">
        <f>ROUND(S10-T10,2)</f>
        <v>383</v>
      </c>
      <c r="V10" s="274">
        <f>-IF(U10&gt;0,0,0)</f>
        <v>0</v>
      </c>
      <c r="W10" s="274">
        <f>IF(I10/15&lt;=SMG,0,IF(U10&lt;0,0,U10))</f>
        <v>383</v>
      </c>
      <c r="X10" s="278">
        <v>0</v>
      </c>
      <c r="Y10" s="274">
        <f>SUM(W10:X10)</f>
        <v>383</v>
      </c>
      <c r="Z10" s="274">
        <f>K10+V10-Y10</f>
        <v>4575.5</v>
      </c>
      <c r="AA10" s="132"/>
    </row>
    <row r="11" spans="1:31" s="51" customFormat="1" ht="53.25" customHeight="1" x14ac:dyDescent="0.3">
      <c r="A11" s="45"/>
      <c r="B11" s="178" t="s">
        <v>99</v>
      </c>
      <c r="C11" s="178" t="s">
        <v>118</v>
      </c>
      <c r="D11" s="309" t="s">
        <v>120</v>
      </c>
      <c r="E11" s="308" t="s">
        <v>221</v>
      </c>
      <c r="F11" s="309" t="s">
        <v>61</v>
      </c>
      <c r="G11" s="309"/>
      <c r="H11" s="309"/>
      <c r="I11" s="310">
        <f>SUM(I12:I14)</f>
        <v>16482.830000000002</v>
      </c>
      <c r="J11" s="310">
        <f>SUM(J12:J14)</f>
        <v>0</v>
      </c>
      <c r="K11" s="310">
        <f>SUM(K12:K14)</f>
        <v>16482.830000000002</v>
      </c>
      <c r="L11" s="309"/>
      <c r="M11" s="309"/>
      <c r="N11" s="309"/>
      <c r="O11" s="309"/>
      <c r="P11" s="309"/>
      <c r="Q11" s="309"/>
      <c r="R11" s="311"/>
      <c r="S11" s="309"/>
      <c r="T11" s="309"/>
      <c r="U11" s="309"/>
      <c r="V11" s="310">
        <f>SUM(V12:V14)</f>
        <v>0</v>
      </c>
      <c r="W11" s="310">
        <f>SUM(W12:W14)</f>
        <v>1137.68</v>
      </c>
      <c r="X11" s="310">
        <f>SUM(X12:X14)</f>
        <v>0</v>
      </c>
      <c r="Y11" s="310">
        <f>SUM(Y12:Y14)</f>
        <v>1137.68</v>
      </c>
      <c r="Z11" s="310">
        <f>SUM(Z12:Z14)</f>
        <v>15345.15</v>
      </c>
      <c r="AA11" s="97"/>
      <c r="AE11" s="59"/>
    </row>
    <row r="12" spans="1:31" s="51" customFormat="1" ht="147" customHeight="1" x14ac:dyDescent="0.3">
      <c r="A12" s="45" t="s">
        <v>87</v>
      </c>
      <c r="B12" s="289" t="s">
        <v>109</v>
      </c>
      <c r="C12" s="289" t="s">
        <v>111</v>
      </c>
      <c r="D12" s="229" t="s">
        <v>92</v>
      </c>
      <c r="E12" s="192">
        <v>42278</v>
      </c>
      <c r="F12" s="139" t="s">
        <v>93</v>
      </c>
      <c r="G12" s="140">
        <v>15</v>
      </c>
      <c r="H12" s="141">
        <f t="shared" ref="H12:H31" si="1">I12/G12</f>
        <v>469.86666666666667</v>
      </c>
      <c r="I12" s="272">
        <v>7048</v>
      </c>
      <c r="J12" s="273">
        <v>0</v>
      </c>
      <c r="K12" s="274">
        <f>SUM(I12:J12)</f>
        <v>7048</v>
      </c>
      <c r="L12" s="275">
        <f>IF(I12/15&lt;=SMG,0,J12/2)</f>
        <v>0</v>
      </c>
      <c r="M12" s="275">
        <f>I12+L12</f>
        <v>7048</v>
      </c>
      <c r="N12" s="275">
        <f>VLOOKUP(M12,Tarifa1,1)</f>
        <v>6382.81</v>
      </c>
      <c r="O12" s="275">
        <f>M12-N12</f>
        <v>665.1899999999996</v>
      </c>
      <c r="P12" s="276">
        <f>VLOOKUP(M12,Tarifa1,3)</f>
        <v>0.1792</v>
      </c>
      <c r="Q12" s="275">
        <f>O12*P12</f>
        <v>119.20204799999993</v>
      </c>
      <c r="R12" s="277">
        <f>VLOOKUP(M12,Tarifa1,2)</f>
        <v>583.65</v>
      </c>
      <c r="S12" s="275">
        <f>Q12+R12</f>
        <v>702.85204799999997</v>
      </c>
      <c r="T12" s="275">
        <f>VLOOKUP(M12,Credito1,2)</f>
        <v>0</v>
      </c>
      <c r="U12" s="275">
        <f>ROUND(S12-T12,2)</f>
        <v>702.85</v>
      </c>
      <c r="V12" s="274">
        <f>-IF(U12&gt;0,0,0)</f>
        <v>0</v>
      </c>
      <c r="W12" s="274">
        <f>IF(I12/15&lt;=SMG,0,IF(U12&lt;0,0,U12))</f>
        <v>702.85</v>
      </c>
      <c r="X12" s="278">
        <v>0</v>
      </c>
      <c r="Y12" s="274">
        <f>SUM(W12:X12)</f>
        <v>702.85</v>
      </c>
      <c r="Z12" s="274">
        <f>K12+V12-Y12</f>
        <v>6345.15</v>
      </c>
      <c r="AA12" s="90"/>
      <c r="AE12" s="64"/>
    </row>
    <row r="13" spans="1:31" s="51" customFormat="1" ht="147" customHeight="1" x14ac:dyDescent="0.3">
      <c r="A13" s="45"/>
      <c r="B13" s="289" t="s">
        <v>290</v>
      </c>
      <c r="C13" s="289" t="s">
        <v>111</v>
      </c>
      <c r="D13" s="229" t="s">
        <v>291</v>
      </c>
      <c r="E13" s="192">
        <v>45459</v>
      </c>
      <c r="F13" s="139" t="s">
        <v>292</v>
      </c>
      <c r="G13" s="140">
        <v>15</v>
      </c>
      <c r="H13" s="141">
        <f t="shared" si="1"/>
        <v>362.322</v>
      </c>
      <c r="I13" s="272">
        <v>5434.83</v>
      </c>
      <c r="J13" s="273">
        <v>0</v>
      </c>
      <c r="K13" s="274">
        <f>SUM(I13:J13)</f>
        <v>5434.83</v>
      </c>
      <c r="L13" s="275">
        <f>IF(I13/15&lt;=SMG,0,J13/2)</f>
        <v>0</v>
      </c>
      <c r="M13" s="275">
        <f t="shared" ref="M13" si="2">I13+L13</f>
        <v>5434.83</v>
      </c>
      <c r="N13" s="275">
        <f>VLOOKUP(M13,Tarifa1,1)</f>
        <v>3124.36</v>
      </c>
      <c r="O13" s="275">
        <f t="shared" ref="O13" si="3">M13-N13</f>
        <v>2310.4699999999998</v>
      </c>
      <c r="P13" s="276">
        <f>VLOOKUP(M13,Tarifa1,3)</f>
        <v>0.10879999999999999</v>
      </c>
      <c r="Q13" s="275">
        <f t="shared" ref="Q13" si="4">O13*P13</f>
        <v>251.37913599999996</v>
      </c>
      <c r="R13" s="277">
        <f>VLOOKUP(M13,Tarifa1,2)</f>
        <v>183.45</v>
      </c>
      <c r="S13" s="275">
        <f t="shared" ref="S13" si="5">Q13+R13</f>
        <v>434.82913599999995</v>
      </c>
      <c r="T13" s="275">
        <f>VLOOKUP(M13,Credito1,2)</f>
        <v>0</v>
      </c>
      <c r="U13" s="275">
        <f t="shared" ref="U13" si="6">ROUND(S13-T13,2)</f>
        <v>434.83</v>
      </c>
      <c r="V13" s="274">
        <f>-IF(U13&gt;0,0,0)</f>
        <v>0</v>
      </c>
      <c r="W13" s="274">
        <f>IF(I13/15&lt;=SMG,0,IF(U13&lt;0,0,U13))</f>
        <v>434.83</v>
      </c>
      <c r="X13" s="278">
        <v>0</v>
      </c>
      <c r="Y13" s="274">
        <f>SUM(W13:X13)</f>
        <v>434.83</v>
      </c>
      <c r="Z13" s="274">
        <f>K13+V13-Y13</f>
        <v>5000</v>
      </c>
      <c r="AA13" s="90"/>
      <c r="AE13" s="64"/>
    </row>
    <row r="14" spans="1:31" s="51" customFormat="1" ht="147" customHeight="1" x14ac:dyDescent="0.4">
      <c r="A14" s="45"/>
      <c r="B14" s="289" t="s">
        <v>374</v>
      </c>
      <c r="C14" s="289" t="s">
        <v>111</v>
      </c>
      <c r="D14" s="229" t="s">
        <v>373</v>
      </c>
      <c r="E14" s="192">
        <v>45459</v>
      </c>
      <c r="F14" s="139" t="s">
        <v>292</v>
      </c>
      <c r="G14" s="140">
        <v>15</v>
      </c>
      <c r="H14" s="141">
        <f t="shared" ref="H14" si="7">I14/G14</f>
        <v>266.66666666666669</v>
      </c>
      <c r="I14" s="272">
        <v>4000</v>
      </c>
      <c r="J14" s="273">
        <v>0</v>
      </c>
      <c r="K14" s="274">
        <f>SUM(I14:J14)</f>
        <v>4000</v>
      </c>
      <c r="L14" s="275">
        <f>IF(I14/15&lt;=SMG,0,J14/2)</f>
        <v>0</v>
      </c>
      <c r="M14" s="275">
        <f t="shared" ref="M14" si="8">I14+L14</f>
        <v>4000</v>
      </c>
      <c r="N14" s="275">
        <f>VLOOKUP(M14,Tarifa1,1)</f>
        <v>3124.36</v>
      </c>
      <c r="O14" s="275">
        <f t="shared" ref="O14" si="9">M14-N14</f>
        <v>875.63999999999987</v>
      </c>
      <c r="P14" s="276">
        <f>VLOOKUP(M14,Tarifa1,3)</f>
        <v>0.10879999999999999</v>
      </c>
      <c r="Q14" s="275">
        <f t="shared" ref="Q14" si="10">O14*P14</f>
        <v>95.269631999999987</v>
      </c>
      <c r="R14" s="277">
        <f>VLOOKUP(M14,Tarifa1,2)</f>
        <v>183.45</v>
      </c>
      <c r="S14" s="275">
        <f t="shared" ref="S14" si="11">Q14+R14</f>
        <v>278.71963199999999</v>
      </c>
      <c r="T14" s="275">
        <f>VLOOKUP(M14,Credito1,2)</f>
        <v>195</v>
      </c>
      <c r="U14" s="275">
        <f t="shared" ref="U14" si="12">ROUND(S14-T14,2)</f>
        <v>83.72</v>
      </c>
      <c r="V14" s="274">
        <f>-IF(U14&gt;0,0,0)</f>
        <v>0</v>
      </c>
      <c r="W14" s="274">
        <v>0</v>
      </c>
      <c r="X14" s="278">
        <v>0</v>
      </c>
      <c r="Y14" s="274">
        <f>SUM(W14:X14)</f>
        <v>0</v>
      </c>
      <c r="Z14" s="274">
        <f>K14+V14-Y14</f>
        <v>4000</v>
      </c>
      <c r="AA14" s="90"/>
      <c r="AE14" s="252"/>
    </row>
    <row r="15" spans="1:31" s="51" customFormat="1" ht="51.75" customHeight="1" x14ac:dyDescent="0.3">
      <c r="A15" s="45"/>
      <c r="B15" s="178" t="s">
        <v>99</v>
      </c>
      <c r="C15" s="178" t="s">
        <v>118</v>
      </c>
      <c r="D15" s="308" t="s">
        <v>121</v>
      </c>
      <c r="E15" s="308" t="s">
        <v>221</v>
      </c>
      <c r="F15" s="309" t="s">
        <v>61</v>
      </c>
      <c r="G15" s="309"/>
      <c r="H15" s="309"/>
      <c r="I15" s="310">
        <f>SUM(I16:I18)</f>
        <v>18663.330000000002</v>
      </c>
      <c r="J15" s="310">
        <f>SUM(J16:J18)</f>
        <v>0</v>
      </c>
      <c r="K15" s="310">
        <f>SUM(K16:K18)</f>
        <v>18663.330000000002</v>
      </c>
      <c r="L15" s="309"/>
      <c r="M15" s="309"/>
      <c r="N15" s="309"/>
      <c r="O15" s="309"/>
      <c r="P15" s="309"/>
      <c r="Q15" s="309"/>
      <c r="R15" s="311"/>
      <c r="S15" s="309"/>
      <c r="T15" s="309"/>
      <c r="U15" s="309"/>
      <c r="V15" s="310">
        <f>SUM(V16:V18)</f>
        <v>0</v>
      </c>
      <c r="W15" s="310">
        <f>SUM(W16:W18)</f>
        <v>1702.8799999999999</v>
      </c>
      <c r="X15" s="310">
        <f>SUM(X16:X18)</f>
        <v>0</v>
      </c>
      <c r="Y15" s="310">
        <f>SUM(Y16:Y18)</f>
        <v>1702.8799999999999</v>
      </c>
      <c r="Z15" s="310">
        <f>SUM(Z16:Z18)</f>
        <v>16960.45</v>
      </c>
      <c r="AA15" s="97"/>
      <c r="AE15" s="64"/>
    </row>
    <row r="16" spans="1:31" s="51" customFormat="1" ht="147.75" customHeight="1" x14ac:dyDescent="0.3">
      <c r="A16" s="45" t="s">
        <v>88</v>
      </c>
      <c r="B16" s="312">
        <v>185</v>
      </c>
      <c r="C16" s="289" t="s">
        <v>111</v>
      </c>
      <c r="D16" s="230" t="s">
        <v>141</v>
      </c>
      <c r="E16" s="191">
        <v>43374</v>
      </c>
      <c r="F16" s="139" t="s">
        <v>94</v>
      </c>
      <c r="G16" s="140">
        <v>15</v>
      </c>
      <c r="H16" s="141">
        <f t="shared" si="1"/>
        <v>512.5333333333333</v>
      </c>
      <c r="I16" s="272">
        <v>7688</v>
      </c>
      <c r="J16" s="273">
        <v>0</v>
      </c>
      <c r="K16" s="274">
        <f t="shared" ref="K16" si="13">SUM(I16:J16)</f>
        <v>7688</v>
      </c>
      <c r="L16" s="275">
        <f>IF(I16/15&lt;=SMG,0,J16/2)</f>
        <v>0</v>
      </c>
      <c r="M16" s="275">
        <f>I16+L16</f>
        <v>7688</v>
      </c>
      <c r="N16" s="275">
        <f>VLOOKUP(M16,Tarifa1,1)</f>
        <v>7641.91</v>
      </c>
      <c r="O16" s="275">
        <f>M16-N16</f>
        <v>46.090000000000146</v>
      </c>
      <c r="P16" s="276">
        <f>VLOOKUP(M16,Tarifa1,3)</f>
        <v>0.21360000000000001</v>
      </c>
      <c r="Q16" s="275">
        <f>O16*P16</f>
        <v>9.8448240000000311</v>
      </c>
      <c r="R16" s="277">
        <f>VLOOKUP(M16,Tarifa1,2)</f>
        <v>809.25</v>
      </c>
      <c r="S16" s="275">
        <f>Q16+R16</f>
        <v>819.09482400000002</v>
      </c>
      <c r="T16" s="275">
        <f>VLOOKUP(M16,Credito1,2)</f>
        <v>0</v>
      </c>
      <c r="U16" s="275">
        <f>ROUND(S16-T16,2)</f>
        <v>819.09</v>
      </c>
      <c r="V16" s="274">
        <f>-IF(U16&gt;0,0,0)</f>
        <v>0</v>
      </c>
      <c r="W16" s="274">
        <f>IF(I16/15&lt;=SMG,0,IF(U16&lt;0,0,U16))</f>
        <v>819.09</v>
      </c>
      <c r="X16" s="278">
        <v>0</v>
      </c>
      <c r="Y16" s="274">
        <f t="shared" ref="Y16" si="14">SUM(W16:X16)</f>
        <v>819.09</v>
      </c>
      <c r="Z16" s="274">
        <f t="shared" ref="Z16" si="15">K16+V16-Y16</f>
        <v>6868.91</v>
      </c>
      <c r="AA16" s="90"/>
      <c r="AE16" s="64"/>
    </row>
    <row r="17" spans="1:31" s="51" customFormat="1" ht="147.75" customHeight="1" x14ac:dyDescent="0.3">
      <c r="A17" s="45"/>
      <c r="B17" s="319" t="s">
        <v>217</v>
      </c>
      <c r="C17" s="292" t="s">
        <v>111</v>
      </c>
      <c r="D17" s="293" t="s">
        <v>216</v>
      </c>
      <c r="E17" s="320">
        <v>44958</v>
      </c>
      <c r="F17" s="259" t="s">
        <v>136</v>
      </c>
      <c r="G17" s="321">
        <v>15</v>
      </c>
      <c r="H17" s="260">
        <f>I17/G17</f>
        <v>369.36666666666667</v>
      </c>
      <c r="I17" s="297">
        <v>5540.5</v>
      </c>
      <c r="J17" s="298">
        <v>0</v>
      </c>
      <c r="K17" s="299">
        <f>SUM(I17:J17)</f>
        <v>5540.5</v>
      </c>
      <c r="L17" s="300">
        <f>IF(I17/15&lt;=SMG,0,J17/2)</f>
        <v>0</v>
      </c>
      <c r="M17" s="300">
        <f t="shared" ref="M17" si="16">I17+L17</f>
        <v>5540.5</v>
      </c>
      <c r="N17" s="300">
        <f>VLOOKUP(M17,Tarifa1,1)</f>
        <v>5490.76</v>
      </c>
      <c r="O17" s="300">
        <f t="shared" ref="O17" si="17">M17-N17</f>
        <v>49.739999999999782</v>
      </c>
      <c r="P17" s="301">
        <f>VLOOKUP(M17,Tarifa1,3)</f>
        <v>0.16</v>
      </c>
      <c r="Q17" s="300">
        <f t="shared" ref="Q17" si="18">O17*P17</f>
        <v>7.9583999999999655</v>
      </c>
      <c r="R17" s="302">
        <f>VLOOKUP(M17,Tarifa1,2)</f>
        <v>441</v>
      </c>
      <c r="S17" s="300">
        <f t="shared" ref="S17" si="19">Q17+R17</f>
        <v>448.95839999999998</v>
      </c>
      <c r="T17" s="300">
        <f>VLOOKUP(M17,Credito1,2)</f>
        <v>0</v>
      </c>
      <c r="U17" s="300">
        <f t="shared" ref="U17" si="20">ROUND(S17-T17,2)</f>
        <v>448.96</v>
      </c>
      <c r="V17" s="299">
        <f>-IF(U17&gt;0,0,0)</f>
        <v>0</v>
      </c>
      <c r="W17" s="299">
        <f>IF(I17/15&lt;=SMG,0,IF(U17&lt;0,0,U17))</f>
        <v>448.96</v>
      </c>
      <c r="X17" s="303">
        <v>0</v>
      </c>
      <c r="Y17" s="299">
        <f>SUM(W17:X17)</f>
        <v>448.96</v>
      </c>
      <c r="Z17" s="299">
        <f>K17+V17-Y17</f>
        <v>5091.54</v>
      </c>
      <c r="AA17" s="322"/>
      <c r="AE17" s="64"/>
    </row>
    <row r="18" spans="1:31" s="51" customFormat="1" ht="147.75" customHeight="1" x14ac:dyDescent="0.3">
      <c r="A18" s="180"/>
      <c r="B18" s="250" t="s">
        <v>282</v>
      </c>
      <c r="C18" s="289" t="s">
        <v>111</v>
      </c>
      <c r="D18" s="188" t="s">
        <v>283</v>
      </c>
      <c r="E18" s="193">
        <v>45428</v>
      </c>
      <c r="F18" s="139" t="s">
        <v>284</v>
      </c>
      <c r="G18" s="140">
        <v>15</v>
      </c>
      <c r="H18" s="141"/>
      <c r="I18" s="272">
        <v>5434.83</v>
      </c>
      <c r="J18" s="273">
        <v>0</v>
      </c>
      <c r="K18" s="274">
        <f>SUM(I18:J18)</f>
        <v>5434.83</v>
      </c>
      <c r="L18" s="275">
        <f>IF(I18/15&lt;=SMG,0,J18/2)</f>
        <v>0</v>
      </c>
      <c r="M18" s="275">
        <f t="shared" ref="M18" si="21">I18+L18</f>
        <v>5434.83</v>
      </c>
      <c r="N18" s="275">
        <f>VLOOKUP(M18,Tarifa1,1)</f>
        <v>3124.36</v>
      </c>
      <c r="O18" s="275">
        <f t="shared" ref="O18" si="22">M18-N18</f>
        <v>2310.4699999999998</v>
      </c>
      <c r="P18" s="276">
        <f>VLOOKUP(M18,Tarifa1,3)</f>
        <v>0.10879999999999999</v>
      </c>
      <c r="Q18" s="275">
        <f t="shared" ref="Q18" si="23">O18*P18</f>
        <v>251.37913599999996</v>
      </c>
      <c r="R18" s="277">
        <f>VLOOKUP(M18,Tarifa1,2)</f>
        <v>183.45</v>
      </c>
      <c r="S18" s="275">
        <f t="shared" ref="S18" si="24">Q18+R18</f>
        <v>434.82913599999995</v>
      </c>
      <c r="T18" s="275">
        <f>VLOOKUP(M18,Credito1,2)</f>
        <v>0</v>
      </c>
      <c r="U18" s="275">
        <f t="shared" ref="U18" si="25">ROUND(S18-T18,2)</f>
        <v>434.83</v>
      </c>
      <c r="V18" s="274">
        <f>-IF(U18&gt;0,0,0)</f>
        <v>0</v>
      </c>
      <c r="W18" s="274">
        <f>IF(I18/15&lt;=SMG,0,IF(U18&lt;0,0,U18))</f>
        <v>434.83</v>
      </c>
      <c r="X18" s="278">
        <v>0</v>
      </c>
      <c r="Y18" s="274">
        <f>SUM(W18:X18)</f>
        <v>434.83</v>
      </c>
      <c r="Z18" s="274">
        <f>K18+V18-Y18</f>
        <v>5000</v>
      </c>
      <c r="AA18" s="90"/>
      <c r="AE18" s="64"/>
    </row>
    <row r="19" spans="1:31" s="51" customFormat="1" ht="57.75" customHeight="1" x14ac:dyDescent="0.3">
      <c r="A19" s="180"/>
      <c r="B19" s="178" t="s">
        <v>99</v>
      </c>
      <c r="C19" s="178" t="s">
        <v>118</v>
      </c>
      <c r="D19" s="309" t="s">
        <v>214</v>
      </c>
      <c r="E19" s="308" t="s">
        <v>221</v>
      </c>
      <c r="F19" s="309" t="s">
        <v>61</v>
      </c>
      <c r="G19" s="309"/>
      <c r="H19" s="309"/>
      <c r="I19" s="310">
        <f>SUM(I20:I23)</f>
        <v>21420.5</v>
      </c>
      <c r="J19" s="310">
        <f>SUM(J20:J23)</f>
        <v>0</v>
      </c>
      <c r="K19" s="310">
        <f>SUM(K20:K23)</f>
        <v>21420.5</v>
      </c>
      <c r="L19" s="310">
        <f t="shared" ref="L19:U19" si="26">SUM(L20)</f>
        <v>0</v>
      </c>
      <c r="M19" s="310">
        <f t="shared" si="26"/>
        <v>7688</v>
      </c>
      <c r="N19" s="310">
        <f t="shared" si="26"/>
        <v>7641.91</v>
      </c>
      <c r="O19" s="310">
        <f t="shared" si="26"/>
        <v>46.090000000000146</v>
      </c>
      <c r="P19" s="310">
        <f t="shared" si="26"/>
        <v>0.21360000000000001</v>
      </c>
      <c r="Q19" s="310">
        <f t="shared" si="26"/>
        <v>9.8448240000000311</v>
      </c>
      <c r="R19" s="310">
        <f t="shared" si="26"/>
        <v>809.25</v>
      </c>
      <c r="S19" s="310">
        <f t="shared" si="26"/>
        <v>819.09482400000002</v>
      </c>
      <c r="T19" s="310">
        <f t="shared" si="26"/>
        <v>0</v>
      </c>
      <c r="U19" s="310">
        <f t="shared" si="26"/>
        <v>819.09</v>
      </c>
      <c r="V19" s="310">
        <f>SUM(V20:V23)</f>
        <v>0</v>
      </c>
      <c r="W19" s="310">
        <f>SUM(W20:W23)</f>
        <v>1446.5900000000001</v>
      </c>
      <c r="X19" s="310">
        <f>SUM(X20:X23)</f>
        <v>0</v>
      </c>
      <c r="Y19" s="310">
        <f>SUM(Y20:Y23)</f>
        <v>1446.5900000000001</v>
      </c>
      <c r="Z19" s="310">
        <f>SUM(Z20:Z23)</f>
        <v>19973.91</v>
      </c>
      <c r="AA19" s="97"/>
      <c r="AE19" s="64"/>
    </row>
    <row r="20" spans="1:31" s="51" customFormat="1" ht="144.75" customHeight="1" x14ac:dyDescent="0.3">
      <c r="A20" s="180"/>
      <c r="B20" s="250" t="s">
        <v>211</v>
      </c>
      <c r="C20" s="289" t="s">
        <v>111</v>
      </c>
      <c r="D20" s="188" t="s">
        <v>212</v>
      </c>
      <c r="E20" s="290">
        <v>44805</v>
      </c>
      <c r="F20" s="187" t="s">
        <v>213</v>
      </c>
      <c r="G20" s="270"/>
      <c r="H20" s="271"/>
      <c r="I20" s="272">
        <v>7688</v>
      </c>
      <c r="J20" s="273">
        <v>0</v>
      </c>
      <c r="K20" s="274">
        <f t="shared" ref="K20" si="27">SUM(I20:J20)</f>
        <v>7688</v>
      </c>
      <c r="L20" s="275">
        <f t="shared" ref="L20" si="28">IF(I20/15&lt;=SMG,0,J20/2)</f>
        <v>0</v>
      </c>
      <c r="M20" s="275">
        <f t="shared" ref="M20" si="29">I20+L20</f>
        <v>7688</v>
      </c>
      <c r="N20" s="275">
        <f t="shared" ref="N20" si="30">VLOOKUP(M20,Tarifa1,1)</f>
        <v>7641.91</v>
      </c>
      <c r="O20" s="275">
        <f t="shared" ref="O20" si="31">M20-N20</f>
        <v>46.090000000000146</v>
      </c>
      <c r="P20" s="276">
        <f t="shared" ref="P20" si="32">VLOOKUP(M20,Tarifa1,3)</f>
        <v>0.21360000000000001</v>
      </c>
      <c r="Q20" s="275">
        <f t="shared" ref="Q20" si="33">O20*P20</f>
        <v>9.8448240000000311</v>
      </c>
      <c r="R20" s="277">
        <f t="shared" ref="R20" si="34">VLOOKUP(M20,Tarifa1,2)</f>
        <v>809.25</v>
      </c>
      <c r="S20" s="275">
        <f t="shared" ref="S20" si="35">Q20+R20</f>
        <v>819.09482400000002</v>
      </c>
      <c r="T20" s="275">
        <f t="shared" ref="T20" si="36">VLOOKUP(M20,Credito1,2)</f>
        <v>0</v>
      </c>
      <c r="U20" s="275">
        <f t="shared" ref="U20" si="37">ROUND(S20-T20,2)</f>
        <v>819.09</v>
      </c>
      <c r="V20" s="274">
        <f>-IF(U20&gt;0,0,0)</f>
        <v>0</v>
      </c>
      <c r="W20" s="274">
        <f t="shared" ref="W20" si="38">IF(I20/15&lt;=SMG,0,IF(U20&lt;0,0,U20))</f>
        <v>819.09</v>
      </c>
      <c r="X20" s="278">
        <v>0</v>
      </c>
      <c r="Y20" s="274">
        <f t="shared" ref="Y20" si="39">SUM(W20:X20)</f>
        <v>819.09</v>
      </c>
      <c r="Z20" s="274">
        <f t="shared" ref="Z20" si="40">K20+V20-Y20</f>
        <v>6868.91</v>
      </c>
      <c r="AA20" s="90"/>
      <c r="AE20" s="64"/>
    </row>
    <row r="21" spans="1:31" s="51" customFormat="1" ht="144.75" customHeight="1" x14ac:dyDescent="0.3">
      <c r="A21" s="180"/>
      <c r="B21" s="250" t="s">
        <v>249</v>
      </c>
      <c r="C21" s="289" t="s">
        <v>111</v>
      </c>
      <c r="D21" s="187" t="s">
        <v>250</v>
      </c>
      <c r="E21" s="283">
        <v>45154</v>
      </c>
      <c r="F21" s="187" t="s">
        <v>251</v>
      </c>
      <c r="G21" s="270"/>
      <c r="H21" s="271"/>
      <c r="I21" s="272">
        <v>3505</v>
      </c>
      <c r="J21" s="273">
        <v>0</v>
      </c>
      <c r="K21" s="274">
        <f t="shared" ref="K21" si="41">SUM(I21:J21)</f>
        <v>3505</v>
      </c>
      <c r="L21" s="275">
        <f t="shared" ref="L21" si="42">IF(I21/15&lt;=SMG,0,J21/2)</f>
        <v>0</v>
      </c>
      <c r="M21" s="275">
        <f t="shared" ref="M21" si="43">I21+L21</f>
        <v>3505</v>
      </c>
      <c r="N21" s="275">
        <f t="shared" ref="N21" si="44">VLOOKUP(M21,Tarifa1,1)</f>
        <v>3124.36</v>
      </c>
      <c r="O21" s="275">
        <f t="shared" ref="O21" si="45">M21-N21</f>
        <v>380.63999999999987</v>
      </c>
      <c r="P21" s="276">
        <f t="shared" ref="P21" si="46">VLOOKUP(M21,Tarifa1,3)</f>
        <v>0.10879999999999999</v>
      </c>
      <c r="Q21" s="275">
        <f t="shared" ref="Q21" si="47">O21*P21</f>
        <v>41.413631999999986</v>
      </c>
      <c r="R21" s="277">
        <f t="shared" ref="R21" si="48">VLOOKUP(M21,Tarifa1,2)</f>
        <v>183.45</v>
      </c>
      <c r="S21" s="275">
        <f t="shared" ref="S21" si="49">Q21+R21</f>
        <v>224.86363199999997</v>
      </c>
      <c r="T21" s="275">
        <f t="shared" ref="T21" si="50">VLOOKUP(M21,Credito1,2)</f>
        <v>195</v>
      </c>
      <c r="U21" s="275">
        <f t="shared" ref="U21" si="51">ROUND(S21-T21,2)</f>
        <v>29.86</v>
      </c>
      <c r="V21" s="274">
        <f>-IF(U21&gt;0,0,0)</f>
        <v>0</v>
      </c>
      <c r="W21" s="274">
        <f t="shared" ref="W21" si="52">IF(I21/15&lt;=SMG,0,IF(U21&lt;0,0,U21))</f>
        <v>0</v>
      </c>
      <c r="X21" s="278">
        <v>0</v>
      </c>
      <c r="Y21" s="274">
        <f t="shared" ref="Y21" si="53">SUM(W21:X21)</f>
        <v>0</v>
      </c>
      <c r="Z21" s="274">
        <f t="shared" ref="Z21" si="54">K21+V21-Y21</f>
        <v>3505</v>
      </c>
      <c r="AA21" s="90"/>
      <c r="AE21" s="64"/>
    </row>
    <row r="22" spans="1:31" s="51" customFormat="1" ht="144.75" customHeight="1" x14ac:dyDescent="0.3">
      <c r="A22" s="180"/>
      <c r="B22" s="250" t="s">
        <v>310</v>
      </c>
      <c r="C22" s="289" t="s">
        <v>111</v>
      </c>
      <c r="D22" s="188" t="s">
        <v>312</v>
      </c>
      <c r="E22" s="290">
        <v>45566</v>
      </c>
      <c r="F22" s="187" t="s">
        <v>382</v>
      </c>
      <c r="G22" s="270"/>
      <c r="H22" s="271"/>
      <c r="I22" s="272">
        <v>6627.5</v>
      </c>
      <c r="J22" s="273">
        <v>0</v>
      </c>
      <c r="K22" s="274">
        <f>SUM(I22:J22)</f>
        <v>6627.5</v>
      </c>
      <c r="L22" s="275">
        <f>IF(I22/15&lt;=SMG,0,J22/2)</f>
        <v>0</v>
      </c>
      <c r="M22" s="275">
        <f>I22+L22</f>
        <v>6627.5</v>
      </c>
      <c r="N22" s="275">
        <f>VLOOKUP(M22,Tarifa1,1)</f>
        <v>6382.81</v>
      </c>
      <c r="O22" s="275">
        <f>M22-N22</f>
        <v>244.6899999999996</v>
      </c>
      <c r="P22" s="276">
        <f>VLOOKUP(M22,Tarifa1,3)</f>
        <v>0.1792</v>
      </c>
      <c r="Q22" s="275">
        <f>O22*P22</f>
        <v>43.848447999999927</v>
      </c>
      <c r="R22" s="277">
        <f>VLOOKUP(M22,Tarifa1,2)</f>
        <v>583.65</v>
      </c>
      <c r="S22" s="275">
        <f>Q22+R22</f>
        <v>627.49844799999994</v>
      </c>
      <c r="T22" s="275">
        <f>VLOOKUP(M22,Credito1,2)</f>
        <v>0</v>
      </c>
      <c r="U22" s="275">
        <f>ROUND(S22-T22,2)</f>
        <v>627.5</v>
      </c>
      <c r="V22" s="274">
        <f>-IF(U22&gt;0,0,0)</f>
        <v>0</v>
      </c>
      <c r="W22" s="274">
        <f>IF(I22/15&lt;=SMG,0,IF(U22&lt;0,0,U22))</f>
        <v>627.5</v>
      </c>
      <c r="X22" s="278">
        <v>0</v>
      </c>
      <c r="Y22" s="274">
        <f>SUM(W22:X22)</f>
        <v>627.5</v>
      </c>
      <c r="Z22" s="274">
        <f>K22+V22-Y22</f>
        <v>6000</v>
      </c>
      <c r="AA22" s="90"/>
      <c r="AE22" s="64"/>
    </row>
    <row r="23" spans="1:31" s="51" customFormat="1" ht="144.75" customHeight="1" x14ac:dyDescent="0.3">
      <c r="A23" s="180"/>
      <c r="B23" s="250" t="s">
        <v>310</v>
      </c>
      <c r="C23" s="289" t="s">
        <v>111</v>
      </c>
      <c r="D23" s="188" t="s">
        <v>383</v>
      </c>
      <c r="E23" s="290">
        <v>45612</v>
      </c>
      <c r="F23" s="187" t="s">
        <v>311</v>
      </c>
      <c r="G23" s="270"/>
      <c r="H23" s="271"/>
      <c r="I23" s="272">
        <v>3600</v>
      </c>
      <c r="J23" s="273">
        <v>0</v>
      </c>
      <c r="K23" s="274">
        <f t="shared" ref="K23" si="55">SUM(I23:J23)</f>
        <v>3600</v>
      </c>
      <c r="L23" s="275">
        <f t="shared" ref="L23" si="56">IF(I23/15&lt;=SMG,0,J23/2)</f>
        <v>0</v>
      </c>
      <c r="M23" s="275">
        <f t="shared" ref="M23" si="57">I23+L23</f>
        <v>3600</v>
      </c>
      <c r="N23" s="275">
        <f t="shared" ref="N23" si="58">VLOOKUP(M23,Tarifa1,1)</f>
        <v>3124.36</v>
      </c>
      <c r="O23" s="275">
        <f t="shared" ref="O23" si="59">M23-N23</f>
        <v>475.63999999999987</v>
      </c>
      <c r="P23" s="276">
        <f t="shared" ref="P23" si="60">VLOOKUP(M23,Tarifa1,3)</f>
        <v>0.10879999999999999</v>
      </c>
      <c r="Q23" s="275">
        <f t="shared" ref="Q23" si="61">O23*P23</f>
        <v>51.749631999999984</v>
      </c>
      <c r="R23" s="277">
        <f t="shared" ref="R23" si="62">VLOOKUP(M23,Tarifa1,2)</f>
        <v>183.45</v>
      </c>
      <c r="S23" s="275">
        <f t="shared" ref="S23" si="63">Q23+R23</f>
        <v>235.19963199999998</v>
      </c>
      <c r="T23" s="275">
        <f t="shared" ref="T23" si="64">VLOOKUP(M23,Credito1,2)</f>
        <v>195</v>
      </c>
      <c r="U23" s="275">
        <f t="shared" ref="U23" si="65">ROUND(S23-T23,2)</f>
        <v>40.200000000000003</v>
      </c>
      <c r="V23" s="274">
        <f>-IF(U23&gt;0,0,0)</f>
        <v>0</v>
      </c>
      <c r="W23" s="274">
        <f t="shared" ref="W23" si="66">IF(I23/15&lt;=SMG,0,IF(U23&lt;0,0,U23))</f>
        <v>0</v>
      </c>
      <c r="X23" s="278">
        <v>0</v>
      </c>
      <c r="Y23" s="274">
        <f t="shared" ref="Y23" si="67">SUM(W23:X23)</f>
        <v>0</v>
      </c>
      <c r="Z23" s="274">
        <f t="shared" ref="Z23" si="68">K23+V23-Y23</f>
        <v>3600</v>
      </c>
      <c r="AA23" s="90"/>
      <c r="AE23" s="64"/>
    </row>
    <row r="24" spans="1:31" s="51" customFormat="1" ht="60.75" customHeight="1" x14ac:dyDescent="0.3">
      <c r="A24" s="180"/>
      <c r="B24" s="178" t="s">
        <v>99</v>
      </c>
      <c r="C24" s="178" t="s">
        <v>118</v>
      </c>
      <c r="D24" s="309" t="s">
        <v>238</v>
      </c>
      <c r="E24" s="308" t="s">
        <v>221</v>
      </c>
      <c r="F24" s="309" t="s">
        <v>61</v>
      </c>
      <c r="G24" s="309"/>
      <c r="H24" s="309"/>
      <c r="I24" s="310">
        <f>I25+I26+I27</f>
        <v>19974.5</v>
      </c>
      <c r="J24" s="310">
        <f t="shared" ref="J24:Z24" si="69">J25+J26+J27</f>
        <v>0</v>
      </c>
      <c r="K24" s="310">
        <f t="shared" si="69"/>
        <v>19974.5</v>
      </c>
      <c r="L24" s="310">
        <f t="shared" si="69"/>
        <v>0</v>
      </c>
      <c r="M24" s="310">
        <f t="shared" si="69"/>
        <v>19974.5</v>
      </c>
      <c r="N24" s="310">
        <f t="shared" si="69"/>
        <v>17149.080000000002</v>
      </c>
      <c r="O24" s="310">
        <f t="shared" si="69"/>
        <v>2825.4199999999996</v>
      </c>
      <c r="P24" s="310">
        <f t="shared" si="69"/>
        <v>0.50160000000000005</v>
      </c>
      <c r="Q24" s="310">
        <f t="shared" si="69"/>
        <v>482.24650399999996</v>
      </c>
      <c r="R24" s="310">
        <f t="shared" si="69"/>
        <v>1576.3500000000001</v>
      </c>
      <c r="S24" s="310">
        <f t="shared" si="69"/>
        <v>2058.5965040000001</v>
      </c>
      <c r="T24" s="310">
        <f t="shared" si="69"/>
        <v>195</v>
      </c>
      <c r="U24" s="310">
        <f t="shared" si="69"/>
        <v>1863.6</v>
      </c>
      <c r="V24" s="310">
        <f t="shared" si="69"/>
        <v>0</v>
      </c>
      <c r="W24" s="310">
        <f t="shared" si="69"/>
        <v>1863.6</v>
      </c>
      <c r="X24" s="310">
        <f t="shared" si="69"/>
        <v>0</v>
      </c>
      <c r="Y24" s="310">
        <f t="shared" si="69"/>
        <v>1863.6</v>
      </c>
      <c r="Z24" s="310">
        <f t="shared" si="69"/>
        <v>18110.900000000001</v>
      </c>
      <c r="AA24" s="97"/>
      <c r="AE24" s="64"/>
    </row>
    <row r="25" spans="1:31" s="51" customFormat="1" ht="144" customHeight="1" x14ac:dyDescent="0.3">
      <c r="A25" s="180"/>
      <c r="B25" s="250" t="s">
        <v>252</v>
      </c>
      <c r="C25" s="289" t="s">
        <v>111</v>
      </c>
      <c r="D25" s="188" t="s">
        <v>253</v>
      </c>
      <c r="E25" s="290">
        <v>45170</v>
      </c>
      <c r="F25" s="187" t="s">
        <v>257</v>
      </c>
      <c r="G25" s="270"/>
      <c r="H25" s="271"/>
      <c r="I25" s="272">
        <v>7223.5</v>
      </c>
      <c r="J25" s="273">
        <v>0</v>
      </c>
      <c r="K25" s="274">
        <f>SUM(I25:J25)</f>
        <v>7223.5</v>
      </c>
      <c r="L25" s="275">
        <f>IF(I25/15&lt;=SMG,0,J25/2)</f>
        <v>0</v>
      </c>
      <c r="M25" s="275">
        <f>I25+L25</f>
        <v>7223.5</v>
      </c>
      <c r="N25" s="275">
        <f>VLOOKUP(M25,Tarifa1,1)</f>
        <v>6382.81</v>
      </c>
      <c r="O25" s="275">
        <f>M25-N25</f>
        <v>840.6899999999996</v>
      </c>
      <c r="P25" s="276">
        <f>VLOOKUP(M25,Tarifa1,3)</f>
        <v>0.1792</v>
      </c>
      <c r="Q25" s="275">
        <f>O25*P25</f>
        <v>150.65164799999994</v>
      </c>
      <c r="R25" s="277">
        <f>VLOOKUP(M25,Tarifa1,2)</f>
        <v>583.65</v>
      </c>
      <c r="S25" s="275">
        <f>Q25+R25</f>
        <v>734.30164799999989</v>
      </c>
      <c r="T25" s="275">
        <f>VLOOKUP(M25,Credito1,2)</f>
        <v>0</v>
      </c>
      <c r="U25" s="275">
        <f>ROUND(S25-T25,2)</f>
        <v>734.3</v>
      </c>
      <c r="V25" s="274">
        <f>-IF(U25&gt;0,0,0)</f>
        <v>0</v>
      </c>
      <c r="W25" s="274">
        <f>IF(I25/15&lt;=SMG,0,IF(U25&lt;0,0,U25))</f>
        <v>734.3</v>
      </c>
      <c r="X25" s="278">
        <v>0</v>
      </c>
      <c r="Y25" s="274">
        <f>SUM(W25:X25)</f>
        <v>734.3</v>
      </c>
      <c r="Z25" s="274">
        <f>K25+V25-Y25</f>
        <v>6489.2</v>
      </c>
      <c r="AA25" s="90"/>
      <c r="AE25" s="64"/>
    </row>
    <row r="26" spans="1:31" s="51" customFormat="1" ht="144" customHeight="1" x14ac:dyDescent="0.3">
      <c r="A26" s="180"/>
      <c r="B26" s="250" t="s">
        <v>246</v>
      </c>
      <c r="C26" s="289" t="s">
        <v>111</v>
      </c>
      <c r="D26" s="188" t="s">
        <v>239</v>
      </c>
      <c r="E26" s="290">
        <v>45108</v>
      </c>
      <c r="F26" s="187" t="s">
        <v>240</v>
      </c>
      <c r="G26" s="270"/>
      <c r="H26" s="271"/>
      <c r="I26" s="272">
        <v>8745.5</v>
      </c>
      <c r="J26" s="273">
        <v>0</v>
      </c>
      <c r="K26" s="274">
        <f t="shared" ref="K26" si="70">SUM(I26:J26)</f>
        <v>8745.5</v>
      </c>
      <c r="L26" s="275">
        <f t="shared" ref="L26" si="71">IF(I26/15&lt;=SMG,0,J26/2)</f>
        <v>0</v>
      </c>
      <c r="M26" s="275">
        <f t="shared" ref="M26:M27" si="72">I26+L26</f>
        <v>8745.5</v>
      </c>
      <c r="N26" s="275">
        <f t="shared" ref="N26" si="73">VLOOKUP(M26,Tarifa1,1)</f>
        <v>7641.91</v>
      </c>
      <c r="O26" s="275">
        <f t="shared" ref="O26:O27" si="74">M26-N26</f>
        <v>1103.5900000000001</v>
      </c>
      <c r="P26" s="276">
        <f t="shared" ref="P26" si="75">VLOOKUP(M26,Tarifa1,3)</f>
        <v>0.21360000000000001</v>
      </c>
      <c r="Q26" s="275">
        <f t="shared" ref="Q26:Q27" si="76">O26*P26</f>
        <v>235.72682400000005</v>
      </c>
      <c r="R26" s="277">
        <f t="shared" ref="R26" si="77">VLOOKUP(M26,Tarifa1,2)</f>
        <v>809.25</v>
      </c>
      <c r="S26" s="275">
        <f t="shared" ref="S26:S27" si="78">Q26+R26</f>
        <v>1044.9768240000001</v>
      </c>
      <c r="T26" s="275">
        <f t="shared" ref="T26" si="79">VLOOKUP(M26,Credito1,2)</f>
        <v>0</v>
      </c>
      <c r="U26" s="275">
        <f t="shared" ref="U26:U27" si="80">ROUND(S26-T26,2)</f>
        <v>1044.98</v>
      </c>
      <c r="V26" s="274">
        <f>-IF(U26&gt;0,0,0)</f>
        <v>0</v>
      </c>
      <c r="W26" s="274">
        <f t="shared" ref="W26" si="81">IF(I26/15&lt;=SMG,0,IF(U26&lt;0,0,U26))</f>
        <v>1044.98</v>
      </c>
      <c r="X26" s="278">
        <v>0</v>
      </c>
      <c r="Y26" s="274">
        <f t="shared" ref="Y26" si="82">SUM(W26:X26)</f>
        <v>1044.98</v>
      </c>
      <c r="Z26" s="274">
        <f t="shared" ref="Z26" si="83">K26+V26-Y26</f>
        <v>7700.52</v>
      </c>
      <c r="AA26" s="90"/>
      <c r="AE26" s="64"/>
    </row>
    <row r="27" spans="1:31" s="51" customFormat="1" ht="144" customHeight="1" x14ac:dyDescent="0.3">
      <c r="A27" s="180"/>
      <c r="B27" s="250" t="s">
        <v>258</v>
      </c>
      <c r="C27" s="289" t="s">
        <v>111</v>
      </c>
      <c r="D27" s="188" t="s">
        <v>260</v>
      </c>
      <c r="E27" s="290">
        <v>45200</v>
      </c>
      <c r="F27" s="187" t="s">
        <v>261</v>
      </c>
      <c r="G27" s="270"/>
      <c r="H27" s="271"/>
      <c r="I27" s="272">
        <v>4005.5</v>
      </c>
      <c r="J27" s="273">
        <v>0</v>
      </c>
      <c r="K27" s="274">
        <f>SUM(I27:J27)</f>
        <v>4005.5</v>
      </c>
      <c r="L27" s="275">
        <f>IF(I27/15&lt;=SMG,0,J27/2)</f>
        <v>0</v>
      </c>
      <c r="M27" s="275">
        <f t="shared" si="72"/>
        <v>4005.5</v>
      </c>
      <c r="N27" s="275">
        <f>VLOOKUP(M27,Tarifa1,1)</f>
        <v>3124.36</v>
      </c>
      <c r="O27" s="275">
        <f t="shared" si="74"/>
        <v>881.13999999999987</v>
      </c>
      <c r="P27" s="276">
        <f>VLOOKUP(M27,Tarifa1,3)</f>
        <v>0.10879999999999999</v>
      </c>
      <c r="Q27" s="275">
        <f t="shared" si="76"/>
        <v>95.868031999999985</v>
      </c>
      <c r="R27" s="277">
        <f>VLOOKUP(M27,Tarifa1,2)</f>
        <v>183.45</v>
      </c>
      <c r="S27" s="275">
        <f t="shared" si="78"/>
        <v>279.31803199999996</v>
      </c>
      <c r="T27" s="275">
        <f>VLOOKUP(M27,Credito1,2)</f>
        <v>195</v>
      </c>
      <c r="U27" s="275">
        <f t="shared" si="80"/>
        <v>84.32</v>
      </c>
      <c r="V27" s="274">
        <f>-IF(U27&gt;0,0,0)</f>
        <v>0</v>
      </c>
      <c r="W27" s="274">
        <f>IF(I27/15&lt;=SMG,0,IF(U27&lt;0,0,U27))</f>
        <v>84.32</v>
      </c>
      <c r="X27" s="278">
        <v>0</v>
      </c>
      <c r="Y27" s="274">
        <f>SUM(W27:X27)</f>
        <v>84.32</v>
      </c>
      <c r="Z27" s="274">
        <f>K27+V27-Y27</f>
        <v>3921.18</v>
      </c>
      <c r="AA27" s="90"/>
      <c r="AE27" s="64"/>
    </row>
    <row r="28" spans="1:31" s="51" customFormat="1" ht="63" customHeight="1" x14ac:dyDescent="0.25">
      <c r="A28" s="180"/>
      <c r="B28" s="178" t="s">
        <v>99</v>
      </c>
      <c r="C28" s="178" t="s">
        <v>118</v>
      </c>
      <c r="D28" s="178" t="s">
        <v>329</v>
      </c>
      <c r="E28" s="178" t="s">
        <v>221</v>
      </c>
      <c r="F28" s="213" t="s">
        <v>61</v>
      </c>
      <c r="G28" s="213"/>
      <c r="H28" s="213"/>
      <c r="I28" s="214">
        <f>SUM(I29)</f>
        <v>6026.76</v>
      </c>
      <c r="J28" s="214">
        <f>SUM(J29)</f>
        <v>0</v>
      </c>
      <c r="K28" s="214">
        <f>SUM(K29)</f>
        <v>6026.76</v>
      </c>
      <c r="L28" s="213"/>
      <c r="M28" s="213"/>
      <c r="N28" s="213"/>
      <c r="O28" s="213"/>
      <c r="P28" s="213"/>
      <c r="Q28" s="213"/>
      <c r="R28" s="216"/>
      <c r="S28" s="213"/>
      <c r="T28" s="213"/>
      <c r="U28" s="213"/>
      <c r="V28" s="214">
        <f>SUM(V29)</f>
        <v>0</v>
      </c>
      <c r="W28" s="214">
        <f>SUM(W29)</f>
        <v>526.76</v>
      </c>
      <c r="X28" s="214">
        <f>SUM(X29)</f>
        <v>0</v>
      </c>
      <c r="Y28" s="214">
        <f>SUM(Y29)</f>
        <v>526.76</v>
      </c>
      <c r="Z28" s="214">
        <f>SUM(Z29)</f>
        <v>5500</v>
      </c>
      <c r="AA28" s="217"/>
      <c r="AE28" s="64"/>
    </row>
    <row r="29" spans="1:31" s="51" customFormat="1" ht="145.5" customHeight="1" x14ac:dyDescent="0.3">
      <c r="A29" s="180"/>
      <c r="B29" s="250" t="s">
        <v>330</v>
      </c>
      <c r="C29" s="289" t="s">
        <v>111</v>
      </c>
      <c r="D29" s="187" t="s">
        <v>331</v>
      </c>
      <c r="E29" s="283">
        <v>45566</v>
      </c>
      <c r="F29" s="187" t="s">
        <v>332</v>
      </c>
      <c r="G29" s="270">
        <v>15</v>
      </c>
      <c r="H29" s="271">
        <f t="shared" ref="H29" si="84">I29/G29</f>
        <v>401.78399999999999</v>
      </c>
      <c r="I29" s="272">
        <v>6026.76</v>
      </c>
      <c r="J29" s="273">
        <v>0</v>
      </c>
      <c r="K29" s="274">
        <f>SUM(I29:J29)</f>
        <v>6026.76</v>
      </c>
      <c r="L29" s="275">
        <f>IF(I29/15&lt;=SMG,0,J29/2)</f>
        <v>0</v>
      </c>
      <c r="M29" s="275">
        <f t="shared" ref="M29" si="85">I29+L29</f>
        <v>6026.76</v>
      </c>
      <c r="N29" s="275">
        <f>VLOOKUP(M29,Tarifa1,1)</f>
        <v>5490.76</v>
      </c>
      <c r="O29" s="275">
        <f t="shared" ref="O29" si="86">M29-N29</f>
        <v>536</v>
      </c>
      <c r="P29" s="276">
        <f>VLOOKUP(M29,Tarifa1,3)</f>
        <v>0.16</v>
      </c>
      <c r="Q29" s="275">
        <f t="shared" ref="Q29" si="87">O29*P29</f>
        <v>85.76</v>
      </c>
      <c r="R29" s="277">
        <f>VLOOKUP(M29,Tarifa1,2)</f>
        <v>441</v>
      </c>
      <c r="S29" s="275">
        <f t="shared" ref="S29" si="88">Q29+R29</f>
        <v>526.76</v>
      </c>
      <c r="T29" s="275">
        <f>VLOOKUP(M29,Credito1,2)</f>
        <v>0</v>
      </c>
      <c r="U29" s="275">
        <f t="shared" ref="U29" si="89">ROUND(S29-T29,2)</f>
        <v>526.76</v>
      </c>
      <c r="V29" s="274">
        <f>-IF(U29&gt;0,0,0)</f>
        <v>0</v>
      </c>
      <c r="W29" s="274">
        <f>IF(I29/15&lt;=SMG,0,IF(U29&lt;0,0,U29))</f>
        <v>526.76</v>
      </c>
      <c r="X29" s="278">
        <v>0</v>
      </c>
      <c r="Y29" s="274">
        <f>SUM(W29:X29)</f>
        <v>526.76</v>
      </c>
      <c r="Z29" s="274">
        <f>K29+V29-Y29</f>
        <v>5500</v>
      </c>
      <c r="AA29" s="108"/>
      <c r="AE29" s="64"/>
    </row>
    <row r="30" spans="1:31" s="109" customFormat="1" ht="71.25" customHeight="1" x14ac:dyDescent="0.3">
      <c r="A30" s="137"/>
      <c r="B30" s="253" t="s">
        <v>99</v>
      </c>
      <c r="C30" s="253" t="s">
        <v>118</v>
      </c>
      <c r="D30" s="313" t="s">
        <v>122</v>
      </c>
      <c r="E30" s="313" t="s">
        <v>221</v>
      </c>
      <c r="F30" s="314" t="s">
        <v>61</v>
      </c>
      <c r="G30" s="314"/>
      <c r="H30" s="314"/>
      <c r="I30" s="315">
        <f>SUM(I31)</f>
        <v>6026.76</v>
      </c>
      <c r="J30" s="315">
        <f>SUM(J31)</f>
        <v>0</v>
      </c>
      <c r="K30" s="315">
        <f>SUM(K31)</f>
        <v>6026.76</v>
      </c>
      <c r="L30" s="314"/>
      <c r="M30" s="314"/>
      <c r="N30" s="314"/>
      <c r="O30" s="314"/>
      <c r="P30" s="314"/>
      <c r="Q30" s="314"/>
      <c r="R30" s="316"/>
      <c r="S30" s="314"/>
      <c r="T30" s="314"/>
      <c r="U30" s="314"/>
      <c r="V30" s="315">
        <f>SUM(V31)</f>
        <v>0</v>
      </c>
      <c r="W30" s="315">
        <f>SUM(W31)</f>
        <v>526.76</v>
      </c>
      <c r="X30" s="315">
        <f>SUM(X31)</f>
        <v>0</v>
      </c>
      <c r="Y30" s="315">
        <f>SUM(Y31)</f>
        <v>526.76</v>
      </c>
      <c r="Z30" s="315">
        <f>SUM(Z31)</f>
        <v>5500</v>
      </c>
      <c r="AA30" s="215"/>
      <c r="AE30" s="218"/>
    </row>
    <row r="31" spans="1:31" s="109" customFormat="1" ht="145.5" customHeight="1" x14ac:dyDescent="0.3">
      <c r="A31" s="137" t="s">
        <v>89</v>
      </c>
      <c r="B31" s="250" t="s">
        <v>325</v>
      </c>
      <c r="C31" s="289" t="s">
        <v>111</v>
      </c>
      <c r="D31" s="187" t="s">
        <v>324</v>
      </c>
      <c r="E31" s="283">
        <v>45566</v>
      </c>
      <c r="F31" s="187" t="s">
        <v>98</v>
      </c>
      <c r="G31" s="270">
        <v>15</v>
      </c>
      <c r="H31" s="271">
        <f t="shared" si="1"/>
        <v>401.78399999999999</v>
      </c>
      <c r="I31" s="272">
        <v>6026.76</v>
      </c>
      <c r="J31" s="273">
        <v>0</v>
      </c>
      <c r="K31" s="274">
        <f>SUM(I31:J31)</f>
        <v>6026.76</v>
      </c>
      <c r="L31" s="275">
        <f>IF(I31/15&lt;=SMG,0,J31/2)</f>
        <v>0</v>
      </c>
      <c r="M31" s="275">
        <f t="shared" ref="M31" si="90">I31+L31</f>
        <v>6026.76</v>
      </c>
      <c r="N31" s="275">
        <f>VLOOKUP(M31,Tarifa1,1)</f>
        <v>5490.76</v>
      </c>
      <c r="O31" s="275">
        <f t="shared" ref="O31" si="91">M31-N31</f>
        <v>536</v>
      </c>
      <c r="P31" s="276">
        <f>VLOOKUP(M31,Tarifa1,3)</f>
        <v>0.16</v>
      </c>
      <c r="Q31" s="275">
        <f t="shared" ref="Q31" si="92">O31*P31</f>
        <v>85.76</v>
      </c>
      <c r="R31" s="277">
        <f>VLOOKUP(M31,Tarifa1,2)</f>
        <v>441</v>
      </c>
      <c r="S31" s="275">
        <f t="shared" ref="S31" si="93">Q31+R31</f>
        <v>526.76</v>
      </c>
      <c r="T31" s="275">
        <f>VLOOKUP(M31,Credito1,2)</f>
        <v>0</v>
      </c>
      <c r="U31" s="275">
        <f t="shared" ref="U31" si="94">ROUND(S31-T31,2)</f>
        <v>526.76</v>
      </c>
      <c r="V31" s="274">
        <f>-IF(U31&gt;0,0,0)</f>
        <v>0</v>
      </c>
      <c r="W31" s="274">
        <f>IF(I31/15&lt;=SMG,0,IF(U31&lt;0,0,U31))</f>
        <v>526.76</v>
      </c>
      <c r="X31" s="278">
        <v>0</v>
      </c>
      <c r="Y31" s="274">
        <f>SUM(W31:X31)</f>
        <v>526.76</v>
      </c>
      <c r="Z31" s="274">
        <f>K31+V31-Y31</f>
        <v>5500</v>
      </c>
      <c r="AA31" s="108"/>
      <c r="AE31" s="218"/>
    </row>
    <row r="32" spans="1:31" s="109" customFormat="1" ht="57.75" customHeight="1" x14ac:dyDescent="0.3">
      <c r="A32" s="195"/>
      <c r="B32" s="178" t="s">
        <v>99</v>
      </c>
      <c r="C32" s="178" t="s">
        <v>118</v>
      </c>
      <c r="D32" s="309" t="s">
        <v>137</v>
      </c>
      <c r="E32" s="308" t="s">
        <v>221</v>
      </c>
      <c r="F32" s="309" t="s">
        <v>61</v>
      </c>
      <c r="G32" s="309"/>
      <c r="H32" s="309"/>
      <c r="I32" s="310">
        <f>SUM(I33:I35)</f>
        <v>19405.5</v>
      </c>
      <c r="J32" s="310">
        <f>SUM(J33:J35)</f>
        <v>0</v>
      </c>
      <c r="K32" s="310">
        <f>SUM(K33:K35)</f>
        <v>19405.5</v>
      </c>
      <c r="L32" s="309"/>
      <c r="M32" s="309"/>
      <c r="N32" s="309"/>
      <c r="O32" s="309"/>
      <c r="P32" s="309"/>
      <c r="Q32" s="309"/>
      <c r="R32" s="311"/>
      <c r="S32" s="309"/>
      <c r="T32" s="309"/>
      <c r="U32" s="309"/>
      <c r="V32" s="310">
        <f>SUM(V33:V35)</f>
        <v>0</v>
      </c>
      <c r="W32" s="310">
        <f>SUM(W33:W35)</f>
        <v>1851.6</v>
      </c>
      <c r="X32" s="310">
        <f>SUM(X33:X35)</f>
        <v>0</v>
      </c>
      <c r="Y32" s="310">
        <f>SUM(Y33:Y35)</f>
        <v>1851.6</v>
      </c>
      <c r="Z32" s="310">
        <f>SUM(Z33:Z35)</f>
        <v>17553.900000000001</v>
      </c>
      <c r="AA32" s="217"/>
    </row>
    <row r="33" spans="1:27" s="109" customFormat="1" ht="145.5" customHeight="1" x14ac:dyDescent="0.3">
      <c r="A33" s="195"/>
      <c r="B33" s="250" t="s">
        <v>146</v>
      </c>
      <c r="C33" s="289" t="s">
        <v>111</v>
      </c>
      <c r="D33" s="187" t="s">
        <v>139</v>
      </c>
      <c r="E33" s="290">
        <v>43101</v>
      </c>
      <c r="F33" s="187" t="s">
        <v>322</v>
      </c>
      <c r="G33" s="270">
        <v>15</v>
      </c>
      <c r="H33" s="271">
        <f>I33/G33</f>
        <v>481.56666666666666</v>
      </c>
      <c r="I33" s="272">
        <v>7223.5</v>
      </c>
      <c r="J33" s="273">
        <v>0</v>
      </c>
      <c r="K33" s="274">
        <f>SUM(I33:J33)</f>
        <v>7223.5</v>
      </c>
      <c r="L33" s="275">
        <f>IF(I33/15&lt;=SMG,0,J33/2)</f>
        <v>0</v>
      </c>
      <c r="M33" s="275">
        <f t="shared" ref="M33:M34" si="95">I33+L33</f>
        <v>7223.5</v>
      </c>
      <c r="N33" s="275">
        <f>VLOOKUP(M33,Tarifa1,1)</f>
        <v>6382.81</v>
      </c>
      <c r="O33" s="275">
        <f t="shared" ref="O33:O34" si="96">M33-N33</f>
        <v>840.6899999999996</v>
      </c>
      <c r="P33" s="276">
        <f>VLOOKUP(M33,Tarifa1,3)</f>
        <v>0.1792</v>
      </c>
      <c r="Q33" s="275">
        <f t="shared" ref="Q33:Q34" si="97">O33*P33</f>
        <v>150.65164799999994</v>
      </c>
      <c r="R33" s="277">
        <f>VLOOKUP(M33,Tarifa1,2)</f>
        <v>583.65</v>
      </c>
      <c r="S33" s="275">
        <f t="shared" ref="S33:S34" si="98">Q33+R33</f>
        <v>734.30164799999989</v>
      </c>
      <c r="T33" s="275">
        <f>VLOOKUP(M33,Credito1,2)</f>
        <v>0</v>
      </c>
      <c r="U33" s="275">
        <f t="shared" ref="U33:U34" si="99">ROUND(S33-T33,2)</f>
        <v>734.3</v>
      </c>
      <c r="V33" s="274">
        <f>-IF(U33&gt;0,0,0)</f>
        <v>0</v>
      </c>
      <c r="W33" s="274">
        <f>IF(I33/15&lt;=SMG,0,IF(U33&lt;0,0,U33))</f>
        <v>734.3</v>
      </c>
      <c r="X33" s="278">
        <v>0</v>
      </c>
      <c r="Y33" s="274">
        <f>SUM(W33:X33)</f>
        <v>734.3</v>
      </c>
      <c r="Z33" s="274">
        <f>K33+V33-Y33</f>
        <v>6489.2</v>
      </c>
      <c r="AA33" s="176"/>
    </row>
    <row r="34" spans="1:27" s="109" customFormat="1" ht="145.5" customHeight="1" x14ac:dyDescent="0.3">
      <c r="A34" s="195"/>
      <c r="B34" s="250" t="s">
        <v>327</v>
      </c>
      <c r="C34" s="289" t="s">
        <v>111</v>
      </c>
      <c r="D34" s="187" t="s">
        <v>326</v>
      </c>
      <c r="E34" s="290">
        <v>45292</v>
      </c>
      <c r="F34" s="187" t="s">
        <v>140</v>
      </c>
      <c r="G34" s="270">
        <v>15</v>
      </c>
      <c r="H34" s="271">
        <f>I34/G34</f>
        <v>481.56666666666666</v>
      </c>
      <c r="I34" s="272">
        <v>7223.5</v>
      </c>
      <c r="J34" s="273">
        <v>0</v>
      </c>
      <c r="K34" s="274">
        <f>SUM(I34:J34)</f>
        <v>7223.5</v>
      </c>
      <c r="L34" s="275">
        <f>IF(I34/15&lt;=SMG,0,J34/2)</f>
        <v>0</v>
      </c>
      <c r="M34" s="275">
        <f t="shared" si="95"/>
        <v>7223.5</v>
      </c>
      <c r="N34" s="275">
        <f>VLOOKUP(M34,Tarifa1,1)</f>
        <v>6382.81</v>
      </c>
      <c r="O34" s="275">
        <f t="shared" si="96"/>
        <v>840.6899999999996</v>
      </c>
      <c r="P34" s="276">
        <f>VLOOKUP(M34,Tarifa1,3)</f>
        <v>0.1792</v>
      </c>
      <c r="Q34" s="275">
        <f t="shared" si="97"/>
        <v>150.65164799999994</v>
      </c>
      <c r="R34" s="277">
        <f>VLOOKUP(M34,Tarifa1,2)</f>
        <v>583.65</v>
      </c>
      <c r="S34" s="275">
        <f t="shared" si="98"/>
        <v>734.30164799999989</v>
      </c>
      <c r="T34" s="275">
        <f>VLOOKUP(M34,Credito1,2)</f>
        <v>0</v>
      </c>
      <c r="U34" s="275">
        <f t="shared" si="99"/>
        <v>734.3</v>
      </c>
      <c r="V34" s="274">
        <f>-IF(U34&gt;0,0,0)</f>
        <v>0</v>
      </c>
      <c r="W34" s="274">
        <f>IF(I34/15&lt;=SMG,0,IF(U34&lt;0,0,U34))</f>
        <v>734.3</v>
      </c>
      <c r="X34" s="278">
        <v>0</v>
      </c>
      <c r="Y34" s="274">
        <f>SUM(W34:X34)</f>
        <v>734.3</v>
      </c>
      <c r="Z34" s="274">
        <f>K34+V34-Y34</f>
        <v>6489.2</v>
      </c>
      <c r="AA34" s="148"/>
    </row>
    <row r="35" spans="1:27" s="109" customFormat="1" ht="145.5" customHeight="1" x14ac:dyDescent="0.3">
      <c r="A35" s="195"/>
      <c r="B35" s="250" t="s">
        <v>143</v>
      </c>
      <c r="C35" s="289" t="s">
        <v>111</v>
      </c>
      <c r="D35" s="229" t="s">
        <v>131</v>
      </c>
      <c r="E35" s="283">
        <v>43374</v>
      </c>
      <c r="F35" s="187" t="s">
        <v>323</v>
      </c>
      <c r="G35" s="270">
        <v>15</v>
      </c>
      <c r="H35" s="271">
        <v>341.11</v>
      </c>
      <c r="I35" s="272">
        <v>4958.5</v>
      </c>
      <c r="J35" s="273">
        <v>0</v>
      </c>
      <c r="K35" s="274">
        <f>SUM(I35:J35)</f>
        <v>4958.5</v>
      </c>
      <c r="L35" s="275">
        <f>IF(I35/15&lt;=SMG,0,J35/2)</f>
        <v>0</v>
      </c>
      <c r="M35" s="275">
        <f>I35+L35</f>
        <v>4958.5</v>
      </c>
      <c r="N35" s="275">
        <f>VLOOKUP(M35,Tarifa1,1)</f>
        <v>3124.36</v>
      </c>
      <c r="O35" s="275">
        <f>M35-N35</f>
        <v>1834.1399999999999</v>
      </c>
      <c r="P35" s="276">
        <f>VLOOKUP(M35,Tarifa1,3)</f>
        <v>0.10879999999999999</v>
      </c>
      <c r="Q35" s="275">
        <f>O35*P35</f>
        <v>199.55443199999996</v>
      </c>
      <c r="R35" s="277">
        <f>VLOOKUP(M35,Tarifa1,2)</f>
        <v>183.45</v>
      </c>
      <c r="S35" s="275">
        <f>Q35+R35</f>
        <v>383.00443199999995</v>
      </c>
      <c r="T35" s="275">
        <f>VLOOKUP(M35,Credito1,2)</f>
        <v>0</v>
      </c>
      <c r="U35" s="275">
        <f>ROUND(S35-T35,2)</f>
        <v>383</v>
      </c>
      <c r="V35" s="274">
        <f>-IF(U35&gt;0,0,0)</f>
        <v>0</v>
      </c>
      <c r="W35" s="274">
        <f>IF(I35/15&lt;=SMG,0,IF(U35&lt;0,0,U35))</f>
        <v>383</v>
      </c>
      <c r="X35" s="278">
        <v>0</v>
      </c>
      <c r="Y35" s="274">
        <f>SUM(W35:X35)</f>
        <v>383</v>
      </c>
      <c r="Z35" s="274">
        <f>K35+V35-Y35</f>
        <v>4575.5</v>
      </c>
      <c r="AA35" s="108"/>
    </row>
    <row r="36" spans="1:27" s="109" customFormat="1" ht="145.5" customHeight="1" x14ac:dyDescent="0.3">
      <c r="A36" s="195"/>
      <c r="B36" s="178" t="s">
        <v>99</v>
      </c>
      <c r="C36" s="178" t="s">
        <v>118</v>
      </c>
      <c r="D36" s="308" t="s">
        <v>385</v>
      </c>
      <c r="E36" s="308" t="s">
        <v>221</v>
      </c>
      <c r="F36" s="309" t="s">
        <v>61</v>
      </c>
      <c r="G36" s="270"/>
      <c r="H36" s="271"/>
      <c r="I36" s="334">
        <v>7851.5</v>
      </c>
      <c r="J36" s="335">
        <v>0</v>
      </c>
      <c r="K36" s="334">
        <f t="shared" ref="K36" si="100">SUM(I36:J36)</f>
        <v>7851.5</v>
      </c>
      <c r="L36" s="334">
        <f t="shared" ref="L36" si="101">IF(I36/15&lt;=SMG,0,J36/2)</f>
        <v>0</v>
      </c>
      <c r="M36" s="334">
        <f t="shared" ref="M36" si="102">I36+L36</f>
        <v>7851.5</v>
      </c>
      <c r="N36" s="334">
        <f t="shared" ref="N36" si="103">VLOOKUP(M36,Tarifa1,1)</f>
        <v>7641.91</v>
      </c>
      <c r="O36" s="334">
        <f t="shared" ref="O36" si="104">M36-N36</f>
        <v>209.59000000000015</v>
      </c>
      <c r="P36" s="336">
        <f t="shared" ref="P36" si="105">VLOOKUP(M36,Tarifa1,3)</f>
        <v>0.21360000000000001</v>
      </c>
      <c r="Q36" s="334">
        <f t="shared" ref="Q36" si="106">O36*P36</f>
        <v>44.768424000000032</v>
      </c>
      <c r="R36" s="334">
        <f t="shared" ref="R36" si="107">VLOOKUP(M36,Tarifa1,2)</f>
        <v>809.25</v>
      </c>
      <c r="S36" s="334">
        <f t="shared" ref="S36" si="108">Q36+R36</f>
        <v>854.01842399999998</v>
      </c>
      <c r="T36" s="334">
        <f t="shared" ref="T36" si="109">VLOOKUP(M36,Credito1,2)</f>
        <v>0</v>
      </c>
      <c r="U36" s="334">
        <f t="shared" ref="U36" si="110">ROUND(S36-T36,2)</f>
        <v>854.02</v>
      </c>
      <c r="V36" s="334">
        <f t="shared" ref="V36" si="111">-IF(U36&gt;0,0,0)</f>
        <v>0</v>
      </c>
      <c r="W36" s="334">
        <f t="shared" ref="W36" si="112">IF(I36/15&lt;=SMG,0,IF(U36&lt;0,0,U36))</f>
        <v>854.02</v>
      </c>
      <c r="X36" s="337">
        <v>0</v>
      </c>
      <c r="Y36" s="334">
        <f t="shared" ref="Y36" si="113">SUM(W36:X36)</f>
        <v>854.02</v>
      </c>
      <c r="Z36" s="334">
        <f t="shared" ref="Z36" si="114">K36+V36-Y36</f>
        <v>6997.48</v>
      </c>
      <c r="AA36" s="338"/>
    </row>
    <row r="37" spans="1:27" s="109" customFormat="1" ht="145.5" customHeight="1" x14ac:dyDescent="0.3">
      <c r="A37" s="195"/>
      <c r="B37" s="250" t="s">
        <v>300</v>
      </c>
      <c r="C37" s="250" t="s">
        <v>111</v>
      </c>
      <c r="D37" s="232" t="s">
        <v>301</v>
      </c>
      <c r="E37" s="307">
        <v>45551</v>
      </c>
      <c r="F37" s="188" t="s">
        <v>386</v>
      </c>
      <c r="G37" s="270">
        <v>15</v>
      </c>
      <c r="H37" s="271">
        <v>341.11</v>
      </c>
      <c r="I37" s="272">
        <v>7851.5</v>
      </c>
      <c r="J37" s="273">
        <v>0</v>
      </c>
      <c r="K37" s="274">
        <f t="shared" ref="K37" si="115">SUM(I37:J37)</f>
        <v>7851.5</v>
      </c>
      <c r="L37" s="275">
        <f t="shared" ref="L37" si="116">IF(I37/15&lt;=SMG,0,J37/2)</f>
        <v>0</v>
      </c>
      <c r="M37" s="275">
        <f t="shared" ref="M37" si="117">I37+L37</f>
        <v>7851.5</v>
      </c>
      <c r="N37" s="275">
        <f t="shared" ref="N37" si="118">VLOOKUP(M37,Tarifa1,1)</f>
        <v>7641.91</v>
      </c>
      <c r="O37" s="275">
        <f t="shared" ref="O37" si="119">M37-N37</f>
        <v>209.59000000000015</v>
      </c>
      <c r="P37" s="276">
        <f t="shared" ref="P37" si="120">VLOOKUP(M37,Tarifa1,3)</f>
        <v>0.21360000000000001</v>
      </c>
      <c r="Q37" s="275">
        <f t="shared" ref="Q37" si="121">O37*P37</f>
        <v>44.768424000000032</v>
      </c>
      <c r="R37" s="277">
        <f t="shared" ref="R37" si="122">VLOOKUP(M37,Tarifa1,2)</f>
        <v>809.25</v>
      </c>
      <c r="S37" s="275">
        <f t="shared" ref="S37" si="123">Q37+R37</f>
        <v>854.01842399999998</v>
      </c>
      <c r="T37" s="275">
        <f t="shared" ref="T37" si="124">VLOOKUP(M37,Credito1,2)</f>
        <v>0</v>
      </c>
      <c r="U37" s="275">
        <f t="shared" ref="U37" si="125">ROUND(S37-T37,2)</f>
        <v>854.02</v>
      </c>
      <c r="V37" s="274">
        <f t="shared" ref="V37" si="126">-IF(U37&gt;0,0,0)</f>
        <v>0</v>
      </c>
      <c r="W37" s="274">
        <f t="shared" ref="W37" si="127">IF(I37/15&lt;=SMG,0,IF(U37&lt;0,0,U37))</f>
        <v>854.02</v>
      </c>
      <c r="X37" s="278">
        <v>0</v>
      </c>
      <c r="Y37" s="274">
        <f t="shared" ref="Y37" si="128">SUM(W37:X37)</f>
        <v>854.02</v>
      </c>
      <c r="Z37" s="274">
        <f t="shared" ref="Z37" si="129">K37+V37-Y37</f>
        <v>6997.48</v>
      </c>
      <c r="AA37" s="108"/>
    </row>
    <row r="38" spans="1:27" s="109" customFormat="1" ht="18" x14ac:dyDescent="0.25">
      <c r="A38" s="195"/>
      <c r="B38" s="195"/>
      <c r="C38" s="195"/>
      <c r="D38" s="195"/>
      <c r="E38" s="195"/>
      <c r="F38" s="195"/>
      <c r="G38" s="195"/>
      <c r="H38" s="195"/>
      <c r="I38" s="219"/>
      <c r="J38" s="219"/>
      <c r="K38" s="219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108"/>
    </row>
    <row r="39" spans="1:27" s="109" customFormat="1" ht="39" customHeight="1" x14ac:dyDescent="0.3">
      <c r="A39" s="384" t="s">
        <v>44</v>
      </c>
      <c r="B39" s="384"/>
      <c r="C39" s="384"/>
      <c r="D39" s="384"/>
      <c r="E39" s="384"/>
      <c r="F39" s="384"/>
      <c r="G39" s="384"/>
      <c r="H39" s="384"/>
      <c r="I39" s="317">
        <f>I8+I11+I15+I19+I24+I28+I30+I32+I36</f>
        <v>128033.68</v>
      </c>
      <c r="J39" s="317">
        <f>J8+J11+J15+J19+J24+J28+J30+J32+J36</f>
        <v>0</v>
      </c>
      <c r="K39" s="317">
        <f>K8+K11+K15+K19+K24+K28+K30+K32+K36</f>
        <v>128033.68</v>
      </c>
      <c r="L39" s="318">
        <f t="shared" ref="L39:U39" si="130">SUM(L11:L38)</f>
        <v>0</v>
      </c>
      <c r="M39" s="318">
        <f t="shared" si="130"/>
        <v>151365.68</v>
      </c>
      <c r="N39" s="318">
        <f t="shared" si="130"/>
        <v>133257.38999999998</v>
      </c>
      <c r="O39" s="318">
        <f t="shared" si="130"/>
        <v>18108.289999999994</v>
      </c>
      <c r="P39" s="318">
        <f t="shared" si="130"/>
        <v>3.9207999999999998</v>
      </c>
      <c r="Q39" s="318">
        <f t="shared" si="130"/>
        <v>2618.1421199999995</v>
      </c>
      <c r="R39" s="318">
        <f t="shared" si="130"/>
        <v>11957.25</v>
      </c>
      <c r="S39" s="318">
        <f t="shared" si="130"/>
        <v>14575.392119999999</v>
      </c>
      <c r="T39" s="318">
        <f t="shared" si="130"/>
        <v>975</v>
      </c>
      <c r="U39" s="318">
        <f t="shared" si="130"/>
        <v>13600.38</v>
      </c>
      <c r="V39" s="317">
        <f>V8+V11+V15+V19+V24+V28+V30+V32+V36</f>
        <v>0</v>
      </c>
      <c r="W39" s="317">
        <f>W8+W11+W15+W19+W24+W28+W30+W32+W36</f>
        <v>11027.19</v>
      </c>
      <c r="X39" s="317">
        <f>X8+X11+X15+X19+X24+X28+X30+X32+X36</f>
        <v>0</v>
      </c>
      <c r="Y39" s="317">
        <f>Y8+Y11+Y15+Y19+Y24+Y28+Y30+Y32+Y36</f>
        <v>11027.19</v>
      </c>
      <c r="Z39" s="317">
        <f>Z8+Z11+Z15+Z19+Z24+Z28+Z30+Z32+Z36</f>
        <v>117006.49</v>
      </c>
      <c r="AA39" s="108"/>
    </row>
    <row r="40" spans="1:27" s="51" customFormat="1" ht="12" x14ac:dyDescent="0.2"/>
    <row r="41" spans="1:27" s="51" customFormat="1" ht="12" x14ac:dyDescent="0.2"/>
    <row r="42" spans="1:27" s="51" customFormat="1" ht="12" x14ac:dyDescent="0.2"/>
    <row r="43" spans="1:27" s="51" customFormat="1" ht="12" x14ac:dyDescent="0.2"/>
    <row r="44" spans="1:27" s="51" customFormat="1" ht="12" x14ac:dyDescent="0.2"/>
    <row r="45" spans="1:27" s="51" customFormat="1" ht="12" x14ac:dyDescent="0.2"/>
    <row r="46" spans="1:27" s="51" customFormat="1" ht="12" x14ac:dyDescent="0.2"/>
  </sheetData>
  <mergeCells count="8">
    <mergeCell ref="A39:H39"/>
    <mergeCell ref="A1:AA1"/>
    <mergeCell ref="A2:AA2"/>
    <mergeCell ref="A3:AA3"/>
    <mergeCell ref="I5:K5"/>
    <mergeCell ref="N5:S5"/>
    <mergeCell ref="W5:Y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35 D37 D12:E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8"/>
  <sheetViews>
    <sheetView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5" t="s">
        <v>1</v>
      </c>
      <c r="J6" s="376"/>
      <c r="K6" s="377"/>
      <c r="L6" s="49" t="s">
        <v>25</v>
      </c>
      <c r="M6" s="50"/>
      <c r="N6" s="378" t="s">
        <v>8</v>
      </c>
      <c r="O6" s="379"/>
      <c r="P6" s="379"/>
      <c r="Q6" s="379"/>
      <c r="R6" s="379"/>
      <c r="S6" s="380"/>
      <c r="T6" s="49" t="s">
        <v>29</v>
      </c>
      <c r="U6" s="49" t="s">
        <v>9</v>
      </c>
      <c r="V6" s="48" t="s">
        <v>52</v>
      </c>
      <c r="W6" s="381" t="s">
        <v>2</v>
      </c>
      <c r="X6" s="382"/>
      <c r="Y6" s="383"/>
      <c r="Z6" s="48" t="s">
        <v>0</v>
      </c>
      <c r="AA6" s="34"/>
    </row>
    <row r="7" spans="1:27" ht="24" x14ac:dyDescent="0.2">
      <c r="A7" s="26" t="s">
        <v>20</v>
      </c>
      <c r="B7" s="46" t="s">
        <v>99</v>
      </c>
      <c r="C7" s="46" t="s">
        <v>112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58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215</v>
      </c>
      <c r="X7" s="48" t="s">
        <v>56</v>
      </c>
      <c r="Y7" s="48" t="s">
        <v>6</v>
      </c>
      <c r="Z7" s="52" t="s">
        <v>3</v>
      </c>
      <c r="AA7" s="36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59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119</v>
      </c>
      <c r="V8" s="60" t="s">
        <v>51</v>
      </c>
      <c r="W8" s="60"/>
      <c r="X8" s="60"/>
      <c r="Y8" s="60" t="s">
        <v>43</v>
      </c>
      <c r="Z8" s="60" t="s">
        <v>4</v>
      </c>
      <c r="AA8" s="35"/>
    </row>
    <row r="9" spans="1:27" s="4" customFormat="1" ht="54.75" customHeight="1" x14ac:dyDescent="0.25">
      <c r="A9" s="129"/>
      <c r="B9" s="129"/>
      <c r="C9" s="129"/>
      <c r="D9" s="128" t="s">
        <v>108</v>
      </c>
      <c r="E9" s="127" t="s">
        <v>221</v>
      </c>
      <c r="F9" s="129" t="s">
        <v>61</v>
      </c>
      <c r="G9" s="129"/>
      <c r="H9" s="129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323"/>
      <c r="V9" s="62"/>
      <c r="W9" s="62"/>
      <c r="X9" s="62"/>
      <c r="Y9" s="62"/>
      <c r="Z9" s="62"/>
      <c r="AA9" s="99"/>
    </row>
    <row r="10" spans="1:27" s="4" customFormat="1" ht="201" customHeight="1" x14ac:dyDescent="0.3">
      <c r="A10" s="107" t="s">
        <v>83</v>
      </c>
      <c r="B10" s="289" t="s">
        <v>106</v>
      </c>
      <c r="C10" s="289" t="s">
        <v>111</v>
      </c>
      <c r="D10" s="187" t="s">
        <v>97</v>
      </c>
      <c r="E10" s="324">
        <v>42278</v>
      </c>
      <c r="F10" s="187" t="s">
        <v>183</v>
      </c>
      <c r="G10" s="270">
        <v>15</v>
      </c>
      <c r="H10" s="271">
        <f>I10/G10</f>
        <v>1176.7</v>
      </c>
      <c r="I10" s="272">
        <v>17650.5</v>
      </c>
      <c r="J10" s="273">
        <v>0</v>
      </c>
      <c r="K10" s="274">
        <f>SUM(I10:J10)</f>
        <v>17650.5</v>
      </c>
      <c r="L10" s="275">
        <f>IF(I10/15&lt;=SMG,0,J10/2)</f>
        <v>0</v>
      </c>
      <c r="M10" s="275">
        <f>I10+L10</f>
        <v>17650.5</v>
      </c>
      <c r="N10" s="275">
        <f>VLOOKUP(M10,Tarifa1,1)</f>
        <v>15412.81</v>
      </c>
      <c r="O10" s="275">
        <f>M10-N10</f>
        <v>2237.6900000000005</v>
      </c>
      <c r="P10" s="276">
        <f>VLOOKUP(M10,Tarifa1,3)</f>
        <v>0.23519999999999999</v>
      </c>
      <c r="Q10" s="275">
        <f>O10*P10</f>
        <v>526.30468800000006</v>
      </c>
      <c r="R10" s="277">
        <f>VLOOKUP(M10,Tarifa1,2)</f>
        <v>2469.15</v>
      </c>
      <c r="S10" s="275">
        <f>Q10+R10</f>
        <v>2995.4546880000003</v>
      </c>
      <c r="T10" s="275">
        <f>VLOOKUP(M10,Credito1,2)</f>
        <v>0</v>
      </c>
      <c r="U10" s="275">
        <f>ROUND(S10-T10,2)</f>
        <v>2995.45</v>
      </c>
      <c r="V10" s="274">
        <f>-IF(U10&gt;0,0,0)</f>
        <v>0</v>
      </c>
      <c r="W10" s="274">
        <f>IF(I10/15&lt;=SMG,0,IF(U10&lt;0,0,U10))</f>
        <v>2995.45</v>
      </c>
      <c r="X10" s="278">
        <v>0</v>
      </c>
      <c r="Y10" s="274">
        <f>SUM(W10:X10)</f>
        <v>2995.45</v>
      </c>
      <c r="Z10" s="274">
        <f>K10+V10-Y10</f>
        <v>14655.05</v>
      </c>
      <c r="AA10" s="87"/>
    </row>
    <row r="11" spans="1:27" s="4" customFormat="1" ht="201" customHeight="1" x14ac:dyDescent="0.3">
      <c r="A11" s="107" t="s">
        <v>85</v>
      </c>
      <c r="B11" s="289" t="s">
        <v>102</v>
      </c>
      <c r="C11" s="289" t="s">
        <v>111</v>
      </c>
      <c r="D11" s="187" t="s">
        <v>73</v>
      </c>
      <c r="E11" s="324">
        <v>39462</v>
      </c>
      <c r="F11" s="187" t="s">
        <v>184</v>
      </c>
      <c r="G11" s="270">
        <v>15</v>
      </c>
      <c r="H11" s="271">
        <f>I11/G11</f>
        <v>753.86666666666667</v>
      </c>
      <c r="I11" s="272">
        <v>11308</v>
      </c>
      <c r="J11" s="273">
        <v>0</v>
      </c>
      <c r="K11" s="274">
        <f>I11</f>
        <v>11308</v>
      </c>
      <c r="L11" s="275">
        <f>IF(I11/15&lt;=SMG,0,J11/2)</f>
        <v>0</v>
      </c>
      <c r="M11" s="275">
        <f t="shared" ref="M11:M12" si="0">I11+L11</f>
        <v>11308</v>
      </c>
      <c r="N11" s="275">
        <f>VLOOKUP(M11,Tarifa1,1)</f>
        <v>7641.91</v>
      </c>
      <c r="O11" s="275">
        <f t="shared" ref="O11:O12" si="1">M11-N11</f>
        <v>3666.09</v>
      </c>
      <c r="P11" s="276">
        <f>VLOOKUP(M11,Tarifa1,3)</f>
        <v>0.21360000000000001</v>
      </c>
      <c r="Q11" s="275">
        <f t="shared" ref="Q11:Q12" si="2">O11*P11</f>
        <v>783.0768240000001</v>
      </c>
      <c r="R11" s="277">
        <f>VLOOKUP(M11,Tarifa1,2)</f>
        <v>809.25</v>
      </c>
      <c r="S11" s="275">
        <f t="shared" ref="S11:S12" si="3">Q11+R11</f>
        <v>1592.3268240000002</v>
      </c>
      <c r="T11" s="275">
        <f>VLOOKUP(M11,Credito1,2)</f>
        <v>0</v>
      </c>
      <c r="U11" s="275">
        <f t="shared" ref="U11:U12" si="4">ROUND(S11-T11,2)</f>
        <v>1592.33</v>
      </c>
      <c r="V11" s="274">
        <f>-IF(U11&gt;0,0,0)</f>
        <v>0</v>
      </c>
      <c r="W11" s="274">
        <f>IF(I11/15&lt;=SMG,0,IF(U11&lt;0,0,U11))</f>
        <v>1592.33</v>
      </c>
      <c r="X11" s="278">
        <v>0</v>
      </c>
      <c r="Y11" s="274">
        <f>SUM(W11:X11)</f>
        <v>1592.33</v>
      </c>
      <c r="Z11" s="274">
        <f>K11+V11-Y11</f>
        <v>9715.67</v>
      </c>
      <c r="AA11" s="87"/>
    </row>
    <row r="12" spans="1:27" s="4" customFormat="1" ht="201" customHeight="1" x14ac:dyDescent="0.3">
      <c r="A12" s="107" t="s">
        <v>86</v>
      </c>
      <c r="B12" s="289" t="s">
        <v>107</v>
      </c>
      <c r="C12" s="289" t="s">
        <v>111</v>
      </c>
      <c r="D12" s="187" t="s">
        <v>95</v>
      </c>
      <c r="E12" s="324">
        <v>42278</v>
      </c>
      <c r="F12" s="187" t="s">
        <v>184</v>
      </c>
      <c r="G12" s="270">
        <v>15</v>
      </c>
      <c r="H12" s="271">
        <f>I12/G12</f>
        <v>457.53333333333336</v>
      </c>
      <c r="I12" s="272">
        <v>6863</v>
      </c>
      <c r="J12" s="273">
        <v>0</v>
      </c>
      <c r="K12" s="274">
        <f>SUM(I12:J12)</f>
        <v>6863</v>
      </c>
      <c r="L12" s="275">
        <f>IF(I12/15&lt;=SMG,0,J12/2)</f>
        <v>0</v>
      </c>
      <c r="M12" s="275">
        <f t="shared" si="0"/>
        <v>6863</v>
      </c>
      <c r="N12" s="275">
        <f>VLOOKUP(M12,Tarifa1,1)</f>
        <v>6382.81</v>
      </c>
      <c r="O12" s="275">
        <f t="shared" si="1"/>
        <v>480.1899999999996</v>
      </c>
      <c r="P12" s="276">
        <f>VLOOKUP(M12,Tarifa1,3)</f>
        <v>0.1792</v>
      </c>
      <c r="Q12" s="275">
        <f t="shared" si="2"/>
        <v>86.050047999999933</v>
      </c>
      <c r="R12" s="277">
        <f>VLOOKUP(M12,Tarifa1,2)</f>
        <v>583.65</v>
      </c>
      <c r="S12" s="275">
        <f t="shared" si="3"/>
        <v>669.70004799999992</v>
      </c>
      <c r="T12" s="275">
        <f>VLOOKUP(M12,Credito1,2)</f>
        <v>0</v>
      </c>
      <c r="U12" s="275">
        <f t="shared" si="4"/>
        <v>669.7</v>
      </c>
      <c r="V12" s="274">
        <f>-IF(U12&gt;0,0,0)</f>
        <v>0</v>
      </c>
      <c r="W12" s="274">
        <f>IF(I12/15&lt;=SMG,0,IF(U12&lt;0,0,U12))</f>
        <v>669.7</v>
      </c>
      <c r="X12" s="278">
        <v>0</v>
      </c>
      <c r="Y12" s="274">
        <f>SUM(W12:X12)</f>
        <v>669.7</v>
      </c>
      <c r="Z12" s="274">
        <f>K12+V12-Y12</f>
        <v>6193.3</v>
      </c>
      <c r="AA12" s="87"/>
    </row>
    <row r="13" spans="1:27" s="4" customFormat="1" ht="36" customHeight="1" x14ac:dyDescent="0.25">
      <c r="A13" s="160"/>
      <c r="B13" s="160"/>
      <c r="C13" s="160"/>
      <c r="D13" s="160"/>
      <c r="E13" s="160"/>
      <c r="F13" s="160"/>
      <c r="G13" s="160"/>
      <c r="H13" s="160"/>
      <c r="I13" s="166"/>
      <c r="J13" s="166"/>
      <c r="K13" s="166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281">
        <f>SUM(I10:I13)</f>
        <v>35821.5</v>
      </c>
      <c r="J14" s="281">
        <f>SUM(J10:J13)</f>
        <v>0</v>
      </c>
      <c r="K14" s="281">
        <f>SUM(K10:K13)</f>
        <v>35821.5</v>
      </c>
      <c r="L14" s="282">
        <f t="shared" ref="L14:U14" si="5">SUM(L10:L13)</f>
        <v>0</v>
      </c>
      <c r="M14" s="282">
        <f t="shared" si="5"/>
        <v>35821.5</v>
      </c>
      <c r="N14" s="282">
        <f t="shared" si="5"/>
        <v>29437.530000000002</v>
      </c>
      <c r="O14" s="282">
        <f t="shared" si="5"/>
        <v>6383.97</v>
      </c>
      <c r="P14" s="282">
        <f t="shared" si="5"/>
        <v>0.628</v>
      </c>
      <c r="Q14" s="282">
        <f t="shared" si="5"/>
        <v>1395.43156</v>
      </c>
      <c r="R14" s="282">
        <f t="shared" si="5"/>
        <v>3862.05</v>
      </c>
      <c r="S14" s="282">
        <f t="shared" si="5"/>
        <v>5257.4815600000002</v>
      </c>
      <c r="T14" s="282">
        <f t="shared" si="5"/>
        <v>0</v>
      </c>
      <c r="U14" s="282">
        <f t="shared" si="5"/>
        <v>5257.48</v>
      </c>
      <c r="V14" s="281">
        <f>SUM(V10:V13)</f>
        <v>0</v>
      </c>
      <c r="W14" s="281">
        <f>SUM(W10:W13)</f>
        <v>5257.48</v>
      </c>
      <c r="X14" s="281">
        <f>SUM(X10:X13)</f>
        <v>0</v>
      </c>
      <c r="Y14" s="281">
        <f>SUM(Y10:Y13)</f>
        <v>5257.48</v>
      </c>
      <c r="Z14" s="281">
        <f>SUM(Z10:Z12)</f>
        <v>30564.02</v>
      </c>
    </row>
    <row r="15" spans="1:27" ht="35.1" customHeight="1" thickTop="1" x14ac:dyDescent="0.2"/>
    <row r="16" spans="1:27" ht="35.1" customHeight="1" x14ac:dyDescent="0.2"/>
    <row r="17" ht="35.1" customHeight="1" x14ac:dyDescent="0.2"/>
    <row r="18" ht="35.1" customHeight="1" x14ac:dyDescent="0.2"/>
  </sheetData>
  <mergeCells count="7">
    <mergeCell ref="A14:H14"/>
    <mergeCell ref="A1:AA1"/>
    <mergeCell ref="A3:AA3"/>
    <mergeCell ref="I6:K6"/>
    <mergeCell ref="N6:S6"/>
    <mergeCell ref="W6:Y6"/>
    <mergeCell ref="A2:AA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"/>
  <sheetViews>
    <sheetView topLeftCell="B1" zoomScale="87" zoomScaleNormal="87" workbookViewId="0">
      <selection activeCell="V12" sqref="V12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17.855468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710937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8.140625" customWidth="1"/>
    <col min="23" max="23" width="14.7109375" customWidth="1"/>
    <col min="24" max="24" width="17" customWidth="1"/>
    <col min="25" max="25" width="17.42578125" customWidth="1"/>
    <col min="26" max="26" width="72.7109375" customWidth="1"/>
    <col min="27" max="27" width="0.85546875" customWidth="1"/>
  </cols>
  <sheetData>
    <row r="1" spans="1:27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</row>
    <row r="3" spans="1:27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4"/>
    </row>
    <row r="6" spans="1:27" ht="33.75" customHeight="1" x14ac:dyDescent="0.2">
      <c r="A6" s="26" t="s">
        <v>20</v>
      </c>
      <c r="B6" s="44" t="s">
        <v>99</v>
      </c>
      <c r="C6" s="44" t="s">
        <v>112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215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30" x14ac:dyDescent="0.25">
      <c r="A8" s="39"/>
      <c r="B8" s="39"/>
      <c r="C8" s="39"/>
      <c r="D8" s="88" t="s">
        <v>60</v>
      </c>
      <c r="E8" s="241" t="s">
        <v>221</v>
      </c>
      <c r="F8" s="38" t="s">
        <v>61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89"/>
    </row>
    <row r="9" spans="1:27" ht="112.5" customHeight="1" x14ac:dyDescent="0.3">
      <c r="A9" s="107" t="s">
        <v>83</v>
      </c>
      <c r="B9" s="250" t="s">
        <v>352</v>
      </c>
      <c r="C9" s="289" t="s">
        <v>111</v>
      </c>
      <c r="D9" s="187" t="s">
        <v>336</v>
      </c>
      <c r="E9" s="189">
        <v>45566</v>
      </c>
      <c r="F9" s="138" t="s">
        <v>75</v>
      </c>
      <c r="G9" s="140">
        <v>15</v>
      </c>
      <c r="H9" s="171">
        <f>I9/G9</f>
        <v>607.70000000000005</v>
      </c>
      <c r="I9" s="272">
        <v>9115.5</v>
      </c>
      <c r="J9" s="274">
        <f t="shared" ref="J9:J17" si="0">SUM(I9:I9)</f>
        <v>9115.5</v>
      </c>
      <c r="K9" s="275">
        <v>0</v>
      </c>
      <c r="L9" s="275">
        <f>J9+K9</f>
        <v>9115.5</v>
      </c>
      <c r="M9" s="275">
        <f t="shared" ref="M9:M17" si="1">VLOOKUP(L9,Tarifa1,1)</f>
        <v>7641.91</v>
      </c>
      <c r="N9" s="275">
        <f>L9-M9</f>
        <v>1473.5900000000001</v>
      </c>
      <c r="O9" s="276">
        <f t="shared" ref="O9" si="2">VLOOKUP(L9,Tarifa1,3)</f>
        <v>0.21360000000000001</v>
      </c>
      <c r="P9" s="275">
        <f>N9*O9</f>
        <v>314.75882400000006</v>
      </c>
      <c r="Q9" s="277">
        <f t="shared" ref="Q9:Q17" si="3">VLOOKUP(L9,Tarifa1,2)</f>
        <v>809.25</v>
      </c>
      <c r="R9" s="275">
        <f>P9+Q9</f>
        <v>1124.008824</v>
      </c>
      <c r="S9" s="275">
        <f t="shared" ref="S9" si="4">VLOOKUP(L9,Credito1,2)</f>
        <v>0</v>
      </c>
      <c r="T9" s="275">
        <f>ROUND(R9-S9,2)</f>
        <v>1124.01</v>
      </c>
      <c r="U9" s="274">
        <f t="shared" ref="U9:U17" si="5">-IF(T9&gt;0,0,T9)</f>
        <v>0</v>
      </c>
      <c r="V9" s="274">
        <f t="shared" ref="V9:V17" si="6">IF(I9/15&lt;=SMG,0,IF(T9&lt;0,0,T9))</f>
        <v>1124.01</v>
      </c>
      <c r="W9" s="278">
        <v>0</v>
      </c>
      <c r="X9" s="274">
        <f t="shared" ref="X9:X16" si="7">SUM(V9:W9)</f>
        <v>1124.01</v>
      </c>
      <c r="Y9" s="274">
        <f t="shared" ref="Y9:Y17" si="8">J9+U9-X9</f>
        <v>7991.49</v>
      </c>
      <c r="Z9" s="33"/>
    </row>
    <row r="10" spans="1:27" ht="112.5" customHeight="1" x14ac:dyDescent="0.3">
      <c r="A10" s="107" t="s">
        <v>84</v>
      </c>
      <c r="B10" s="250" t="s">
        <v>350</v>
      </c>
      <c r="C10" s="289" t="s">
        <v>111</v>
      </c>
      <c r="D10" s="187" t="s">
        <v>337</v>
      </c>
      <c r="E10" s="189">
        <v>45566</v>
      </c>
      <c r="F10" s="138" t="s">
        <v>75</v>
      </c>
      <c r="G10" s="140">
        <v>15</v>
      </c>
      <c r="H10" s="171">
        <f t="shared" ref="H10:H17" si="9">I10/G10</f>
        <v>607.70000000000005</v>
      </c>
      <c r="I10" s="272">
        <v>9115.5</v>
      </c>
      <c r="J10" s="274">
        <f t="shared" si="0"/>
        <v>9115.5</v>
      </c>
      <c r="K10" s="275">
        <v>0</v>
      </c>
      <c r="L10" s="275">
        <f t="shared" ref="L10:L17" si="10">J10+K10</f>
        <v>9115.5</v>
      </c>
      <c r="M10" s="275">
        <f t="shared" si="1"/>
        <v>7641.91</v>
      </c>
      <c r="N10" s="275">
        <f t="shared" ref="N10" si="11">L10-M10</f>
        <v>1473.5900000000001</v>
      </c>
      <c r="O10" s="276">
        <f t="shared" ref="O10" si="12">VLOOKUP(L10,Tarifa1,3)</f>
        <v>0.21360000000000001</v>
      </c>
      <c r="P10" s="275">
        <f t="shared" ref="P10" si="13">N10*O10</f>
        <v>314.75882400000006</v>
      </c>
      <c r="Q10" s="277">
        <f t="shared" si="3"/>
        <v>809.25</v>
      </c>
      <c r="R10" s="275">
        <f t="shared" ref="R10:R17" si="14">P10+Q10</f>
        <v>1124.008824</v>
      </c>
      <c r="S10" s="275">
        <f t="shared" ref="S10:S17" si="15">VLOOKUP(L10,Credito1,2)</f>
        <v>0</v>
      </c>
      <c r="T10" s="275">
        <f t="shared" ref="T10:T17" si="16">ROUND(R10-S10,2)</f>
        <v>1124.01</v>
      </c>
      <c r="U10" s="274">
        <f t="shared" si="5"/>
        <v>0</v>
      </c>
      <c r="V10" s="274">
        <f t="shared" si="6"/>
        <v>1124.01</v>
      </c>
      <c r="W10" s="278">
        <v>0</v>
      </c>
      <c r="X10" s="274">
        <f t="shared" si="7"/>
        <v>1124.01</v>
      </c>
      <c r="Y10" s="274">
        <f t="shared" si="8"/>
        <v>7991.49</v>
      </c>
      <c r="Z10" s="33"/>
    </row>
    <row r="11" spans="1:27" ht="112.5" customHeight="1" x14ac:dyDescent="0.3">
      <c r="A11" s="107" t="s">
        <v>85</v>
      </c>
      <c r="B11" s="250" t="s">
        <v>351</v>
      </c>
      <c r="C11" s="289" t="s">
        <v>111</v>
      </c>
      <c r="D11" s="187" t="s">
        <v>348</v>
      </c>
      <c r="E11" s="189">
        <v>45566</v>
      </c>
      <c r="F11" s="138" t="s">
        <v>75</v>
      </c>
      <c r="G11" s="140">
        <v>15</v>
      </c>
      <c r="H11" s="171">
        <f t="shared" si="9"/>
        <v>607.70000000000005</v>
      </c>
      <c r="I11" s="272">
        <v>9115.5</v>
      </c>
      <c r="J11" s="274">
        <f t="shared" si="0"/>
        <v>9115.5</v>
      </c>
      <c r="K11" s="275">
        <v>0</v>
      </c>
      <c r="L11" s="275">
        <f t="shared" si="10"/>
        <v>9115.5</v>
      </c>
      <c r="M11" s="275">
        <f t="shared" si="1"/>
        <v>7641.91</v>
      </c>
      <c r="N11" s="275">
        <f t="shared" ref="N11:N17" si="17">L11-M11</f>
        <v>1473.5900000000001</v>
      </c>
      <c r="O11" s="276">
        <f t="shared" ref="O11:O17" si="18">VLOOKUP(L11,Tarifa1,3)</f>
        <v>0.21360000000000001</v>
      </c>
      <c r="P11" s="275">
        <f t="shared" ref="P11:P17" si="19">N11*O11</f>
        <v>314.75882400000006</v>
      </c>
      <c r="Q11" s="277">
        <f t="shared" si="3"/>
        <v>809.25</v>
      </c>
      <c r="R11" s="275">
        <f t="shared" si="14"/>
        <v>1124.008824</v>
      </c>
      <c r="S11" s="275">
        <f t="shared" si="15"/>
        <v>0</v>
      </c>
      <c r="T11" s="275">
        <f t="shared" si="16"/>
        <v>1124.01</v>
      </c>
      <c r="U11" s="274">
        <f t="shared" si="5"/>
        <v>0</v>
      </c>
      <c r="V11" s="274">
        <f t="shared" si="6"/>
        <v>1124.01</v>
      </c>
      <c r="W11" s="278">
        <v>0</v>
      </c>
      <c r="X11" s="274">
        <f t="shared" si="7"/>
        <v>1124.01</v>
      </c>
      <c r="Y11" s="274">
        <f t="shared" si="8"/>
        <v>7991.49</v>
      </c>
      <c r="Z11" s="255"/>
    </row>
    <row r="12" spans="1:27" ht="112.5" customHeight="1" x14ac:dyDescent="0.3">
      <c r="A12" s="107" t="s">
        <v>86</v>
      </c>
      <c r="B12" s="250" t="s">
        <v>349</v>
      </c>
      <c r="C12" s="289" t="s">
        <v>111</v>
      </c>
      <c r="D12" s="187" t="s">
        <v>338</v>
      </c>
      <c r="E12" s="189">
        <v>45566</v>
      </c>
      <c r="F12" s="138" t="s">
        <v>75</v>
      </c>
      <c r="G12" s="140">
        <v>10</v>
      </c>
      <c r="H12" s="171">
        <f t="shared" si="9"/>
        <v>911.55</v>
      </c>
      <c r="I12" s="272">
        <v>9115.5</v>
      </c>
      <c r="J12" s="274">
        <f t="shared" ref="J12" si="20">SUM(I12:I12)</f>
        <v>9115.5</v>
      </c>
      <c r="K12" s="275">
        <v>0</v>
      </c>
      <c r="L12" s="275">
        <f t="shared" ref="L12" si="21">J12+K12</f>
        <v>9115.5</v>
      </c>
      <c r="M12" s="275">
        <f t="shared" si="1"/>
        <v>7641.91</v>
      </c>
      <c r="N12" s="275">
        <f t="shared" si="17"/>
        <v>1473.5900000000001</v>
      </c>
      <c r="O12" s="276">
        <f t="shared" si="18"/>
        <v>0.21360000000000001</v>
      </c>
      <c r="P12" s="275">
        <f t="shared" si="19"/>
        <v>314.75882400000006</v>
      </c>
      <c r="Q12" s="277">
        <f t="shared" si="3"/>
        <v>809.25</v>
      </c>
      <c r="R12" s="275">
        <f t="shared" ref="R12" si="22">P12+Q12</f>
        <v>1124.008824</v>
      </c>
      <c r="S12" s="275">
        <f t="shared" ref="S12" si="23">VLOOKUP(L12,Credito1,2)</f>
        <v>0</v>
      </c>
      <c r="T12" s="275">
        <f t="shared" ref="T12" si="24">ROUND(R12-S12,2)</f>
        <v>1124.01</v>
      </c>
      <c r="U12" s="274">
        <f t="shared" si="5"/>
        <v>0</v>
      </c>
      <c r="V12" s="274">
        <f t="shared" si="6"/>
        <v>1124.01</v>
      </c>
      <c r="W12" s="278">
        <v>0</v>
      </c>
      <c r="X12" s="274">
        <f t="shared" si="7"/>
        <v>1124.01</v>
      </c>
      <c r="Y12" s="274">
        <f t="shared" si="8"/>
        <v>7991.49</v>
      </c>
      <c r="Z12" s="33"/>
    </row>
    <row r="13" spans="1:27" ht="112.5" customHeight="1" x14ac:dyDescent="0.3">
      <c r="A13" s="107" t="s">
        <v>87</v>
      </c>
      <c r="B13" s="250" t="s">
        <v>353</v>
      </c>
      <c r="C13" s="289" t="s">
        <v>111</v>
      </c>
      <c r="D13" s="188" t="s">
        <v>339</v>
      </c>
      <c r="E13" s="189">
        <v>45566</v>
      </c>
      <c r="F13" s="152" t="s">
        <v>75</v>
      </c>
      <c r="G13" s="153">
        <v>15</v>
      </c>
      <c r="H13" s="172">
        <f t="shared" si="9"/>
        <v>607.70000000000005</v>
      </c>
      <c r="I13" s="272">
        <v>9115.5</v>
      </c>
      <c r="J13" s="274">
        <f t="shared" ref="J13" si="25">SUM(I13:I13)</f>
        <v>9115.5</v>
      </c>
      <c r="K13" s="275">
        <v>0</v>
      </c>
      <c r="L13" s="275">
        <f t="shared" si="10"/>
        <v>9115.5</v>
      </c>
      <c r="M13" s="275">
        <f t="shared" si="1"/>
        <v>7641.91</v>
      </c>
      <c r="N13" s="275">
        <f t="shared" si="17"/>
        <v>1473.5900000000001</v>
      </c>
      <c r="O13" s="276">
        <f t="shared" si="18"/>
        <v>0.21360000000000001</v>
      </c>
      <c r="P13" s="275">
        <f t="shared" si="19"/>
        <v>314.75882400000006</v>
      </c>
      <c r="Q13" s="277">
        <f t="shared" si="3"/>
        <v>809.25</v>
      </c>
      <c r="R13" s="275">
        <f t="shared" si="14"/>
        <v>1124.008824</v>
      </c>
      <c r="S13" s="275">
        <f t="shared" si="15"/>
        <v>0</v>
      </c>
      <c r="T13" s="275">
        <f t="shared" si="16"/>
        <v>1124.01</v>
      </c>
      <c r="U13" s="274">
        <f t="shared" ref="U13" si="26">-IF(T13&gt;0,0,T13)</f>
        <v>0</v>
      </c>
      <c r="V13" s="274">
        <f t="shared" si="6"/>
        <v>1124.01</v>
      </c>
      <c r="W13" s="278">
        <v>0</v>
      </c>
      <c r="X13" s="274">
        <f t="shared" ref="X13" si="27">SUM(V13:W13)</f>
        <v>1124.01</v>
      </c>
      <c r="Y13" s="274">
        <f t="shared" ref="Y13" si="28">J13+U13-X13</f>
        <v>7991.49</v>
      </c>
      <c r="Z13" s="33"/>
    </row>
    <row r="14" spans="1:27" ht="112.5" customHeight="1" x14ac:dyDescent="0.3">
      <c r="A14" s="107" t="s">
        <v>88</v>
      </c>
      <c r="B14" s="250" t="s">
        <v>342</v>
      </c>
      <c r="C14" s="289" t="s">
        <v>111</v>
      </c>
      <c r="D14" s="187" t="s">
        <v>343</v>
      </c>
      <c r="E14" s="189">
        <v>45566</v>
      </c>
      <c r="F14" s="138" t="s">
        <v>75</v>
      </c>
      <c r="G14" s="140">
        <v>15</v>
      </c>
      <c r="H14" s="171">
        <f t="shared" si="9"/>
        <v>607.70000000000005</v>
      </c>
      <c r="I14" s="272">
        <v>9115.5</v>
      </c>
      <c r="J14" s="274">
        <f t="shared" si="0"/>
        <v>9115.5</v>
      </c>
      <c r="K14" s="275">
        <v>0</v>
      </c>
      <c r="L14" s="275">
        <f t="shared" si="10"/>
        <v>9115.5</v>
      </c>
      <c r="M14" s="275">
        <f t="shared" si="1"/>
        <v>7641.91</v>
      </c>
      <c r="N14" s="275">
        <f t="shared" si="17"/>
        <v>1473.5900000000001</v>
      </c>
      <c r="O14" s="276">
        <f t="shared" si="18"/>
        <v>0.21360000000000001</v>
      </c>
      <c r="P14" s="275">
        <f t="shared" si="19"/>
        <v>314.75882400000006</v>
      </c>
      <c r="Q14" s="277">
        <f t="shared" si="3"/>
        <v>809.25</v>
      </c>
      <c r="R14" s="275">
        <f t="shared" si="14"/>
        <v>1124.008824</v>
      </c>
      <c r="S14" s="275">
        <f t="shared" si="15"/>
        <v>0</v>
      </c>
      <c r="T14" s="275">
        <f t="shared" si="16"/>
        <v>1124.01</v>
      </c>
      <c r="U14" s="274">
        <f t="shared" si="5"/>
        <v>0</v>
      </c>
      <c r="V14" s="274">
        <f t="shared" si="6"/>
        <v>1124.01</v>
      </c>
      <c r="W14" s="278">
        <v>0</v>
      </c>
      <c r="X14" s="274">
        <f t="shared" si="7"/>
        <v>1124.01</v>
      </c>
      <c r="Y14" s="274">
        <f t="shared" si="8"/>
        <v>7991.49</v>
      </c>
      <c r="Z14" s="33"/>
    </row>
    <row r="15" spans="1:27" ht="112.5" customHeight="1" x14ac:dyDescent="0.3">
      <c r="A15" s="107" t="s">
        <v>89</v>
      </c>
      <c r="B15" s="250" t="s">
        <v>341</v>
      </c>
      <c r="C15" s="289" t="s">
        <v>111</v>
      </c>
      <c r="D15" s="187" t="s">
        <v>340</v>
      </c>
      <c r="E15" s="189">
        <v>45566</v>
      </c>
      <c r="F15" s="138" t="s">
        <v>75</v>
      </c>
      <c r="G15" s="140">
        <v>15</v>
      </c>
      <c r="H15" s="171">
        <f t="shared" si="9"/>
        <v>607.70000000000005</v>
      </c>
      <c r="I15" s="272">
        <v>9115.5</v>
      </c>
      <c r="J15" s="274">
        <f t="shared" si="0"/>
        <v>9115.5</v>
      </c>
      <c r="K15" s="275">
        <v>0</v>
      </c>
      <c r="L15" s="275">
        <f t="shared" si="10"/>
        <v>9115.5</v>
      </c>
      <c r="M15" s="275">
        <f t="shared" si="1"/>
        <v>7641.91</v>
      </c>
      <c r="N15" s="275">
        <f t="shared" si="17"/>
        <v>1473.5900000000001</v>
      </c>
      <c r="O15" s="276">
        <f t="shared" si="18"/>
        <v>0.21360000000000001</v>
      </c>
      <c r="P15" s="275">
        <f t="shared" si="19"/>
        <v>314.75882400000006</v>
      </c>
      <c r="Q15" s="277">
        <f t="shared" si="3"/>
        <v>809.25</v>
      </c>
      <c r="R15" s="275">
        <f t="shared" si="14"/>
        <v>1124.008824</v>
      </c>
      <c r="S15" s="275">
        <f t="shared" si="15"/>
        <v>0</v>
      </c>
      <c r="T15" s="275">
        <f t="shared" si="16"/>
        <v>1124.01</v>
      </c>
      <c r="U15" s="274">
        <f t="shared" si="5"/>
        <v>0</v>
      </c>
      <c r="V15" s="274">
        <f t="shared" si="6"/>
        <v>1124.01</v>
      </c>
      <c r="W15" s="278">
        <v>0</v>
      </c>
      <c r="X15" s="274">
        <f t="shared" si="7"/>
        <v>1124.01</v>
      </c>
      <c r="Y15" s="274">
        <f t="shared" si="8"/>
        <v>7991.49</v>
      </c>
      <c r="Z15" s="33"/>
    </row>
    <row r="16" spans="1:27" ht="112.5" customHeight="1" x14ac:dyDescent="0.3">
      <c r="A16" s="107" t="s">
        <v>90</v>
      </c>
      <c r="B16" s="250" t="s">
        <v>354</v>
      </c>
      <c r="C16" s="289" t="s">
        <v>111</v>
      </c>
      <c r="D16" s="187" t="s">
        <v>346</v>
      </c>
      <c r="E16" s="189">
        <v>45566</v>
      </c>
      <c r="F16" s="138" t="s">
        <v>75</v>
      </c>
      <c r="G16" s="140">
        <v>15</v>
      </c>
      <c r="H16" s="171">
        <f t="shared" si="9"/>
        <v>607.70000000000005</v>
      </c>
      <c r="I16" s="272">
        <v>9115.5</v>
      </c>
      <c r="J16" s="274">
        <f t="shared" si="0"/>
        <v>9115.5</v>
      </c>
      <c r="K16" s="275">
        <v>0</v>
      </c>
      <c r="L16" s="275">
        <f t="shared" si="10"/>
        <v>9115.5</v>
      </c>
      <c r="M16" s="275">
        <f t="shared" si="1"/>
        <v>7641.91</v>
      </c>
      <c r="N16" s="275">
        <f t="shared" si="17"/>
        <v>1473.5900000000001</v>
      </c>
      <c r="O16" s="276">
        <f t="shared" si="18"/>
        <v>0.21360000000000001</v>
      </c>
      <c r="P16" s="275">
        <f t="shared" si="19"/>
        <v>314.75882400000006</v>
      </c>
      <c r="Q16" s="277">
        <f t="shared" si="3"/>
        <v>809.25</v>
      </c>
      <c r="R16" s="275">
        <f t="shared" si="14"/>
        <v>1124.008824</v>
      </c>
      <c r="S16" s="275">
        <f t="shared" si="15"/>
        <v>0</v>
      </c>
      <c r="T16" s="275">
        <f t="shared" si="16"/>
        <v>1124.01</v>
      </c>
      <c r="U16" s="274">
        <f t="shared" si="5"/>
        <v>0</v>
      </c>
      <c r="V16" s="274">
        <f t="shared" si="6"/>
        <v>1124.01</v>
      </c>
      <c r="W16" s="278">
        <v>0</v>
      </c>
      <c r="X16" s="274">
        <f t="shared" si="7"/>
        <v>1124.01</v>
      </c>
      <c r="Y16" s="274">
        <f t="shared" si="8"/>
        <v>7991.49</v>
      </c>
      <c r="Z16" s="33"/>
    </row>
    <row r="17" spans="1:26" ht="112.5" customHeight="1" x14ac:dyDescent="0.3">
      <c r="A17" s="107" t="s">
        <v>91</v>
      </c>
      <c r="B17" s="250" t="s">
        <v>355</v>
      </c>
      <c r="C17" s="289" t="s">
        <v>111</v>
      </c>
      <c r="D17" s="187" t="s">
        <v>347</v>
      </c>
      <c r="E17" s="189">
        <v>45566</v>
      </c>
      <c r="F17" s="138" t="s">
        <v>75</v>
      </c>
      <c r="G17" s="140">
        <v>15</v>
      </c>
      <c r="H17" s="171">
        <f t="shared" si="9"/>
        <v>607.70000000000005</v>
      </c>
      <c r="I17" s="272">
        <v>9115.5</v>
      </c>
      <c r="J17" s="274">
        <f t="shared" si="0"/>
        <v>9115.5</v>
      </c>
      <c r="K17" s="275">
        <v>0</v>
      </c>
      <c r="L17" s="275">
        <f t="shared" si="10"/>
        <v>9115.5</v>
      </c>
      <c r="M17" s="275">
        <f t="shared" si="1"/>
        <v>7641.91</v>
      </c>
      <c r="N17" s="275">
        <f t="shared" si="17"/>
        <v>1473.5900000000001</v>
      </c>
      <c r="O17" s="276">
        <f t="shared" si="18"/>
        <v>0.21360000000000001</v>
      </c>
      <c r="P17" s="275">
        <f t="shared" si="19"/>
        <v>314.75882400000006</v>
      </c>
      <c r="Q17" s="277">
        <f t="shared" si="3"/>
        <v>809.25</v>
      </c>
      <c r="R17" s="275">
        <f t="shared" si="14"/>
        <v>1124.008824</v>
      </c>
      <c r="S17" s="275">
        <f t="shared" si="15"/>
        <v>0</v>
      </c>
      <c r="T17" s="275">
        <f t="shared" si="16"/>
        <v>1124.01</v>
      </c>
      <c r="U17" s="274">
        <f t="shared" si="5"/>
        <v>0</v>
      </c>
      <c r="V17" s="274">
        <f t="shared" si="6"/>
        <v>1124.01</v>
      </c>
      <c r="W17" s="278">
        <v>0</v>
      </c>
      <c r="X17" s="274">
        <f>SUM(V17:W17)</f>
        <v>1124.01</v>
      </c>
      <c r="Y17" s="274">
        <f t="shared" si="8"/>
        <v>7991.49</v>
      </c>
      <c r="Z17" s="33"/>
    </row>
    <row r="18" spans="1:26" ht="21.75" customHeight="1" x14ac:dyDescent="0.25">
      <c r="A18" s="160"/>
      <c r="B18" s="160"/>
      <c r="C18" s="160"/>
      <c r="D18" s="160"/>
      <c r="E18" s="160"/>
      <c r="F18" s="160"/>
      <c r="G18" s="160"/>
      <c r="H18" s="160"/>
      <c r="I18" s="166"/>
      <c r="J18" s="166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6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281">
        <f>SUM(I9:I18)</f>
        <v>82039.5</v>
      </c>
      <c r="J19" s="281">
        <f>SUM(J9:J18)</f>
        <v>82039.5</v>
      </c>
      <c r="K19" s="282">
        <f t="shared" ref="K19:T19" si="29">SUM(K9:K18)</f>
        <v>0</v>
      </c>
      <c r="L19" s="282">
        <f t="shared" si="29"/>
        <v>82039.5</v>
      </c>
      <c r="M19" s="282">
        <f t="shared" si="29"/>
        <v>68777.190000000017</v>
      </c>
      <c r="N19" s="282">
        <f t="shared" si="29"/>
        <v>13262.310000000001</v>
      </c>
      <c r="O19" s="282">
        <f t="shared" si="29"/>
        <v>1.9224000000000001</v>
      </c>
      <c r="P19" s="282">
        <f t="shared" si="29"/>
        <v>2832.8294160000005</v>
      </c>
      <c r="Q19" s="282">
        <f t="shared" si="29"/>
        <v>7283.25</v>
      </c>
      <c r="R19" s="282">
        <f t="shared" si="29"/>
        <v>10116.079416000002</v>
      </c>
      <c r="S19" s="282">
        <f t="shared" si="29"/>
        <v>0</v>
      </c>
      <c r="T19" s="282">
        <f t="shared" si="29"/>
        <v>10116.09</v>
      </c>
      <c r="U19" s="281">
        <f>SUM(U9:U18)</f>
        <v>0</v>
      </c>
      <c r="V19" s="281">
        <f>SUM(V9:V18)</f>
        <v>10116.09</v>
      </c>
      <c r="W19" s="281">
        <f>SUM(W9:W18)</f>
        <v>0</v>
      </c>
      <c r="X19" s="281">
        <f>SUM(X9:X18)</f>
        <v>10116.09</v>
      </c>
      <c r="Y19" s="281">
        <f>SUM(Y9:Y18)</f>
        <v>71923.409999999989</v>
      </c>
    </row>
    <row r="20" spans="1:26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J5"/>
    <mergeCell ref="M5:R5"/>
    <mergeCell ref="V5:X5"/>
    <mergeCell ref="A3:AA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3"/>
  <sheetViews>
    <sheetView workbookViewId="0">
      <selection activeCell="H9" sqref="H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7" width="0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DICIEMBRE DE 2024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4"/>
    </row>
    <row r="6" spans="1:27" ht="22.5" x14ac:dyDescent="0.2">
      <c r="A6" s="44" t="s">
        <v>99</v>
      </c>
      <c r="B6" s="44" t="s">
        <v>112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215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40.5" x14ac:dyDescent="0.3">
      <c r="A8" s="39"/>
      <c r="B8" s="39"/>
      <c r="C8" s="325" t="s">
        <v>74</v>
      </c>
      <c r="D8" s="327" t="s">
        <v>221</v>
      </c>
      <c r="E8" s="326" t="s">
        <v>61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89"/>
    </row>
    <row r="9" spans="1:27" ht="178.5" customHeight="1" x14ac:dyDescent="0.3">
      <c r="A9" s="250" t="s">
        <v>356</v>
      </c>
      <c r="B9" s="289" t="s">
        <v>111</v>
      </c>
      <c r="C9" s="187" t="s">
        <v>333</v>
      </c>
      <c r="D9" s="324">
        <v>45566</v>
      </c>
      <c r="E9" s="187" t="s">
        <v>195</v>
      </c>
      <c r="F9" s="270">
        <v>15</v>
      </c>
      <c r="G9" s="271">
        <f>H9/F9</f>
        <v>1020.3333333333334</v>
      </c>
      <c r="H9" s="272">
        <v>15305</v>
      </c>
      <c r="I9" s="273">
        <v>0</v>
      </c>
      <c r="J9" s="274">
        <f>SUM(H9:I9)</f>
        <v>15305</v>
      </c>
      <c r="K9" s="275">
        <f>I9/2</f>
        <v>0</v>
      </c>
      <c r="L9" s="275">
        <f>H9+K9</f>
        <v>15305</v>
      </c>
      <c r="M9" s="275">
        <f>VLOOKUP(L9,Tarifa1,1)</f>
        <v>7641.91</v>
      </c>
      <c r="N9" s="275">
        <f>L9-M9</f>
        <v>7663.09</v>
      </c>
      <c r="O9" s="276">
        <f t="shared" ref="O9:O10" si="0">VLOOKUP(L9,Tarifa1,3)</f>
        <v>0.21360000000000001</v>
      </c>
      <c r="P9" s="275">
        <f>N9*O9</f>
        <v>1636.8360240000002</v>
      </c>
      <c r="Q9" s="277">
        <f>VLOOKUP(L9,Tarifa1,2)</f>
        <v>809.25</v>
      </c>
      <c r="R9" s="275">
        <f>P9+Q9</f>
        <v>2446.0860240000002</v>
      </c>
      <c r="S9" s="275">
        <f t="shared" ref="S9:S10" si="1">VLOOKUP(L9,Credito1,2)</f>
        <v>0</v>
      </c>
      <c r="T9" s="275">
        <f>ROUND(R9-S9,2)</f>
        <v>2446.09</v>
      </c>
      <c r="U9" s="274">
        <f>-IF(T9&gt;0,0,0)</f>
        <v>0</v>
      </c>
      <c r="V9" s="274">
        <f>IF(H9/15&lt;=SMG,0,IF(T9&lt;0,0,T9))</f>
        <v>2446.09</v>
      </c>
      <c r="W9" s="278">
        <v>0</v>
      </c>
      <c r="X9" s="274">
        <f>SUM(V9:W9)</f>
        <v>2446.09</v>
      </c>
      <c r="Y9" s="274">
        <f>J9+U9-X9</f>
        <v>12858.91</v>
      </c>
      <c r="Z9" s="328"/>
    </row>
    <row r="10" spans="1:27" ht="178.5" customHeight="1" x14ac:dyDescent="0.3">
      <c r="A10" s="250" t="s">
        <v>368</v>
      </c>
      <c r="B10" s="289" t="s">
        <v>111</v>
      </c>
      <c r="C10" s="187" t="s">
        <v>369</v>
      </c>
      <c r="D10" s="283">
        <v>45601</v>
      </c>
      <c r="E10" s="187" t="s">
        <v>370</v>
      </c>
      <c r="F10" s="270">
        <v>13</v>
      </c>
      <c r="G10" s="271">
        <f t="shared" ref="G10" si="2">H10/F10</f>
        <v>619.80769230769226</v>
      </c>
      <c r="H10" s="272">
        <v>8057.5</v>
      </c>
      <c r="I10" s="273">
        <v>0</v>
      </c>
      <c r="J10" s="274">
        <f t="shared" ref="J10" si="3">SUM(H10:I10)</f>
        <v>8057.5</v>
      </c>
      <c r="K10" s="275">
        <f t="shared" ref="K10" si="4">IF(H10/15&lt;=SMG,0,I10/2)</f>
        <v>0</v>
      </c>
      <c r="L10" s="275">
        <f t="shared" ref="L10" si="5">H10+K10</f>
        <v>8057.5</v>
      </c>
      <c r="M10" s="275">
        <f t="shared" ref="M10" si="6">VLOOKUP(L10,Tarifa1,1)</f>
        <v>7641.91</v>
      </c>
      <c r="N10" s="275">
        <f t="shared" ref="N10" si="7">L10-M10</f>
        <v>415.59000000000015</v>
      </c>
      <c r="O10" s="276">
        <f t="shared" si="0"/>
        <v>0.21360000000000001</v>
      </c>
      <c r="P10" s="275">
        <f t="shared" ref="P10" si="8">N10*O10</f>
        <v>88.770024000000035</v>
      </c>
      <c r="Q10" s="277">
        <f t="shared" ref="Q10" si="9">VLOOKUP(L10,Tarifa1,2)</f>
        <v>809.25</v>
      </c>
      <c r="R10" s="275">
        <f t="shared" ref="R10" si="10">P10+Q10</f>
        <v>898.02002400000003</v>
      </c>
      <c r="S10" s="275">
        <f t="shared" si="1"/>
        <v>0</v>
      </c>
      <c r="T10" s="275">
        <f t="shared" ref="T10" si="11">ROUND(R10-S10,2)</f>
        <v>898.02</v>
      </c>
      <c r="U10" s="274">
        <f>-IF(T10&gt;0,0,0)</f>
        <v>0</v>
      </c>
      <c r="V10" s="274">
        <f t="shared" ref="V10" si="12">IF(H10/15&lt;=SMG,0,IF(T10&lt;0,0,T10))</f>
        <v>898.02</v>
      </c>
      <c r="W10" s="278">
        <v>0</v>
      </c>
      <c r="X10" s="274">
        <f t="shared" ref="X10" si="13">SUM(V10:W10)</f>
        <v>898.02</v>
      </c>
      <c r="Y10" s="274">
        <f t="shared" ref="Y10" si="14">J10+U10-X10</f>
        <v>7159.48</v>
      </c>
      <c r="Z10" s="328"/>
    </row>
    <row r="11" spans="1:27" ht="18" x14ac:dyDescent="0.25">
      <c r="A11" s="160"/>
      <c r="B11" s="160"/>
      <c r="C11" s="160"/>
      <c r="D11" s="160"/>
      <c r="E11" s="160"/>
      <c r="F11" s="161"/>
      <c r="G11" s="160"/>
      <c r="H11" s="162"/>
      <c r="I11" s="162"/>
      <c r="J11" s="162"/>
      <c r="K11" s="163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7" ht="41.25" customHeight="1" thickBot="1" x14ac:dyDescent="0.3">
      <c r="A12" s="349"/>
      <c r="B12" s="349"/>
      <c r="C12" s="349"/>
      <c r="D12" s="349"/>
      <c r="E12" s="349"/>
      <c r="F12" s="349"/>
      <c r="G12" s="350"/>
      <c r="H12" s="149">
        <f>SUM(H9:H10)</f>
        <v>23362.5</v>
      </c>
      <c r="I12" s="149">
        <f>SUM(I9:I10)</f>
        <v>0</v>
      </c>
      <c r="J12" s="149">
        <f>SUM(J9:J10)</f>
        <v>23362.5</v>
      </c>
      <c r="K12" s="150">
        <f t="shared" ref="K12:T12" si="15">SUM(K10:K11)</f>
        <v>0</v>
      </c>
      <c r="L12" s="150">
        <f t="shared" si="15"/>
        <v>8057.5</v>
      </c>
      <c r="M12" s="150">
        <f t="shared" si="15"/>
        <v>7641.91</v>
      </c>
      <c r="N12" s="150">
        <f t="shared" si="15"/>
        <v>415.59000000000015</v>
      </c>
      <c r="O12" s="150">
        <f t="shared" si="15"/>
        <v>0.21360000000000001</v>
      </c>
      <c r="P12" s="150">
        <f t="shared" si="15"/>
        <v>88.770024000000035</v>
      </c>
      <c r="Q12" s="150">
        <f t="shared" si="15"/>
        <v>809.25</v>
      </c>
      <c r="R12" s="150">
        <f t="shared" si="15"/>
        <v>898.02002400000003</v>
      </c>
      <c r="S12" s="150">
        <f t="shared" si="15"/>
        <v>0</v>
      </c>
      <c r="T12" s="150">
        <f t="shared" si="15"/>
        <v>898.02</v>
      </c>
      <c r="U12" s="149">
        <f>SUM(U9:U10)</f>
        <v>0</v>
      </c>
      <c r="V12" s="149">
        <f>SUM(V9:V10)</f>
        <v>3344.11</v>
      </c>
      <c r="W12" s="149">
        <f>SUM(W9:W10)</f>
        <v>0</v>
      </c>
      <c r="X12" s="149">
        <f>SUM(X9:X10)</f>
        <v>3344.11</v>
      </c>
      <c r="Y12" s="149">
        <f>SUM(Y9:Y10)</f>
        <v>20018.39</v>
      </c>
    </row>
    <row r="13" spans="1:27" ht="13.5" thickTop="1" x14ac:dyDescent="0.2"/>
  </sheetData>
  <mergeCells count="7">
    <mergeCell ref="A12:G12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2024-12-20T16:12:57Z</cp:lastPrinted>
  <dcterms:created xsi:type="dcterms:W3CDTF">2000-05-05T04:08:27Z</dcterms:created>
  <dcterms:modified xsi:type="dcterms:W3CDTF">2025-11-18T18:15:27Z</dcterms:modified>
</cp:coreProperties>
</file>