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x_s\OneDrive\Escritorio\TRANSPARENCIA ARTICULO 8\8.v.g) Nòmina\NOMINAS ENE-DIC 2025\"/>
    </mc:Choice>
  </mc:AlternateContent>
  <xr:revisionPtr revIDLastSave="0" documentId="13_ncr:1_{47869DD6-4296-4494-9B79-F615BFC75500}" xr6:coauthVersionLast="47" xr6:coauthVersionMax="47" xr10:uidLastSave="{00000000-0000-0000-0000-000000000000}"/>
  <bookViews>
    <workbookView xWindow="-120" yWindow="-120" windowWidth="20640" windowHeight="11040" tabRatio="772" firstSheet="4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'!$1:$25</definedName>
    <definedName name="_xlnm.Print_Area" localSheetId="8">SINDICO!$1:$20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23" l="1"/>
  <c r="I14" i="123"/>
  <c r="L15" i="123"/>
  <c r="M15" i="123" s="1"/>
  <c r="K15" i="123"/>
  <c r="H15" i="123"/>
  <c r="L26" i="121"/>
  <c r="M26" i="121" s="1"/>
  <c r="K26" i="121"/>
  <c r="H48" i="123"/>
  <c r="K48" i="123"/>
  <c r="L48" i="123"/>
  <c r="M48" i="123" s="1"/>
  <c r="L42" i="123"/>
  <c r="M42" i="123" s="1"/>
  <c r="K42" i="123"/>
  <c r="H42" i="123"/>
  <c r="L41" i="123"/>
  <c r="M41" i="123" s="1"/>
  <c r="K41" i="123"/>
  <c r="H41" i="123"/>
  <c r="L29" i="123"/>
  <c r="M29" i="123" s="1"/>
  <c r="K29" i="123"/>
  <c r="K28" i="123" s="1"/>
  <c r="H29" i="123"/>
  <c r="J28" i="123"/>
  <c r="I28" i="123"/>
  <c r="L25" i="121"/>
  <c r="M25" i="121" s="1"/>
  <c r="K25" i="121"/>
  <c r="H25" i="121"/>
  <c r="T15" i="123" l="1"/>
  <c r="R15" i="123"/>
  <c r="P15" i="123"/>
  <c r="N15" i="123"/>
  <c r="O15" i="123" s="1"/>
  <c r="T26" i="121"/>
  <c r="R26" i="121"/>
  <c r="P26" i="121"/>
  <c r="N26" i="121"/>
  <c r="O26" i="121" s="1"/>
  <c r="N48" i="123"/>
  <c r="O48" i="123" s="1"/>
  <c r="P48" i="123"/>
  <c r="T48" i="123"/>
  <c r="R48" i="123"/>
  <c r="T41" i="123"/>
  <c r="R41" i="123"/>
  <c r="P41" i="123"/>
  <c r="N41" i="123"/>
  <c r="O41" i="123" s="1"/>
  <c r="T42" i="123"/>
  <c r="R42" i="123"/>
  <c r="P42" i="123"/>
  <c r="N42" i="123"/>
  <c r="O42" i="123" s="1"/>
  <c r="R29" i="123"/>
  <c r="P29" i="123"/>
  <c r="N29" i="123"/>
  <c r="O29" i="123" s="1"/>
  <c r="T29" i="123"/>
  <c r="T25" i="121"/>
  <c r="R25" i="121"/>
  <c r="P25" i="121"/>
  <c r="N25" i="121"/>
  <c r="O25" i="121" s="1"/>
  <c r="Q25" i="121" s="1"/>
  <c r="S25" i="121" s="1"/>
  <c r="U25" i="121" s="1"/>
  <c r="Q26" i="121" l="1"/>
  <c r="S26" i="121" s="1"/>
  <c r="U26" i="121" s="1"/>
  <c r="W26" i="121" s="1"/>
  <c r="X26" i="121" s="1"/>
  <c r="Q29" i="123"/>
  <c r="Q42" i="123"/>
  <c r="S42" i="123" s="1"/>
  <c r="Q48" i="123"/>
  <c r="Q15" i="123"/>
  <c r="S15" i="123" s="1"/>
  <c r="U15" i="123" s="1"/>
  <c r="W15" i="123" s="1"/>
  <c r="U42" i="123"/>
  <c r="W42" i="123" s="1"/>
  <c r="X42" i="123" s="1"/>
  <c r="S29" i="123"/>
  <c r="S48" i="123"/>
  <c r="U48" i="123" s="1"/>
  <c r="Q41" i="123"/>
  <c r="S41" i="123" s="1"/>
  <c r="U41" i="123" s="1"/>
  <c r="W41" i="123" s="1"/>
  <c r="X41" i="123" s="1"/>
  <c r="U29" i="123"/>
  <c r="V29" i="123" s="1"/>
  <c r="W25" i="121"/>
  <c r="X25" i="121" s="1"/>
  <c r="V25" i="121"/>
  <c r="V26" i="121" l="1"/>
  <c r="Y26" i="121" s="1"/>
  <c r="X15" i="123"/>
  <c r="V41" i="123"/>
  <c r="V42" i="123"/>
  <c r="V15" i="123"/>
  <c r="Y15" i="123"/>
  <c r="V48" i="123"/>
  <c r="W48" i="123"/>
  <c r="X48" i="123" s="1"/>
  <c r="Y41" i="123"/>
  <c r="Y42" i="123"/>
  <c r="W29" i="123"/>
  <c r="W28" i="123" s="1"/>
  <c r="V28" i="123"/>
  <c r="Y25" i="121"/>
  <c r="Y48" i="123" l="1"/>
  <c r="X29" i="123"/>
  <c r="L51" i="123"/>
  <c r="M51" i="123" s="1"/>
  <c r="K51" i="123"/>
  <c r="H51" i="123"/>
  <c r="L49" i="123"/>
  <c r="M49" i="123" s="1"/>
  <c r="K49" i="123"/>
  <c r="H49" i="123"/>
  <c r="L50" i="123"/>
  <c r="M50" i="123" s="1"/>
  <c r="K50" i="123"/>
  <c r="H50" i="123"/>
  <c r="B46" i="123"/>
  <c r="K9" i="134"/>
  <c r="K8" i="134" s="1"/>
  <c r="L9" i="134"/>
  <c r="M9" i="134" s="1"/>
  <c r="H9" i="134"/>
  <c r="J8" i="134"/>
  <c r="I8" i="134"/>
  <c r="K52" i="123"/>
  <c r="L52" i="123"/>
  <c r="M52" i="123" s="1"/>
  <c r="N52" i="123" s="1"/>
  <c r="K40" i="123"/>
  <c r="L40" i="123"/>
  <c r="M40" i="123" s="1"/>
  <c r="K37" i="123"/>
  <c r="L37" i="123"/>
  <c r="M37" i="123" s="1"/>
  <c r="K38" i="123"/>
  <c r="L38" i="123"/>
  <c r="M38" i="123" s="1"/>
  <c r="K39" i="123"/>
  <c r="L39" i="123"/>
  <c r="M39" i="123" s="1"/>
  <c r="N39" i="123" s="1"/>
  <c r="J36" i="123"/>
  <c r="I36" i="123"/>
  <c r="H40" i="123"/>
  <c r="K26" i="120"/>
  <c r="L26" i="120"/>
  <c r="M26" i="120" s="1"/>
  <c r="H26" i="120"/>
  <c r="K25" i="120"/>
  <c r="L25" i="120"/>
  <c r="M25" i="120"/>
  <c r="R25" i="120" s="1"/>
  <c r="N25" i="120"/>
  <c r="H25" i="120"/>
  <c r="K24" i="120"/>
  <c r="L24" i="120"/>
  <c r="M24" i="120" s="1"/>
  <c r="H24" i="120"/>
  <c r="K23" i="120"/>
  <c r="L23" i="120"/>
  <c r="M23" i="120" s="1"/>
  <c r="H23" i="120"/>
  <c r="K22" i="120"/>
  <c r="L22" i="120"/>
  <c r="M22" i="120"/>
  <c r="N22" i="120" s="1"/>
  <c r="P22" i="120"/>
  <c r="R22" i="120"/>
  <c r="T22" i="120"/>
  <c r="H22" i="120"/>
  <c r="K21" i="120"/>
  <c r="L21" i="120"/>
  <c r="M21" i="120"/>
  <c r="T21" i="120" s="1"/>
  <c r="N21" i="120"/>
  <c r="H21" i="120"/>
  <c r="K14" i="120"/>
  <c r="L14" i="120"/>
  <c r="M14" i="120" s="1"/>
  <c r="N14" i="120" s="1"/>
  <c r="H14" i="120"/>
  <c r="H39" i="123"/>
  <c r="H38" i="123"/>
  <c r="K48" i="135"/>
  <c r="L48" i="135" s="1"/>
  <c r="J48" i="135"/>
  <c r="G48" i="135"/>
  <c r="L33" i="121"/>
  <c r="M33" i="121" s="1"/>
  <c r="K33" i="121"/>
  <c r="K32" i="121" s="1"/>
  <c r="H33" i="121"/>
  <c r="J32" i="121"/>
  <c r="I32" i="121"/>
  <c r="K47" i="135"/>
  <c r="L47" i="135" s="1"/>
  <c r="S47" i="135" s="1"/>
  <c r="J47" i="135"/>
  <c r="G47" i="135"/>
  <c r="K46" i="135"/>
  <c r="L46" i="135" s="1"/>
  <c r="J46" i="135"/>
  <c r="G46" i="135"/>
  <c r="K45" i="135"/>
  <c r="L45" i="135" s="1"/>
  <c r="J45" i="135"/>
  <c r="G45" i="135"/>
  <c r="W16" i="123"/>
  <c r="L16" i="123"/>
  <c r="M16" i="123" s="1"/>
  <c r="K16" i="123"/>
  <c r="H16" i="123"/>
  <c r="L37" i="120"/>
  <c r="M37" i="120" s="1"/>
  <c r="K37" i="120"/>
  <c r="H37" i="120"/>
  <c r="L36" i="120"/>
  <c r="M36" i="120" s="1"/>
  <c r="K36" i="120"/>
  <c r="H36" i="120"/>
  <c r="L35" i="120"/>
  <c r="M35" i="120" s="1"/>
  <c r="K35" i="120"/>
  <c r="H35" i="120"/>
  <c r="L34" i="120"/>
  <c r="M34" i="120" s="1"/>
  <c r="K34" i="120"/>
  <c r="H34" i="120"/>
  <c r="L33" i="120"/>
  <c r="M33" i="120"/>
  <c r="T33" i="120" s="1"/>
  <c r="K33" i="120"/>
  <c r="H33" i="120"/>
  <c r="L13" i="120"/>
  <c r="M13" i="120" s="1"/>
  <c r="K13" i="120"/>
  <c r="H13" i="120"/>
  <c r="K11" i="134"/>
  <c r="L11" i="134"/>
  <c r="M11" i="134" s="1"/>
  <c r="K13" i="134"/>
  <c r="L13" i="134"/>
  <c r="M13" i="134" s="1"/>
  <c r="K12" i="134"/>
  <c r="J10" i="134"/>
  <c r="J12" i="134"/>
  <c r="I10" i="134"/>
  <c r="I12" i="134"/>
  <c r="L13" i="133"/>
  <c r="M13" i="133" s="1"/>
  <c r="K13" i="133"/>
  <c r="H13" i="133"/>
  <c r="W17" i="133"/>
  <c r="X17" i="133" s="1"/>
  <c r="L17" i="133"/>
  <c r="M17" i="133"/>
  <c r="N17" i="133" s="1"/>
  <c r="K17" i="133"/>
  <c r="L22" i="119"/>
  <c r="M22" i="119" s="1"/>
  <c r="K22" i="119"/>
  <c r="J21" i="119"/>
  <c r="I21" i="119"/>
  <c r="L16" i="133"/>
  <c r="M16" i="133" s="1"/>
  <c r="K16" i="133"/>
  <c r="H16" i="133"/>
  <c r="J8" i="121"/>
  <c r="I8" i="121"/>
  <c r="L24" i="121"/>
  <c r="M24" i="121" s="1"/>
  <c r="K24" i="121"/>
  <c r="H24" i="121"/>
  <c r="H26" i="121"/>
  <c r="L11" i="133"/>
  <c r="M11" i="133" s="1"/>
  <c r="R11" i="133" s="1"/>
  <c r="K11" i="133"/>
  <c r="H11" i="133"/>
  <c r="L12" i="133"/>
  <c r="M12" i="133" s="1"/>
  <c r="K12" i="133"/>
  <c r="H12" i="133"/>
  <c r="H14" i="133"/>
  <c r="K14" i="133"/>
  <c r="L14" i="133"/>
  <c r="M14" i="133" s="1"/>
  <c r="H15" i="133"/>
  <c r="K15" i="133"/>
  <c r="L15" i="133"/>
  <c r="M15" i="133" s="1"/>
  <c r="H17" i="133"/>
  <c r="L10" i="133"/>
  <c r="M10" i="133" s="1"/>
  <c r="R10" i="133" s="1"/>
  <c r="L9" i="133"/>
  <c r="M9" i="133"/>
  <c r="R9" i="133" s="1"/>
  <c r="H10" i="133"/>
  <c r="H9" i="133"/>
  <c r="K49" i="135"/>
  <c r="L49" i="135" s="1"/>
  <c r="K44" i="135"/>
  <c r="L44" i="135" s="1"/>
  <c r="Q44" i="135" s="1"/>
  <c r="K43" i="135"/>
  <c r="L43" i="135" s="1"/>
  <c r="Q43" i="135" s="1"/>
  <c r="K42" i="135"/>
  <c r="L42" i="135" s="1"/>
  <c r="M42" i="135" s="1"/>
  <c r="K33" i="135"/>
  <c r="L33" i="135" s="1"/>
  <c r="K32" i="135"/>
  <c r="L32" i="135"/>
  <c r="S32" i="135" s="1"/>
  <c r="K31" i="135"/>
  <c r="L31" i="135" s="1"/>
  <c r="K30" i="135"/>
  <c r="L30" i="135"/>
  <c r="M30" i="135" s="1"/>
  <c r="K29" i="135"/>
  <c r="L29" i="135" s="1"/>
  <c r="S29" i="135" s="1"/>
  <c r="K28" i="135"/>
  <c r="L28" i="135"/>
  <c r="Q28" i="135" s="1"/>
  <c r="K27" i="135"/>
  <c r="L27" i="135" s="1"/>
  <c r="K26" i="135"/>
  <c r="L26" i="135" s="1"/>
  <c r="K25" i="135"/>
  <c r="L25" i="135" s="1"/>
  <c r="K17" i="135"/>
  <c r="L17" i="135"/>
  <c r="M17" i="135" s="1"/>
  <c r="K16" i="135"/>
  <c r="L16" i="135" s="1"/>
  <c r="K15" i="135"/>
  <c r="L15" i="135"/>
  <c r="S15" i="135" s="1"/>
  <c r="K14" i="135"/>
  <c r="L14" i="135" s="1"/>
  <c r="O14" i="135" s="1"/>
  <c r="K13" i="135"/>
  <c r="L13" i="135"/>
  <c r="M13" i="135" s="1"/>
  <c r="K12" i="135"/>
  <c r="L12" i="135"/>
  <c r="Q12" i="135" s="1"/>
  <c r="K11" i="135"/>
  <c r="L11" i="135"/>
  <c r="M11" i="135" s="1"/>
  <c r="K10" i="135"/>
  <c r="L10" i="135"/>
  <c r="S10" i="135" s="1"/>
  <c r="K9" i="135"/>
  <c r="L9" i="135" s="1"/>
  <c r="Q9" i="135" s="1"/>
  <c r="G49" i="135"/>
  <c r="G44" i="135"/>
  <c r="G43" i="135"/>
  <c r="G42" i="135"/>
  <c r="G33" i="135"/>
  <c r="G32" i="135"/>
  <c r="G31" i="135"/>
  <c r="G30" i="135"/>
  <c r="G29" i="135"/>
  <c r="G28" i="135"/>
  <c r="G27" i="135"/>
  <c r="G26" i="135"/>
  <c r="G25" i="135"/>
  <c r="G17" i="135"/>
  <c r="G16" i="135"/>
  <c r="G15" i="135"/>
  <c r="G14" i="135"/>
  <c r="G13" i="135"/>
  <c r="G12" i="135"/>
  <c r="G11" i="135"/>
  <c r="G10" i="135"/>
  <c r="G9" i="135"/>
  <c r="H21" i="132"/>
  <c r="H20" i="132"/>
  <c r="H13" i="132"/>
  <c r="H12" i="132"/>
  <c r="H11" i="132"/>
  <c r="H10" i="132"/>
  <c r="H9" i="132"/>
  <c r="L21" i="132"/>
  <c r="M21" i="132" s="1"/>
  <c r="L20" i="132"/>
  <c r="M20" i="132" s="1"/>
  <c r="L13" i="132"/>
  <c r="M13" i="132" s="1"/>
  <c r="L12" i="132"/>
  <c r="M12" i="132" s="1"/>
  <c r="L11" i="132"/>
  <c r="M11" i="132" s="1"/>
  <c r="L10" i="132"/>
  <c r="M10" i="132" s="1"/>
  <c r="L9" i="132"/>
  <c r="M9" i="132" s="1"/>
  <c r="K9" i="136"/>
  <c r="L9" i="136" s="1"/>
  <c r="L23" i="131"/>
  <c r="M23" i="131"/>
  <c r="P23" i="131" s="1"/>
  <c r="L22" i="131"/>
  <c r="M22" i="131"/>
  <c r="P22" i="131" s="1"/>
  <c r="T22" i="131"/>
  <c r="L21" i="131"/>
  <c r="M21" i="131"/>
  <c r="N21" i="131" s="1"/>
  <c r="T21" i="131"/>
  <c r="L20" i="131"/>
  <c r="M20" i="131" s="1"/>
  <c r="L13" i="131"/>
  <c r="M13" i="131" s="1"/>
  <c r="L12" i="131"/>
  <c r="M12" i="131" s="1"/>
  <c r="N12" i="131" s="1"/>
  <c r="L11" i="131"/>
  <c r="M11" i="131" s="1"/>
  <c r="L10" i="131"/>
  <c r="M10" i="131"/>
  <c r="R10" i="131" s="1"/>
  <c r="L9" i="131"/>
  <c r="M11" i="118"/>
  <c r="R11" i="118" s="1"/>
  <c r="P11" i="118"/>
  <c r="M10" i="118"/>
  <c r="R10" i="118"/>
  <c r="H23" i="131"/>
  <c r="H22" i="131"/>
  <c r="H21" i="131"/>
  <c r="H20" i="131"/>
  <c r="H13" i="131"/>
  <c r="H12" i="131"/>
  <c r="H11" i="131"/>
  <c r="H10" i="131"/>
  <c r="H9" i="131"/>
  <c r="L12" i="118"/>
  <c r="M12" i="118" s="1"/>
  <c r="L11" i="118"/>
  <c r="L10" i="118"/>
  <c r="H12" i="118"/>
  <c r="H11" i="118"/>
  <c r="H10" i="118"/>
  <c r="L27" i="123"/>
  <c r="M27" i="123" s="1"/>
  <c r="P27" i="123" s="1"/>
  <c r="L25" i="123"/>
  <c r="M25" i="123" s="1"/>
  <c r="L24" i="123"/>
  <c r="M24" i="123" s="1"/>
  <c r="R24" i="123" s="1"/>
  <c r="L22" i="123"/>
  <c r="M22" i="123" s="1"/>
  <c r="N22" i="123" s="1"/>
  <c r="L13" i="123"/>
  <c r="M13" i="123" s="1"/>
  <c r="L12" i="123"/>
  <c r="M12" i="123" s="1"/>
  <c r="T12" i="123" s="1"/>
  <c r="L10" i="123"/>
  <c r="M10" i="123" s="1"/>
  <c r="W13" i="123"/>
  <c r="X13" i="123" s="1"/>
  <c r="L9" i="123"/>
  <c r="H52" i="123"/>
  <c r="H37" i="123"/>
  <c r="H27" i="123"/>
  <c r="H25" i="123"/>
  <c r="H24" i="123"/>
  <c r="H22" i="123"/>
  <c r="H13" i="123"/>
  <c r="H12" i="123"/>
  <c r="H10" i="123"/>
  <c r="H9" i="123"/>
  <c r="L38" i="121"/>
  <c r="M38" i="121" s="1"/>
  <c r="T38" i="121" s="1"/>
  <c r="L36" i="121"/>
  <c r="M36" i="121" s="1"/>
  <c r="L35" i="121"/>
  <c r="M35" i="121" s="1"/>
  <c r="N35" i="121" s="1"/>
  <c r="H38" i="121"/>
  <c r="H36" i="121"/>
  <c r="H35" i="121"/>
  <c r="H23" i="121"/>
  <c r="H22" i="121"/>
  <c r="H21" i="121"/>
  <c r="H20" i="121"/>
  <c r="L23" i="121"/>
  <c r="M23" i="121" s="1"/>
  <c r="N23" i="121" s="1"/>
  <c r="L22" i="121"/>
  <c r="M22" i="121"/>
  <c r="L21" i="121"/>
  <c r="M21" i="121" s="1"/>
  <c r="L20" i="121"/>
  <c r="M20" i="121" s="1"/>
  <c r="L13" i="121"/>
  <c r="M13" i="121" s="1"/>
  <c r="L12" i="121"/>
  <c r="M12" i="121" s="1"/>
  <c r="L11" i="121"/>
  <c r="M11" i="121"/>
  <c r="N11" i="121" s="1"/>
  <c r="L10" i="121"/>
  <c r="M10" i="121"/>
  <c r="T10" i="121" s="1"/>
  <c r="L9" i="121"/>
  <c r="M9" i="121" s="1"/>
  <c r="H13" i="121"/>
  <c r="H12" i="121"/>
  <c r="H11" i="121"/>
  <c r="H10" i="121"/>
  <c r="H9" i="121"/>
  <c r="L12" i="120"/>
  <c r="M12" i="120"/>
  <c r="N12" i="120" s="1"/>
  <c r="L11" i="120"/>
  <c r="M11" i="120" s="1"/>
  <c r="L10" i="120"/>
  <c r="M10" i="120" s="1"/>
  <c r="L9" i="120"/>
  <c r="M9" i="120" s="1"/>
  <c r="H12" i="120"/>
  <c r="H11" i="120"/>
  <c r="H10" i="120"/>
  <c r="H9" i="120"/>
  <c r="H11" i="134"/>
  <c r="H13" i="134"/>
  <c r="L24" i="119"/>
  <c r="M24" i="119"/>
  <c r="R24" i="119" s="1"/>
  <c r="L20" i="119"/>
  <c r="M20" i="119"/>
  <c r="R20" i="119" s="1"/>
  <c r="L19" i="119"/>
  <c r="M19" i="119" s="1"/>
  <c r="L13" i="119"/>
  <c r="M13" i="119"/>
  <c r="R13" i="119" s="1"/>
  <c r="L11" i="119"/>
  <c r="M11" i="119" s="1"/>
  <c r="L10" i="119"/>
  <c r="M10" i="119"/>
  <c r="P10" i="119" s="1"/>
  <c r="L9" i="119"/>
  <c r="L26" i="119" s="1"/>
  <c r="M9" i="119"/>
  <c r="S11" i="136"/>
  <c r="M11" i="136"/>
  <c r="Q11" i="136"/>
  <c r="O11" i="136"/>
  <c r="L11" i="136"/>
  <c r="P9" i="133"/>
  <c r="N9" i="133"/>
  <c r="O9" i="133" s="1"/>
  <c r="Q9" i="133" s="1"/>
  <c r="S9" i="133" s="1"/>
  <c r="V23" i="119"/>
  <c r="J23" i="119"/>
  <c r="I23" i="119"/>
  <c r="K20" i="119"/>
  <c r="K19" i="119"/>
  <c r="K18" i="119" s="1"/>
  <c r="J18" i="119"/>
  <c r="I18" i="119"/>
  <c r="B18" i="131"/>
  <c r="K27" i="123"/>
  <c r="K26" i="123" s="1"/>
  <c r="J26" i="123"/>
  <c r="I26" i="123"/>
  <c r="B34" i="123"/>
  <c r="B20" i="123"/>
  <c r="J34" i="121"/>
  <c r="I34" i="121"/>
  <c r="B30" i="121"/>
  <c r="K35" i="121"/>
  <c r="B31" i="120"/>
  <c r="B19" i="120"/>
  <c r="I38" i="120"/>
  <c r="I50" i="135"/>
  <c r="J23" i="132"/>
  <c r="I11" i="136"/>
  <c r="J23" i="123"/>
  <c r="I23" i="123"/>
  <c r="J11" i="123"/>
  <c r="J8" i="123"/>
  <c r="J38" i="120"/>
  <c r="K21" i="121"/>
  <c r="K10" i="121"/>
  <c r="N11" i="136"/>
  <c r="P11" i="136"/>
  <c r="R11" i="136"/>
  <c r="T11" i="136"/>
  <c r="J12" i="119"/>
  <c r="I12" i="119"/>
  <c r="J42" i="135"/>
  <c r="J18" i="133"/>
  <c r="I18" i="133"/>
  <c r="H11" i="136"/>
  <c r="J8" i="119"/>
  <c r="B40" i="135"/>
  <c r="K20" i="121"/>
  <c r="K12" i="121"/>
  <c r="B18" i="121"/>
  <c r="K22" i="123"/>
  <c r="K21" i="132"/>
  <c r="K20" i="132"/>
  <c r="W21" i="132"/>
  <c r="X21" i="132" s="1"/>
  <c r="K10" i="133"/>
  <c r="K9" i="133"/>
  <c r="J44" i="135"/>
  <c r="K13" i="132"/>
  <c r="J9" i="136"/>
  <c r="J11" i="136" s="1"/>
  <c r="G9" i="136"/>
  <c r="J25" i="135"/>
  <c r="K10" i="120"/>
  <c r="K38" i="121"/>
  <c r="K23" i="121"/>
  <c r="W23" i="121"/>
  <c r="X23" i="121"/>
  <c r="J43" i="135"/>
  <c r="J14" i="135"/>
  <c r="J26" i="135"/>
  <c r="I11" i="123"/>
  <c r="K13" i="121"/>
  <c r="J49" i="135"/>
  <c r="J33" i="135"/>
  <c r="J32" i="135"/>
  <c r="J31" i="135"/>
  <c r="J30" i="135"/>
  <c r="J29" i="135"/>
  <c r="J28" i="135"/>
  <c r="J27" i="135"/>
  <c r="J17" i="135"/>
  <c r="J16" i="135"/>
  <c r="J15" i="135"/>
  <c r="K13" i="123"/>
  <c r="A3" i="136"/>
  <c r="W24" i="119"/>
  <c r="W23" i="119" s="1"/>
  <c r="K24" i="119"/>
  <c r="K23" i="119" s="1"/>
  <c r="X24" i="119"/>
  <c r="X23" i="119" s="1"/>
  <c r="J13" i="135"/>
  <c r="J11" i="135"/>
  <c r="A3" i="132"/>
  <c r="A3" i="133" s="1"/>
  <c r="A3" i="131"/>
  <c r="A3" i="118"/>
  <c r="A3" i="123"/>
  <c r="A3" i="121"/>
  <c r="A3" i="120"/>
  <c r="B3" i="134"/>
  <c r="K12" i="132"/>
  <c r="K25" i="123"/>
  <c r="K22" i="121"/>
  <c r="I8" i="123"/>
  <c r="W25" i="123"/>
  <c r="X25" i="123" s="1"/>
  <c r="K36" i="121"/>
  <c r="K11" i="120"/>
  <c r="K24" i="123"/>
  <c r="K11" i="121"/>
  <c r="K9" i="121"/>
  <c r="K9" i="132"/>
  <c r="K11" i="132"/>
  <c r="J9" i="135"/>
  <c r="J12" i="135"/>
  <c r="K10" i="118"/>
  <c r="K10" i="119"/>
  <c r="K12" i="123"/>
  <c r="K9" i="120"/>
  <c r="K13" i="119"/>
  <c r="K12" i="119" s="1"/>
  <c r="K10" i="123"/>
  <c r="J10" i="135"/>
  <c r="K10" i="132"/>
  <c r="H50" i="135"/>
  <c r="K12" i="120"/>
  <c r="K9" i="123"/>
  <c r="K11" i="136"/>
  <c r="K12" i="131"/>
  <c r="K9" i="119"/>
  <c r="K13" i="131"/>
  <c r="K23" i="131"/>
  <c r="K22" i="131"/>
  <c r="K21" i="131"/>
  <c r="K20" i="131"/>
  <c r="K11" i="131"/>
  <c r="K10" i="131"/>
  <c r="K9" i="131"/>
  <c r="R14" i="134"/>
  <c r="N14" i="134"/>
  <c r="L14" i="134"/>
  <c r="M14" i="134"/>
  <c r="P14" i="134"/>
  <c r="O14" i="134"/>
  <c r="J37" i="121"/>
  <c r="Q14" i="134"/>
  <c r="S14" i="134"/>
  <c r="I37" i="121"/>
  <c r="K11" i="118"/>
  <c r="K14" i="118" s="1"/>
  <c r="J14" i="118"/>
  <c r="I8" i="119"/>
  <c r="K11" i="119"/>
  <c r="I23" i="132"/>
  <c r="I25" i="131"/>
  <c r="K12" i="118"/>
  <c r="L14" i="118"/>
  <c r="I14" i="118"/>
  <c r="T14" i="134"/>
  <c r="U14" i="134"/>
  <c r="M15" i="135" l="1"/>
  <c r="N15" i="135" s="1"/>
  <c r="O15" i="135"/>
  <c r="T13" i="133"/>
  <c r="R13" i="133"/>
  <c r="P13" i="133"/>
  <c r="N13" i="133"/>
  <c r="O13" i="133" s="1"/>
  <c r="Q13" i="133" s="1"/>
  <c r="N12" i="133"/>
  <c r="T12" i="133"/>
  <c r="R12" i="133"/>
  <c r="P12" i="133"/>
  <c r="O12" i="133"/>
  <c r="Q12" i="133" s="1"/>
  <c r="S12" i="133" s="1"/>
  <c r="U12" i="133" s="1"/>
  <c r="U9" i="133"/>
  <c r="T16" i="133"/>
  <c r="P16" i="133"/>
  <c r="R16" i="133"/>
  <c r="N16" i="133"/>
  <c r="O16" i="133" s="1"/>
  <c r="Q16" i="133" s="1"/>
  <c r="S16" i="133" s="1"/>
  <c r="U16" i="133" s="1"/>
  <c r="R14" i="133"/>
  <c r="R18" i="133" s="1"/>
  <c r="P14" i="133"/>
  <c r="N14" i="133"/>
  <c r="T14" i="133"/>
  <c r="O14" i="133"/>
  <c r="T9" i="133"/>
  <c r="P17" i="133"/>
  <c r="R17" i="133"/>
  <c r="T10" i="133"/>
  <c r="T17" i="133"/>
  <c r="L18" i="133"/>
  <c r="O17" i="133"/>
  <c r="N10" i="133"/>
  <c r="O10" i="133" s="1"/>
  <c r="P10" i="133"/>
  <c r="T11" i="133"/>
  <c r="K18" i="133"/>
  <c r="M49" i="135"/>
  <c r="O49" i="135"/>
  <c r="Q49" i="135"/>
  <c r="S49" i="135"/>
  <c r="S28" i="135"/>
  <c r="O28" i="135"/>
  <c r="M28" i="135"/>
  <c r="N28" i="135" s="1"/>
  <c r="P28" i="135" s="1"/>
  <c r="R28" i="135" s="1"/>
  <c r="T28" i="135" s="1"/>
  <c r="V28" i="135" s="1"/>
  <c r="W28" i="135" s="1"/>
  <c r="P15" i="135"/>
  <c r="O25" i="135"/>
  <c r="Q25" i="135"/>
  <c r="S25" i="135"/>
  <c r="S27" i="135"/>
  <c r="O27" i="135"/>
  <c r="M27" i="135"/>
  <c r="N27" i="135" s="1"/>
  <c r="P27" i="135" s="1"/>
  <c r="Q27" i="135"/>
  <c r="M32" i="135"/>
  <c r="N32" i="135" s="1"/>
  <c r="P32" i="135" s="1"/>
  <c r="S30" i="135"/>
  <c r="M29" i="135"/>
  <c r="N29" i="135" s="1"/>
  <c r="P29" i="135" s="1"/>
  <c r="Q29" i="135"/>
  <c r="S43" i="135"/>
  <c r="M47" i="135"/>
  <c r="N47" i="135" s="1"/>
  <c r="O47" i="135"/>
  <c r="Q15" i="135"/>
  <c r="M43" i="135"/>
  <c r="N43" i="135" s="1"/>
  <c r="O43" i="135"/>
  <c r="Q47" i="135"/>
  <c r="Q32" i="135"/>
  <c r="O32" i="135"/>
  <c r="O29" i="135"/>
  <c r="O16" i="135"/>
  <c r="S16" i="135"/>
  <c r="M16" i="135"/>
  <c r="N16" i="135" s="1"/>
  <c r="P16" i="135" s="1"/>
  <c r="Q16" i="135"/>
  <c r="M46" i="135"/>
  <c r="S46" i="135"/>
  <c r="Q46" i="135"/>
  <c r="N46" i="135"/>
  <c r="O46" i="135"/>
  <c r="S31" i="135"/>
  <c r="Q31" i="135"/>
  <c r="O31" i="135"/>
  <c r="M31" i="135"/>
  <c r="N31" i="135"/>
  <c r="P31" i="135" s="1"/>
  <c r="R31" i="135" s="1"/>
  <c r="T31" i="135" s="1"/>
  <c r="Q33" i="135"/>
  <c r="O33" i="135"/>
  <c r="M33" i="135"/>
  <c r="N33" i="135"/>
  <c r="P33" i="135" s="1"/>
  <c r="R33" i="135" s="1"/>
  <c r="S33" i="135"/>
  <c r="S48" i="135"/>
  <c r="Q48" i="135"/>
  <c r="O48" i="135"/>
  <c r="M48" i="135"/>
  <c r="N48" i="135" s="1"/>
  <c r="P48" i="135" s="1"/>
  <c r="R48" i="135" s="1"/>
  <c r="T48" i="135" s="1"/>
  <c r="Q45" i="135"/>
  <c r="S45" i="135"/>
  <c r="O45" i="135"/>
  <c r="M45" i="135"/>
  <c r="N45" i="135" s="1"/>
  <c r="P45" i="135" s="1"/>
  <c r="O17" i="135"/>
  <c r="Q17" i="135"/>
  <c r="N44" i="135"/>
  <c r="O26" i="135"/>
  <c r="O44" i="135"/>
  <c r="N11" i="135"/>
  <c r="S42" i="135"/>
  <c r="Q42" i="135"/>
  <c r="N13" i="135"/>
  <c r="N17" i="135"/>
  <c r="P17" i="135" s="1"/>
  <c r="R17" i="135" s="1"/>
  <c r="T17" i="135" s="1"/>
  <c r="M26" i="135"/>
  <c r="N26" i="135" s="1"/>
  <c r="P26" i="135" s="1"/>
  <c r="S44" i="135"/>
  <c r="O11" i="135"/>
  <c r="O42" i="135"/>
  <c r="S11" i="135"/>
  <c r="Q26" i="135"/>
  <c r="Q11" i="135"/>
  <c r="Q30" i="135"/>
  <c r="S17" i="135"/>
  <c r="N42" i="135"/>
  <c r="M44" i="135"/>
  <c r="S26" i="135"/>
  <c r="O30" i="135"/>
  <c r="N49" i="135"/>
  <c r="M25" i="135"/>
  <c r="N25" i="135" s="1"/>
  <c r="N30" i="135"/>
  <c r="P30" i="135" s="1"/>
  <c r="M23" i="132"/>
  <c r="K23" i="132"/>
  <c r="O9" i="136"/>
  <c r="S9" i="136"/>
  <c r="Q9" i="136"/>
  <c r="M9" i="136"/>
  <c r="N9" i="136" s="1"/>
  <c r="P9" i="136" s="1"/>
  <c r="R9" i="136" s="1"/>
  <c r="T9" i="136" s="1"/>
  <c r="T10" i="131"/>
  <c r="K25" i="131"/>
  <c r="N11" i="131"/>
  <c r="O11" i="131" s="1"/>
  <c r="T11" i="131"/>
  <c r="L25" i="131"/>
  <c r="P10" i="131"/>
  <c r="N10" i="131"/>
  <c r="O10" i="131" s="1"/>
  <c r="Q10" i="131" s="1"/>
  <c r="M9" i="131"/>
  <c r="P13" i="131"/>
  <c r="T13" i="131"/>
  <c r="R13" i="131"/>
  <c r="N13" i="131"/>
  <c r="O13" i="131" s="1"/>
  <c r="Q13" i="131" s="1"/>
  <c r="S13" i="131" s="1"/>
  <c r="U13" i="131" s="1"/>
  <c r="S10" i="131"/>
  <c r="U10" i="131" s="1"/>
  <c r="T20" i="131"/>
  <c r="R20" i="131"/>
  <c r="P20" i="131"/>
  <c r="N20" i="131"/>
  <c r="O20" i="131"/>
  <c r="Q20" i="131" s="1"/>
  <c r="S20" i="131" s="1"/>
  <c r="U20" i="131" s="1"/>
  <c r="P12" i="131"/>
  <c r="O21" i="131"/>
  <c r="R22" i="131"/>
  <c r="N23" i="131"/>
  <c r="O23" i="131" s="1"/>
  <c r="Q23" i="131" s="1"/>
  <c r="T12" i="131"/>
  <c r="T23" i="131"/>
  <c r="R23" i="131"/>
  <c r="O12" i="131"/>
  <c r="R21" i="131"/>
  <c r="R12" i="131"/>
  <c r="N22" i="131"/>
  <c r="O22" i="131" s="1"/>
  <c r="Q22" i="131" s="1"/>
  <c r="N9" i="131"/>
  <c r="O9" i="131" s="1"/>
  <c r="P11" i="131"/>
  <c r="P21" i="131"/>
  <c r="R11" i="131"/>
  <c r="N12" i="118"/>
  <c r="T12" i="118"/>
  <c r="N10" i="118"/>
  <c r="M14" i="118"/>
  <c r="P10" i="118"/>
  <c r="O12" i="118"/>
  <c r="T10" i="118"/>
  <c r="R12" i="118"/>
  <c r="R14" i="118" s="1"/>
  <c r="T11" i="118"/>
  <c r="P12" i="118"/>
  <c r="N11" i="118"/>
  <c r="O11" i="118" s="1"/>
  <c r="Q11" i="118" s="1"/>
  <c r="S11" i="118" s="1"/>
  <c r="U11" i="118" s="1"/>
  <c r="P23" i="121"/>
  <c r="T23" i="121"/>
  <c r="R23" i="121"/>
  <c r="R36" i="120"/>
  <c r="N36" i="120"/>
  <c r="O36" i="120" s="1"/>
  <c r="P21" i="120"/>
  <c r="P25" i="120"/>
  <c r="T12" i="120"/>
  <c r="O21" i="120"/>
  <c r="Q21" i="120" s="1"/>
  <c r="O25" i="120"/>
  <c r="Q25" i="120" s="1"/>
  <c r="R21" i="120"/>
  <c r="R11" i="120"/>
  <c r="N11" i="120"/>
  <c r="O11" i="120"/>
  <c r="P11" i="120"/>
  <c r="T11" i="120"/>
  <c r="P13" i="120"/>
  <c r="N13" i="120"/>
  <c r="O13" i="120" s="1"/>
  <c r="Q13" i="120" s="1"/>
  <c r="R13" i="120"/>
  <c r="T13" i="120"/>
  <c r="S25" i="120"/>
  <c r="P34" i="120"/>
  <c r="N34" i="120"/>
  <c r="O34" i="120" s="1"/>
  <c r="R34" i="120"/>
  <c r="T34" i="120"/>
  <c r="R35" i="120"/>
  <c r="N35" i="120"/>
  <c r="O35" i="120" s="1"/>
  <c r="P35" i="120"/>
  <c r="T35" i="120"/>
  <c r="P24" i="120"/>
  <c r="T24" i="120"/>
  <c r="N24" i="120"/>
  <c r="O24" i="120" s="1"/>
  <c r="Q24" i="120" s="1"/>
  <c r="R24" i="120"/>
  <c r="Q36" i="120"/>
  <c r="S36" i="120" s="1"/>
  <c r="U36" i="120" s="1"/>
  <c r="R9" i="120"/>
  <c r="P9" i="120"/>
  <c r="N9" i="120"/>
  <c r="O9" i="120"/>
  <c r="T9" i="120"/>
  <c r="R10" i="120"/>
  <c r="N10" i="120"/>
  <c r="O10" i="120" s="1"/>
  <c r="Q10" i="120" s="1"/>
  <c r="T10" i="120"/>
  <c r="P10" i="120"/>
  <c r="P36" i="120"/>
  <c r="R12" i="120"/>
  <c r="P12" i="120"/>
  <c r="T36" i="120"/>
  <c r="O22" i="120"/>
  <c r="Q22" i="120" s="1"/>
  <c r="S22" i="120" s="1"/>
  <c r="U22" i="120" s="1"/>
  <c r="O12" i="120"/>
  <c r="Q12" i="120" s="1"/>
  <c r="S12" i="120" s="1"/>
  <c r="U12" i="120" s="1"/>
  <c r="T25" i="120"/>
  <c r="N13" i="134"/>
  <c r="P13" i="134"/>
  <c r="R13" i="134"/>
  <c r="T13" i="134"/>
  <c r="T9" i="134"/>
  <c r="R9" i="134"/>
  <c r="P9" i="134"/>
  <c r="N9" i="134"/>
  <c r="O9" i="134" s="1"/>
  <c r="Q9" i="134" s="1"/>
  <c r="S9" i="134" s="1"/>
  <c r="U9" i="134" s="1"/>
  <c r="R11" i="134"/>
  <c r="N11" i="134"/>
  <c r="O11" i="134" s="1"/>
  <c r="P11" i="134"/>
  <c r="O13" i="134"/>
  <c r="Q13" i="134" s="1"/>
  <c r="S13" i="134" s="1"/>
  <c r="U13" i="134" s="1"/>
  <c r="V9" i="134"/>
  <c r="V8" i="134" s="1"/>
  <c r="W9" i="134"/>
  <c r="V13" i="134"/>
  <c r="V12" i="134" s="1"/>
  <c r="W13" i="134"/>
  <c r="K10" i="134"/>
  <c r="K14" i="134" s="1"/>
  <c r="J14" i="134"/>
  <c r="T11" i="134"/>
  <c r="I14" i="134"/>
  <c r="I26" i="119"/>
  <c r="Y24" i="119"/>
  <c r="Y23" i="119" s="1"/>
  <c r="T10" i="119"/>
  <c r="N10" i="119"/>
  <c r="O10" i="119" s="1"/>
  <c r="Q10" i="119" s="1"/>
  <c r="S10" i="119" s="1"/>
  <c r="U10" i="119" s="1"/>
  <c r="R10" i="119"/>
  <c r="J26" i="119"/>
  <c r="N24" i="119"/>
  <c r="O24" i="119" s="1"/>
  <c r="T13" i="119"/>
  <c r="P24" i="119"/>
  <c r="M26" i="119"/>
  <c r="V10" i="119"/>
  <c r="W10" i="119"/>
  <c r="X10" i="119" s="1"/>
  <c r="Y10" i="119" s="1"/>
  <c r="N19" i="119"/>
  <c r="O19" i="119" s="1"/>
  <c r="P19" i="119"/>
  <c r="R19" i="119"/>
  <c r="T19" i="119"/>
  <c r="T11" i="119"/>
  <c r="P11" i="119"/>
  <c r="N11" i="119"/>
  <c r="O11" i="119" s="1"/>
  <c r="Q11" i="119" s="1"/>
  <c r="S11" i="119" s="1"/>
  <c r="U11" i="119" s="1"/>
  <c r="R11" i="119"/>
  <c r="P22" i="119"/>
  <c r="T22" i="119"/>
  <c r="R22" i="119"/>
  <c r="N22" i="119"/>
  <c r="O22" i="119" s="1"/>
  <c r="Q22" i="119" s="1"/>
  <c r="S22" i="119" s="1"/>
  <c r="U22" i="119" s="1"/>
  <c r="N13" i="119"/>
  <c r="O13" i="119" s="1"/>
  <c r="P13" i="119"/>
  <c r="K21" i="119"/>
  <c r="T20" i="119"/>
  <c r="P9" i="119"/>
  <c r="K8" i="119"/>
  <c r="K26" i="119" s="1"/>
  <c r="R9" i="119"/>
  <c r="N20" i="119"/>
  <c r="O20" i="119" s="1"/>
  <c r="T9" i="119"/>
  <c r="P20" i="119"/>
  <c r="N9" i="119"/>
  <c r="T24" i="119"/>
  <c r="I54" i="123"/>
  <c r="K14" i="123"/>
  <c r="J54" i="123"/>
  <c r="X16" i="123"/>
  <c r="L8" i="123"/>
  <c r="N10" i="132"/>
  <c r="O10" i="132" s="1"/>
  <c r="L23" i="132"/>
  <c r="J40" i="121"/>
  <c r="P11" i="132"/>
  <c r="R11" i="132"/>
  <c r="T11" i="132"/>
  <c r="N11" i="132"/>
  <c r="O11" i="132" s="1"/>
  <c r="Q11" i="132" s="1"/>
  <c r="P12" i="132"/>
  <c r="T12" i="132"/>
  <c r="R12" i="132"/>
  <c r="N12" i="132"/>
  <c r="O12" i="132" s="1"/>
  <c r="Q12" i="132" s="1"/>
  <c r="S12" i="132" s="1"/>
  <c r="T13" i="132"/>
  <c r="N13" i="132"/>
  <c r="O13" i="132" s="1"/>
  <c r="P13" i="132"/>
  <c r="R13" i="132"/>
  <c r="N20" i="132"/>
  <c r="O20" i="132" s="1"/>
  <c r="T20" i="132"/>
  <c r="P20" i="132"/>
  <c r="R20" i="132"/>
  <c r="R21" i="132"/>
  <c r="T21" i="132"/>
  <c r="P21" i="132"/>
  <c r="N21" i="132"/>
  <c r="O21" i="132" s="1"/>
  <c r="Q21" i="132" s="1"/>
  <c r="N9" i="132"/>
  <c r="P9" i="132"/>
  <c r="R9" i="132"/>
  <c r="T9" i="132"/>
  <c r="P10" i="132"/>
  <c r="R10" i="132"/>
  <c r="T10" i="132"/>
  <c r="P11" i="121"/>
  <c r="R33" i="120"/>
  <c r="N33" i="120"/>
  <c r="O33" i="120" s="1"/>
  <c r="P33" i="120"/>
  <c r="R23" i="120"/>
  <c r="N23" i="120"/>
  <c r="O23" i="120" s="1"/>
  <c r="M14" i="135"/>
  <c r="N14" i="135" s="1"/>
  <c r="P14" i="135" s="1"/>
  <c r="S14" i="135"/>
  <c r="Q14" i="135"/>
  <c r="Q13" i="135"/>
  <c r="S13" i="135"/>
  <c r="O13" i="135"/>
  <c r="S12" i="135"/>
  <c r="M12" i="135"/>
  <c r="N12" i="135" s="1"/>
  <c r="O12" i="135"/>
  <c r="K50" i="135"/>
  <c r="M10" i="135"/>
  <c r="N10" i="135" s="1"/>
  <c r="O10" i="135"/>
  <c r="Q10" i="135"/>
  <c r="L50" i="135"/>
  <c r="J50" i="135"/>
  <c r="S9" i="135"/>
  <c r="M9" i="135"/>
  <c r="O9" i="135"/>
  <c r="X28" i="123"/>
  <c r="Y29" i="123"/>
  <c r="Y28" i="123" s="1"/>
  <c r="K8" i="123"/>
  <c r="R37" i="120"/>
  <c r="T37" i="120"/>
  <c r="N37" i="120"/>
  <c r="O37" i="120" s="1"/>
  <c r="P37" i="120"/>
  <c r="P23" i="120"/>
  <c r="T23" i="120"/>
  <c r="M18" i="133"/>
  <c r="P15" i="133"/>
  <c r="N15" i="133"/>
  <c r="O15" i="133"/>
  <c r="R15" i="133"/>
  <c r="T15" i="133"/>
  <c r="N11" i="133"/>
  <c r="P11" i="133"/>
  <c r="R33" i="121"/>
  <c r="T33" i="121"/>
  <c r="P33" i="121"/>
  <c r="T11" i="121"/>
  <c r="P36" i="121"/>
  <c r="R36" i="121"/>
  <c r="N36" i="121"/>
  <c r="O36" i="121"/>
  <c r="Q36" i="121" s="1"/>
  <c r="S36" i="121" s="1"/>
  <c r="T36" i="121"/>
  <c r="I40" i="121"/>
  <c r="R11" i="121"/>
  <c r="K8" i="121"/>
  <c r="N33" i="121"/>
  <c r="O33" i="121" s="1"/>
  <c r="Q33" i="121" s="1"/>
  <c r="S33" i="121" s="1"/>
  <c r="U33" i="121" s="1"/>
  <c r="O23" i="121"/>
  <c r="Q23" i="121" s="1"/>
  <c r="S23" i="121" s="1"/>
  <c r="U23" i="121" s="1"/>
  <c r="V23" i="121" s="1"/>
  <c r="Y23" i="121" s="1"/>
  <c r="R10" i="121"/>
  <c r="P10" i="121"/>
  <c r="N10" i="121"/>
  <c r="O10" i="121" s="1"/>
  <c r="N24" i="121"/>
  <c r="O24" i="121" s="1"/>
  <c r="R24" i="121"/>
  <c r="T24" i="121"/>
  <c r="P24" i="121"/>
  <c r="R13" i="121"/>
  <c r="N13" i="121"/>
  <c r="O13" i="121" s="1"/>
  <c r="P13" i="121"/>
  <c r="T13" i="121"/>
  <c r="R20" i="121"/>
  <c r="P20" i="121"/>
  <c r="N20" i="121"/>
  <c r="O20" i="121"/>
  <c r="Q20" i="121" s="1"/>
  <c r="T20" i="121"/>
  <c r="R21" i="121"/>
  <c r="T21" i="121"/>
  <c r="P21" i="121"/>
  <c r="N21" i="121"/>
  <c r="O21" i="121" s="1"/>
  <c r="Q21" i="121" s="1"/>
  <c r="N12" i="121"/>
  <c r="O12" i="121" s="1"/>
  <c r="R12" i="121"/>
  <c r="T12" i="121"/>
  <c r="K34" i="121"/>
  <c r="T35" i="121"/>
  <c r="K37" i="121"/>
  <c r="O35" i="121"/>
  <c r="R22" i="121"/>
  <c r="R35" i="121"/>
  <c r="P38" i="121"/>
  <c r="P35" i="121"/>
  <c r="N38" i="121"/>
  <c r="O38" i="121" s="1"/>
  <c r="Q38" i="121" s="1"/>
  <c r="T22" i="121"/>
  <c r="R38" i="121"/>
  <c r="N22" i="121"/>
  <c r="O22" i="121" s="1"/>
  <c r="O11" i="121"/>
  <c r="Q11" i="121" s="1"/>
  <c r="P22" i="121"/>
  <c r="T14" i="120"/>
  <c r="R14" i="120"/>
  <c r="P14" i="120"/>
  <c r="O14" i="120"/>
  <c r="K38" i="120"/>
  <c r="P12" i="121"/>
  <c r="M40" i="121"/>
  <c r="T9" i="121"/>
  <c r="N9" i="121"/>
  <c r="R9" i="121"/>
  <c r="P9" i="121"/>
  <c r="L40" i="121"/>
  <c r="B18" i="132"/>
  <c r="P26" i="120"/>
  <c r="R26" i="120"/>
  <c r="N26" i="120"/>
  <c r="T26" i="120"/>
  <c r="M38" i="120"/>
  <c r="L38" i="120"/>
  <c r="P51" i="123"/>
  <c r="N51" i="123"/>
  <c r="O51" i="123" s="1"/>
  <c r="T51" i="123"/>
  <c r="R51" i="123"/>
  <c r="L23" i="123"/>
  <c r="T49" i="123"/>
  <c r="R49" i="123"/>
  <c r="P49" i="123"/>
  <c r="N49" i="123"/>
  <c r="O49" i="123"/>
  <c r="T50" i="123"/>
  <c r="R50" i="123"/>
  <c r="P50" i="123"/>
  <c r="N50" i="123"/>
  <c r="O50" i="123" s="1"/>
  <c r="Q50" i="123" s="1"/>
  <c r="M9" i="123"/>
  <c r="T9" i="123" s="1"/>
  <c r="T16" i="123"/>
  <c r="T14" i="123" s="1"/>
  <c r="M14" i="123"/>
  <c r="R38" i="123"/>
  <c r="N38" i="123"/>
  <c r="O38" i="123" s="1"/>
  <c r="P38" i="123"/>
  <c r="T22" i="123"/>
  <c r="K23" i="123"/>
  <c r="P12" i="123"/>
  <c r="P22" i="123"/>
  <c r="L14" i="123"/>
  <c r="K36" i="123"/>
  <c r="R22" i="123"/>
  <c r="T38" i="123"/>
  <c r="K11" i="123"/>
  <c r="O52" i="123"/>
  <c r="O22" i="123"/>
  <c r="N10" i="123"/>
  <c r="R10" i="123"/>
  <c r="T10" i="123"/>
  <c r="P10" i="123"/>
  <c r="T13" i="123"/>
  <c r="P13" i="123"/>
  <c r="N13" i="123"/>
  <c r="O13" i="123" s="1"/>
  <c r="R13" i="123"/>
  <c r="T25" i="123"/>
  <c r="N25" i="123"/>
  <c r="O25" i="123" s="1"/>
  <c r="R25" i="123"/>
  <c r="P25" i="123"/>
  <c r="R40" i="123"/>
  <c r="N40" i="123"/>
  <c r="O40" i="123" s="1"/>
  <c r="T40" i="123"/>
  <c r="P40" i="123"/>
  <c r="N37" i="123"/>
  <c r="O37" i="123"/>
  <c r="P37" i="123"/>
  <c r="R37" i="123"/>
  <c r="T37" i="123"/>
  <c r="P24" i="123"/>
  <c r="N24" i="123"/>
  <c r="O24" i="123" s="1"/>
  <c r="T39" i="123"/>
  <c r="T27" i="123"/>
  <c r="R12" i="123"/>
  <c r="N16" i="123"/>
  <c r="N14" i="123" s="1"/>
  <c r="R39" i="123"/>
  <c r="R16" i="123"/>
  <c r="R14" i="123" s="1"/>
  <c r="P39" i="123"/>
  <c r="T52" i="123"/>
  <c r="T24" i="123"/>
  <c r="P16" i="123"/>
  <c r="P14" i="123" s="1"/>
  <c r="N12" i="123"/>
  <c r="O12" i="123" s="1"/>
  <c r="N27" i="123"/>
  <c r="O27" i="123" s="1"/>
  <c r="Q27" i="123" s="1"/>
  <c r="O39" i="123"/>
  <c r="R27" i="123"/>
  <c r="R52" i="123"/>
  <c r="P52" i="123"/>
  <c r="M23" i="123"/>
  <c r="P49" i="135" l="1"/>
  <c r="R49" i="135" s="1"/>
  <c r="T49" i="135" s="1"/>
  <c r="R29" i="135"/>
  <c r="T29" i="135" s="1"/>
  <c r="U29" i="135" s="1"/>
  <c r="X29" i="135" s="1"/>
  <c r="R32" i="135"/>
  <c r="T32" i="135" s="1"/>
  <c r="V32" i="135" s="1"/>
  <c r="W32" i="135" s="1"/>
  <c r="Q17" i="133"/>
  <c r="S17" i="133" s="1"/>
  <c r="U17" i="133" s="1"/>
  <c r="V17" i="133" s="1"/>
  <c r="Y17" i="133" s="1"/>
  <c r="S13" i="133"/>
  <c r="U13" i="133" s="1"/>
  <c r="V13" i="133" s="1"/>
  <c r="T18" i="133"/>
  <c r="Q15" i="133"/>
  <c r="Q10" i="133"/>
  <c r="S10" i="133" s="1"/>
  <c r="U10" i="133" s="1"/>
  <c r="V16" i="133"/>
  <c r="W16" i="133"/>
  <c r="X16" i="133" s="1"/>
  <c r="W10" i="133"/>
  <c r="X10" i="133" s="1"/>
  <c r="V10" i="133"/>
  <c r="Y10" i="133" s="1"/>
  <c r="W12" i="133"/>
  <c r="X12" i="133" s="1"/>
  <c r="V12" i="133"/>
  <c r="Y12" i="133" s="1"/>
  <c r="N18" i="133"/>
  <c r="W9" i="133"/>
  <c r="X9" i="133" s="1"/>
  <c r="V9" i="133"/>
  <c r="P18" i="133"/>
  <c r="Q14" i="133"/>
  <c r="S14" i="133" s="1"/>
  <c r="U14" i="133" s="1"/>
  <c r="V29" i="135"/>
  <c r="W29" i="135" s="1"/>
  <c r="R15" i="135"/>
  <c r="T15" i="135" s="1"/>
  <c r="P43" i="135"/>
  <c r="R43" i="135" s="1"/>
  <c r="T43" i="135" s="1"/>
  <c r="P47" i="135"/>
  <c r="R47" i="135" s="1"/>
  <c r="T47" i="135" s="1"/>
  <c r="R27" i="135"/>
  <c r="T27" i="135" s="1"/>
  <c r="U28" i="135"/>
  <c r="X28" i="135" s="1"/>
  <c r="R26" i="135"/>
  <c r="T26" i="135" s="1"/>
  <c r="U26" i="135" s="1"/>
  <c r="R30" i="135"/>
  <c r="T30" i="135" s="1"/>
  <c r="U30" i="135" s="1"/>
  <c r="P25" i="135"/>
  <c r="R25" i="135" s="1"/>
  <c r="T25" i="135" s="1"/>
  <c r="V25" i="135" s="1"/>
  <c r="W25" i="135" s="1"/>
  <c r="U47" i="135"/>
  <c r="V47" i="135"/>
  <c r="W47" i="135" s="1"/>
  <c r="V15" i="135"/>
  <c r="W15" i="135" s="1"/>
  <c r="U15" i="135"/>
  <c r="X15" i="135" s="1"/>
  <c r="U27" i="135"/>
  <c r="V27" i="135"/>
  <c r="W27" i="135" s="1"/>
  <c r="P13" i="135"/>
  <c r="R13" i="135" s="1"/>
  <c r="T13" i="135" s="1"/>
  <c r="U13" i="135" s="1"/>
  <c r="R16" i="135"/>
  <c r="T16" i="135" s="1"/>
  <c r="U16" i="135" s="1"/>
  <c r="P11" i="135"/>
  <c r="R11" i="135" s="1"/>
  <c r="T11" i="135" s="1"/>
  <c r="V11" i="135" s="1"/>
  <c r="W11" i="135" s="1"/>
  <c r="R14" i="135"/>
  <c r="T14" i="135" s="1"/>
  <c r="U14" i="135" s="1"/>
  <c r="U32" i="135"/>
  <c r="X32" i="135" s="1"/>
  <c r="P42" i="135"/>
  <c r="R42" i="135" s="1"/>
  <c r="T42" i="135" s="1"/>
  <c r="U48" i="135"/>
  <c r="V48" i="135"/>
  <c r="W48" i="135" s="1"/>
  <c r="P46" i="135"/>
  <c r="R46" i="135" s="1"/>
  <c r="T46" i="135" s="1"/>
  <c r="P44" i="135"/>
  <c r="R44" i="135" s="1"/>
  <c r="T44" i="135" s="1"/>
  <c r="V43" i="135"/>
  <c r="W43" i="135" s="1"/>
  <c r="U43" i="135"/>
  <c r="X43" i="135" s="1"/>
  <c r="T33" i="135"/>
  <c r="V31" i="135"/>
  <c r="W31" i="135" s="1"/>
  <c r="U31" i="135"/>
  <c r="X31" i="135" s="1"/>
  <c r="R45" i="135"/>
  <c r="T45" i="135" s="1"/>
  <c r="U49" i="135"/>
  <c r="V49" i="135"/>
  <c r="W49" i="135" s="1"/>
  <c r="O50" i="135"/>
  <c r="S50" i="135"/>
  <c r="Q50" i="135"/>
  <c r="P10" i="135"/>
  <c r="R10" i="135" s="1"/>
  <c r="T10" i="135" s="1"/>
  <c r="V10" i="135" s="1"/>
  <c r="W10" i="135" s="1"/>
  <c r="P12" i="135"/>
  <c r="R12" i="135" s="1"/>
  <c r="T12" i="135" s="1"/>
  <c r="U12" i="135" s="1"/>
  <c r="V17" i="135"/>
  <c r="W17" i="135" s="1"/>
  <c r="U17" i="135"/>
  <c r="X17" i="135" s="1"/>
  <c r="M50" i="135"/>
  <c r="S11" i="132"/>
  <c r="U11" i="132" s="1"/>
  <c r="Q13" i="132"/>
  <c r="S13" i="132" s="1"/>
  <c r="U13" i="132" s="1"/>
  <c r="S21" i="132"/>
  <c r="U21" i="132" s="1"/>
  <c r="V21" i="132" s="1"/>
  <c r="Y21" i="132" s="1"/>
  <c r="V9" i="136"/>
  <c r="U9" i="136"/>
  <c r="S22" i="131"/>
  <c r="U22" i="131" s="1"/>
  <c r="M25" i="131"/>
  <c r="T9" i="131"/>
  <c r="R9" i="131"/>
  <c r="R25" i="131" s="1"/>
  <c r="Q11" i="131"/>
  <c r="S11" i="131" s="1"/>
  <c r="U11" i="131" s="1"/>
  <c r="P9" i="131"/>
  <c r="P25" i="131" s="1"/>
  <c r="T25" i="131"/>
  <c r="Q12" i="131"/>
  <c r="S12" i="131" s="1"/>
  <c r="U12" i="131" s="1"/>
  <c r="S23" i="131"/>
  <c r="U23" i="131" s="1"/>
  <c r="V11" i="131"/>
  <c r="W11" i="131"/>
  <c r="X11" i="131" s="1"/>
  <c r="V23" i="131"/>
  <c r="W23" i="131"/>
  <c r="X23" i="131" s="1"/>
  <c r="Q9" i="131"/>
  <c r="O25" i="131"/>
  <c r="V22" i="131"/>
  <c r="W22" i="131"/>
  <c r="X22" i="131" s="1"/>
  <c r="W13" i="131"/>
  <c r="X13" i="131" s="1"/>
  <c r="V13" i="131"/>
  <c r="Y13" i="131" s="1"/>
  <c r="V20" i="131"/>
  <c r="W20" i="131"/>
  <c r="X20" i="131" s="1"/>
  <c r="N25" i="131"/>
  <c r="W10" i="131"/>
  <c r="X10" i="131" s="1"/>
  <c r="V10" i="131"/>
  <c r="Q21" i="131"/>
  <c r="S21" i="131" s="1"/>
  <c r="U21" i="131" s="1"/>
  <c r="T14" i="118"/>
  <c r="N14" i="118"/>
  <c r="Q12" i="118"/>
  <c r="S12" i="118" s="1"/>
  <c r="U12" i="118" s="1"/>
  <c r="O10" i="118"/>
  <c r="V11" i="118"/>
  <c r="W11" i="118"/>
  <c r="X11" i="118" s="1"/>
  <c r="P14" i="118"/>
  <c r="S21" i="121"/>
  <c r="U21" i="121" s="1"/>
  <c r="S10" i="120"/>
  <c r="U10" i="120" s="1"/>
  <c r="Q35" i="120"/>
  <c r="S35" i="120" s="1"/>
  <c r="U35" i="120" s="1"/>
  <c r="S24" i="120"/>
  <c r="U24" i="120" s="1"/>
  <c r="S21" i="120"/>
  <c r="U21" i="120" s="1"/>
  <c r="W35" i="120"/>
  <c r="X35" i="120" s="1"/>
  <c r="V35" i="120"/>
  <c r="Y35" i="120" s="1"/>
  <c r="W10" i="120"/>
  <c r="X10" i="120" s="1"/>
  <c r="V10" i="120"/>
  <c r="V24" i="120"/>
  <c r="W24" i="120"/>
  <c r="X24" i="120" s="1"/>
  <c r="Q34" i="120"/>
  <c r="S34" i="120" s="1"/>
  <c r="U34" i="120" s="1"/>
  <c r="Q23" i="120"/>
  <c r="S23" i="120" s="1"/>
  <c r="U23" i="120" s="1"/>
  <c r="V22" i="120"/>
  <c r="W22" i="120"/>
  <c r="X22" i="120" s="1"/>
  <c r="Q11" i="120"/>
  <c r="S11" i="120" s="1"/>
  <c r="U11" i="120" s="1"/>
  <c r="U25" i="120"/>
  <c r="S13" i="120"/>
  <c r="U13" i="120" s="1"/>
  <c r="Q9" i="120"/>
  <c r="S9" i="120" s="1"/>
  <c r="U9" i="120" s="1"/>
  <c r="W12" i="120"/>
  <c r="X12" i="120" s="1"/>
  <c r="V12" i="120"/>
  <c r="V36" i="120"/>
  <c r="W36" i="120"/>
  <c r="X36" i="120" s="1"/>
  <c r="Q11" i="134"/>
  <c r="S11" i="134" s="1"/>
  <c r="U11" i="134"/>
  <c r="W11" i="134"/>
  <c r="V11" i="134"/>
  <c r="X13" i="134"/>
  <c r="X12" i="134" s="1"/>
  <c r="W12" i="134"/>
  <c r="X9" i="134"/>
  <c r="W8" i="134"/>
  <c r="Y13" i="134"/>
  <c r="Y12" i="134" s="1"/>
  <c r="Q24" i="119"/>
  <c r="S24" i="119" s="1"/>
  <c r="U24" i="119" s="1"/>
  <c r="Q19" i="119"/>
  <c r="S19" i="119" s="1"/>
  <c r="U19" i="119" s="1"/>
  <c r="Q20" i="119"/>
  <c r="S20" i="119" s="1"/>
  <c r="U20" i="119" s="1"/>
  <c r="V20" i="119"/>
  <c r="W20" i="119"/>
  <c r="X20" i="119" s="1"/>
  <c r="W19" i="119"/>
  <c r="V19" i="119"/>
  <c r="V11" i="119"/>
  <c r="W11" i="119"/>
  <c r="X11" i="119" s="1"/>
  <c r="P26" i="119"/>
  <c r="N26" i="119"/>
  <c r="O9" i="119"/>
  <c r="W22" i="119"/>
  <c r="V22" i="119"/>
  <c r="Q13" i="119"/>
  <c r="S13" i="119" s="1"/>
  <c r="U13" i="119" s="1"/>
  <c r="T26" i="119"/>
  <c r="R26" i="119"/>
  <c r="K54" i="123"/>
  <c r="N23" i="132"/>
  <c r="U12" i="132"/>
  <c r="Q10" i="132"/>
  <c r="S10" i="132" s="1"/>
  <c r="U10" i="132" s="1"/>
  <c r="Q33" i="120"/>
  <c r="S33" i="120" s="1"/>
  <c r="U33" i="120" s="1"/>
  <c r="V33" i="120" s="1"/>
  <c r="N38" i="120"/>
  <c r="S38" i="121"/>
  <c r="U38" i="121" s="1"/>
  <c r="W38" i="121" s="1"/>
  <c r="W10" i="132"/>
  <c r="X10" i="132" s="1"/>
  <c r="V10" i="132"/>
  <c r="V12" i="132"/>
  <c r="W12" i="132"/>
  <c r="X12" i="132" s="1"/>
  <c r="W13" i="132"/>
  <c r="X13" i="132" s="1"/>
  <c r="V13" i="132"/>
  <c r="V11" i="132"/>
  <c r="W11" i="132"/>
  <c r="X11" i="132" s="1"/>
  <c r="Q20" i="132"/>
  <c r="S20" i="132" s="1"/>
  <c r="U20" i="132" s="1"/>
  <c r="O9" i="132"/>
  <c r="T23" i="132"/>
  <c r="R23" i="132"/>
  <c r="P23" i="132"/>
  <c r="N9" i="135"/>
  <c r="P9" i="123"/>
  <c r="P8" i="123" s="1"/>
  <c r="Q51" i="123"/>
  <c r="S51" i="123" s="1"/>
  <c r="U51" i="123" s="1"/>
  <c r="W51" i="123" s="1"/>
  <c r="X51" i="123" s="1"/>
  <c r="Q24" i="123"/>
  <c r="S24" i="123" s="1"/>
  <c r="Q13" i="123"/>
  <c r="Q49" i="123"/>
  <c r="M8" i="123"/>
  <c r="M54" i="123" s="1"/>
  <c r="S13" i="123"/>
  <c r="U13" i="123" s="1"/>
  <c r="V13" i="123" s="1"/>
  <c r="Y13" i="123" s="1"/>
  <c r="L54" i="123"/>
  <c r="N9" i="123"/>
  <c r="O9" i="123" s="1"/>
  <c r="T8" i="123"/>
  <c r="O10" i="123"/>
  <c r="Q10" i="123" s="1"/>
  <c r="S10" i="123" s="1"/>
  <c r="U10" i="123" s="1"/>
  <c r="Q37" i="120"/>
  <c r="S37" i="120" s="1"/>
  <c r="U37" i="120" s="1"/>
  <c r="W37" i="120" s="1"/>
  <c r="X37" i="120" s="1"/>
  <c r="S15" i="133"/>
  <c r="U15" i="133" s="1"/>
  <c r="O11" i="133"/>
  <c r="Q12" i="121"/>
  <c r="S20" i="121"/>
  <c r="U20" i="121" s="1"/>
  <c r="W20" i="121" s="1"/>
  <c r="X20" i="121" s="1"/>
  <c r="V33" i="121"/>
  <c r="V32" i="121" s="1"/>
  <c r="W33" i="121"/>
  <c r="X33" i="121" s="1"/>
  <c r="X32" i="121" s="1"/>
  <c r="S12" i="121"/>
  <c r="U12" i="121" s="1"/>
  <c r="W12" i="121" s="1"/>
  <c r="X12" i="121" s="1"/>
  <c r="U36" i="121"/>
  <c r="S11" i="121"/>
  <c r="U11" i="121" s="1"/>
  <c r="Q22" i="121"/>
  <c r="S22" i="121" s="1"/>
  <c r="U22" i="121" s="1"/>
  <c r="K40" i="121"/>
  <c r="Q24" i="121"/>
  <c r="S24" i="121" s="1"/>
  <c r="U24" i="121" s="1"/>
  <c r="Q10" i="121"/>
  <c r="S10" i="121" s="1"/>
  <c r="U10" i="121" s="1"/>
  <c r="V22" i="121"/>
  <c r="W22" i="121"/>
  <c r="X22" i="121" s="1"/>
  <c r="W24" i="121"/>
  <c r="X24" i="121" s="1"/>
  <c r="V24" i="121"/>
  <c r="W11" i="121"/>
  <c r="X11" i="121" s="1"/>
  <c r="V11" i="121"/>
  <c r="R40" i="121"/>
  <c r="W21" i="121"/>
  <c r="X21" i="121" s="1"/>
  <c r="V21" i="121"/>
  <c r="Q35" i="121"/>
  <c r="S35" i="121" s="1"/>
  <c r="U35" i="121" s="1"/>
  <c r="P40" i="121"/>
  <c r="Q13" i="121"/>
  <c r="S13" i="121" s="1"/>
  <c r="U13" i="121" s="1"/>
  <c r="T40" i="121"/>
  <c r="N40" i="121"/>
  <c r="P38" i="120"/>
  <c r="T38" i="120"/>
  <c r="R38" i="120"/>
  <c r="Q14" i="120"/>
  <c r="S14" i="120" s="1"/>
  <c r="U14" i="120" s="1"/>
  <c r="V14" i="120" s="1"/>
  <c r="O9" i="121"/>
  <c r="O26" i="120"/>
  <c r="S50" i="123"/>
  <c r="U50" i="123" s="1"/>
  <c r="Q52" i="123"/>
  <c r="S52" i="123" s="1"/>
  <c r="R9" i="123"/>
  <c r="Q12" i="123"/>
  <c r="S12" i="123" s="1"/>
  <c r="U12" i="123" s="1"/>
  <c r="S49" i="123"/>
  <c r="U49" i="123" s="1"/>
  <c r="W50" i="123"/>
  <c r="X50" i="123" s="1"/>
  <c r="V50" i="123"/>
  <c r="S27" i="123"/>
  <c r="U27" i="123" s="1"/>
  <c r="V27" i="123" s="1"/>
  <c r="U24" i="123"/>
  <c r="V24" i="123" s="1"/>
  <c r="U52" i="123"/>
  <c r="V52" i="123" s="1"/>
  <c r="Q38" i="123"/>
  <c r="S38" i="123" s="1"/>
  <c r="U38" i="123" s="1"/>
  <c r="Q22" i="123"/>
  <c r="S22" i="123" s="1"/>
  <c r="U22" i="123" s="1"/>
  <c r="Q39" i="123"/>
  <c r="S39" i="123" s="1"/>
  <c r="U39" i="123" s="1"/>
  <c r="R8" i="123"/>
  <c r="Q37" i="123"/>
  <c r="S37" i="123" s="1"/>
  <c r="U37" i="123" s="1"/>
  <c r="Q40" i="123"/>
  <c r="S40" i="123" s="1"/>
  <c r="U40" i="123" s="1"/>
  <c r="W40" i="123" s="1"/>
  <c r="X40" i="123" s="1"/>
  <c r="Q25" i="123"/>
  <c r="S25" i="123" s="1"/>
  <c r="U25" i="123" s="1"/>
  <c r="V25" i="123" s="1"/>
  <c r="Y25" i="123" s="1"/>
  <c r="T23" i="123"/>
  <c r="O23" i="123"/>
  <c r="O16" i="123"/>
  <c r="R23" i="123"/>
  <c r="P23" i="123"/>
  <c r="N23" i="123"/>
  <c r="V13" i="135" l="1"/>
  <c r="W13" i="135" s="1"/>
  <c r="V30" i="135"/>
  <c r="W30" i="135" s="1"/>
  <c r="X30" i="135" s="1"/>
  <c r="W13" i="133"/>
  <c r="X13" i="133" s="1"/>
  <c r="Y13" i="133" s="1"/>
  <c r="Y9" i="133"/>
  <c r="V14" i="133"/>
  <c r="W14" i="133"/>
  <c r="X14" i="133" s="1"/>
  <c r="Y16" i="133"/>
  <c r="V14" i="135"/>
  <c r="W14" i="135" s="1"/>
  <c r="X14" i="135" s="1"/>
  <c r="V16" i="135"/>
  <c r="W16" i="135" s="1"/>
  <c r="X16" i="135" s="1"/>
  <c r="V26" i="135"/>
  <c r="W26" i="135" s="1"/>
  <c r="U25" i="135"/>
  <c r="X25" i="135" s="1"/>
  <c r="U11" i="135"/>
  <c r="X11" i="135" s="1"/>
  <c r="X27" i="135"/>
  <c r="X26" i="135"/>
  <c r="X47" i="135"/>
  <c r="U42" i="135"/>
  <c r="V42" i="135"/>
  <c r="W42" i="135" s="1"/>
  <c r="V46" i="135"/>
  <c r="W46" i="135" s="1"/>
  <c r="U46" i="135"/>
  <c r="X48" i="135"/>
  <c r="V44" i="135"/>
  <c r="W44" i="135" s="1"/>
  <c r="U44" i="135"/>
  <c r="X44" i="135" s="1"/>
  <c r="U10" i="135"/>
  <c r="X10" i="135" s="1"/>
  <c r="V12" i="135"/>
  <c r="W12" i="135" s="1"/>
  <c r="X12" i="135" s="1"/>
  <c r="X49" i="135"/>
  <c r="U33" i="135"/>
  <c r="V33" i="135"/>
  <c r="W33" i="135" s="1"/>
  <c r="U45" i="135"/>
  <c r="V45" i="135"/>
  <c r="W45" i="135" s="1"/>
  <c r="U11" i="136"/>
  <c r="V11" i="136"/>
  <c r="W9" i="136"/>
  <c r="W11" i="136" s="1"/>
  <c r="Y10" i="131"/>
  <c r="Q25" i="131"/>
  <c r="S9" i="131"/>
  <c r="V21" i="131"/>
  <c r="W21" i="131"/>
  <c r="X21" i="131" s="1"/>
  <c r="Y23" i="131"/>
  <c r="Y20" i="131"/>
  <c r="V12" i="131"/>
  <c r="W12" i="131"/>
  <c r="X12" i="131" s="1"/>
  <c r="Y22" i="131"/>
  <c r="Y11" i="131"/>
  <c r="Q10" i="118"/>
  <c r="O14" i="118"/>
  <c r="Y11" i="118"/>
  <c r="W12" i="118"/>
  <c r="X12" i="118" s="1"/>
  <c r="V12" i="118"/>
  <c r="Q9" i="123"/>
  <c r="S9" i="123" s="1"/>
  <c r="V38" i="121"/>
  <c r="V20" i="121"/>
  <c r="V12" i="121"/>
  <c r="V23" i="120"/>
  <c r="W23" i="120"/>
  <c r="X23" i="120" s="1"/>
  <c r="Y23" i="120" s="1"/>
  <c r="W21" i="120"/>
  <c r="X21" i="120" s="1"/>
  <c r="V21" i="120"/>
  <c r="Y10" i="120"/>
  <c r="Y36" i="120"/>
  <c r="V13" i="120"/>
  <c r="W13" i="120"/>
  <c r="X13" i="120" s="1"/>
  <c r="Y22" i="120"/>
  <c r="Y12" i="120"/>
  <c r="V34" i="120"/>
  <c r="W34" i="120"/>
  <c r="X34" i="120" s="1"/>
  <c r="V25" i="120"/>
  <c r="W25" i="120"/>
  <c r="X25" i="120" s="1"/>
  <c r="V9" i="120"/>
  <c r="W9" i="120"/>
  <c r="X9" i="120" s="1"/>
  <c r="V11" i="120"/>
  <c r="W11" i="120"/>
  <c r="X11" i="120" s="1"/>
  <c r="W33" i="120"/>
  <c r="X33" i="120" s="1"/>
  <c r="Y33" i="120" s="1"/>
  <c r="Y24" i="120"/>
  <c r="V10" i="134"/>
  <c r="V14" i="134" s="1"/>
  <c r="X8" i="134"/>
  <c r="Y9" i="134"/>
  <c r="Y8" i="134" s="1"/>
  <c r="X11" i="134"/>
  <c r="X10" i="134" s="1"/>
  <c r="W10" i="134"/>
  <c r="W14" i="134" s="1"/>
  <c r="O26" i="119"/>
  <c r="Q9" i="119"/>
  <c r="V21" i="119"/>
  <c r="W13" i="119"/>
  <c r="V13" i="119"/>
  <c r="Y11" i="119"/>
  <c r="X22" i="119"/>
  <c r="X21" i="119" s="1"/>
  <c r="W21" i="119"/>
  <c r="V18" i="119"/>
  <c r="W18" i="119"/>
  <c r="X19" i="119"/>
  <c r="X18" i="119" s="1"/>
  <c r="Y20" i="119"/>
  <c r="O8" i="123"/>
  <c r="Y13" i="132"/>
  <c r="O23" i="132"/>
  <c r="Q9" i="132"/>
  <c r="V20" i="132"/>
  <c r="W20" i="132"/>
  <c r="X20" i="132" s="1"/>
  <c r="Y12" i="132"/>
  <c r="Y10" i="132"/>
  <c r="Y11" i="132"/>
  <c r="Y11" i="121"/>
  <c r="X13" i="135"/>
  <c r="P9" i="135"/>
  <c r="N50" i="135"/>
  <c r="P54" i="123"/>
  <c r="Q8" i="123"/>
  <c r="V51" i="123"/>
  <c r="Y51" i="123" s="1"/>
  <c r="Y50" i="123"/>
  <c r="N8" i="123"/>
  <c r="N54" i="123" s="1"/>
  <c r="T54" i="123"/>
  <c r="V37" i="120"/>
  <c r="Y37" i="120" s="1"/>
  <c r="W14" i="120"/>
  <c r="X14" i="120" s="1"/>
  <c r="Y14" i="120" s="1"/>
  <c r="W15" i="133"/>
  <c r="X15" i="133" s="1"/>
  <c r="V15" i="133"/>
  <c r="O18" i="133"/>
  <c r="Q11" i="133"/>
  <c r="Y21" i="121"/>
  <c r="W32" i="121"/>
  <c r="Y22" i="121"/>
  <c r="V10" i="121"/>
  <c r="W10" i="121"/>
  <c r="X10" i="121" s="1"/>
  <c r="W36" i="121"/>
  <c r="X36" i="121" s="1"/>
  <c r="V36" i="121"/>
  <c r="X38" i="121"/>
  <c r="X37" i="121" s="1"/>
  <c r="W37" i="121"/>
  <c r="Y20" i="121"/>
  <c r="Y24" i="121"/>
  <c r="V13" i="121"/>
  <c r="W13" i="121"/>
  <c r="X13" i="121" s="1"/>
  <c r="W35" i="121"/>
  <c r="V35" i="121"/>
  <c r="Y33" i="121"/>
  <c r="Y32" i="121" s="1"/>
  <c r="V37" i="121"/>
  <c r="Y12" i="121"/>
  <c r="O40" i="121"/>
  <c r="Q9" i="121"/>
  <c r="Q26" i="120"/>
  <c r="O38" i="120"/>
  <c r="W24" i="123"/>
  <c r="X24" i="123" s="1"/>
  <c r="Y24" i="123" s="1"/>
  <c r="W27" i="123"/>
  <c r="W26" i="123" s="1"/>
  <c r="W49" i="123"/>
  <c r="X49" i="123" s="1"/>
  <c r="V49" i="123"/>
  <c r="V40" i="123"/>
  <c r="Y40" i="123" s="1"/>
  <c r="V22" i="123"/>
  <c r="W22" i="123"/>
  <c r="W14" i="123" s="1"/>
  <c r="R54" i="123"/>
  <c r="W52" i="123"/>
  <c r="X52" i="123" s="1"/>
  <c r="Y52" i="123" s="1"/>
  <c r="W38" i="123"/>
  <c r="X38" i="123" s="1"/>
  <c r="V38" i="123"/>
  <c r="S8" i="123"/>
  <c r="U9" i="123"/>
  <c r="V10" i="123"/>
  <c r="W10" i="123"/>
  <c r="X10" i="123" s="1"/>
  <c r="V37" i="123"/>
  <c r="W37" i="123"/>
  <c r="O14" i="123"/>
  <c r="O54" i="123" s="1"/>
  <c r="Q16" i="123"/>
  <c r="Q23" i="123"/>
  <c r="V39" i="123"/>
  <c r="W39" i="123"/>
  <c r="X39" i="123" s="1"/>
  <c r="V12" i="123"/>
  <c r="W12" i="123"/>
  <c r="V26" i="123"/>
  <c r="Y14" i="133" l="1"/>
  <c r="X46" i="135"/>
  <c r="X33" i="135"/>
  <c r="X45" i="135"/>
  <c r="X42" i="135"/>
  <c r="X9" i="136"/>
  <c r="X11" i="136" s="1"/>
  <c r="S25" i="131"/>
  <c r="U9" i="131"/>
  <c r="Y12" i="131"/>
  <c r="Y21" i="131"/>
  <c r="Y12" i="118"/>
  <c r="Q14" i="118"/>
  <c r="S10" i="118"/>
  <c r="Y36" i="121"/>
  <c r="Y38" i="121"/>
  <c r="Y37" i="121" s="1"/>
  <c r="Y21" i="120"/>
  <c r="Y11" i="120"/>
  <c r="Y9" i="120"/>
  <c r="Y25" i="120"/>
  <c r="Y34" i="120"/>
  <c r="Y13" i="120"/>
  <c r="X14" i="134"/>
  <c r="Y11" i="134"/>
  <c r="Y10" i="134" s="1"/>
  <c r="Y14" i="134" s="1"/>
  <c r="V12" i="119"/>
  <c r="S9" i="119"/>
  <c r="Q26" i="119"/>
  <c r="Y19" i="119"/>
  <c r="Y18" i="119" s="1"/>
  <c r="X13" i="119"/>
  <c r="X12" i="119" s="1"/>
  <c r="W12" i="119"/>
  <c r="Y22" i="119"/>
  <c r="Y21" i="119" s="1"/>
  <c r="Q23" i="132"/>
  <c r="S9" i="132"/>
  <c r="Y20" i="132"/>
  <c r="R9" i="135"/>
  <c r="P50" i="135"/>
  <c r="Y49" i="123"/>
  <c r="Y38" i="123"/>
  <c r="X27" i="123"/>
  <c r="X26" i="123" s="1"/>
  <c r="Y15" i="133"/>
  <c r="Q18" i="133"/>
  <c r="S11" i="133"/>
  <c r="Y10" i="121"/>
  <c r="V34" i="121"/>
  <c r="X35" i="121"/>
  <c r="X34" i="121" s="1"/>
  <c r="W34" i="121"/>
  <c r="Y13" i="121"/>
  <c r="S9" i="121"/>
  <c r="Q40" i="121"/>
  <c r="S26" i="120"/>
  <c r="Q38" i="120"/>
  <c r="Y27" i="123"/>
  <c r="Y26" i="123" s="1"/>
  <c r="X22" i="123"/>
  <c r="X14" i="123" s="1"/>
  <c r="X12" i="123"/>
  <c r="X11" i="123" s="1"/>
  <c r="W11" i="123"/>
  <c r="V11" i="123"/>
  <c r="Y39" i="123"/>
  <c r="S23" i="123"/>
  <c r="X37" i="123"/>
  <c r="X36" i="123" s="1"/>
  <c r="W36" i="123"/>
  <c r="W9" i="123"/>
  <c r="V9" i="123"/>
  <c r="U8" i="123"/>
  <c r="Q14" i="123"/>
  <c r="Q54" i="123" s="1"/>
  <c r="S16" i="123"/>
  <c r="V36" i="123"/>
  <c r="Y10" i="123"/>
  <c r="U25" i="131" l="1"/>
  <c r="V9" i="131"/>
  <c r="W9" i="131"/>
  <c r="U10" i="118"/>
  <c r="S14" i="118"/>
  <c r="Y12" i="123"/>
  <c r="Y11" i="123" s="1"/>
  <c r="U9" i="119"/>
  <c r="S26" i="119"/>
  <c r="Y13" i="119"/>
  <c r="Y12" i="119" s="1"/>
  <c r="S23" i="132"/>
  <c r="U9" i="132"/>
  <c r="R50" i="135"/>
  <c r="T9" i="135"/>
  <c r="Y37" i="123"/>
  <c r="Y36" i="123" s="1"/>
  <c r="S18" i="133"/>
  <c r="U11" i="133"/>
  <c r="Y35" i="121"/>
  <c r="Y34" i="121" s="1"/>
  <c r="S40" i="121"/>
  <c r="U9" i="121"/>
  <c r="S38" i="120"/>
  <c r="U26" i="120"/>
  <c r="Y22" i="123"/>
  <c r="V8" i="123"/>
  <c r="U16" i="123"/>
  <c r="S14" i="123"/>
  <c r="S54" i="123" s="1"/>
  <c r="W8" i="123"/>
  <c r="X9" i="123"/>
  <c r="X8" i="123" s="1"/>
  <c r="U23" i="123"/>
  <c r="W25" i="131" l="1"/>
  <c r="X9" i="131"/>
  <c r="X25" i="131" s="1"/>
  <c r="V25" i="131"/>
  <c r="Y9" i="131"/>
  <c r="Y25" i="131" s="1"/>
  <c r="W10" i="118"/>
  <c r="V10" i="118"/>
  <c r="U14" i="118"/>
  <c r="U26" i="119"/>
  <c r="V9" i="119"/>
  <c r="W9" i="119"/>
  <c r="W9" i="132"/>
  <c r="V9" i="132"/>
  <c r="U23" i="132"/>
  <c r="T50" i="135"/>
  <c r="V9" i="135"/>
  <c r="U9" i="135"/>
  <c r="V11" i="133"/>
  <c r="W11" i="133"/>
  <c r="U18" i="133"/>
  <c r="W9" i="121"/>
  <c r="U40" i="121"/>
  <c r="V9" i="121"/>
  <c r="V26" i="120"/>
  <c r="W26" i="120"/>
  <c r="U38" i="120"/>
  <c r="V23" i="123"/>
  <c r="W23" i="123"/>
  <c r="W54" i="123" s="1"/>
  <c r="X23" i="123"/>
  <c r="X54" i="123" s="1"/>
  <c r="V16" i="123"/>
  <c r="V14" i="123" s="1"/>
  <c r="U14" i="123"/>
  <c r="U54" i="123" s="1"/>
  <c r="Y9" i="123"/>
  <c r="Y8" i="123" s="1"/>
  <c r="V14" i="118" l="1"/>
  <c r="W14" i="118"/>
  <c r="X10" i="118"/>
  <c r="X14" i="118" s="1"/>
  <c r="X9" i="119"/>
  <c r="X8" i="119" s="1"/>
  <c r="X26" i="119" s="1"/>
  <c r="W8" i="119"/>
  <c r="W26" i="119" s="1"/>
  <c r="V8" i="119"/>
  <c r="V26" i="119" s="1"/>
  <c r="Y9" i="119"/>
  <c r="Y8" i="119" s="1"/>
  <c r="Y26" i="119" s="1"/>
  <c r="V23" i="132"/>
  <c r="W23" i="132"/>
  <c r="X9" i="132"/>
  <c r="X23" i="132" s="1"/>
  <c r="U50" i="135"/>
  <c r="X9" i="135"/>
  <c r="X50" i="135" s="1"/>
  <c r="W9" i="135"/>
  <c r="W50" i="135" s="1"/>
  <c r="V50" i="135"/>
  <c r="W18" i="133"/>
  <c r="X11" i="133"/>
  <c r="X18" i="133" s="1"/>
  <c r="V18" i="133"/>
  <c r="Y11" i="133"/>
  <c r="Y18" i="133" s="1"/>
  <c r="V8" i="121"/>
  <c r="V40" i="121" s="1"/>
  <c r="W8" i="121"/>
  <c r="W40" i="121" s="1"/>
  <c r="X9" i="121"/>
  <c r="X8" i="121" s="1"/>
  <c r="X40" i="121" s="1"/>
  <c r="W38" i="120"/>
  <c r="X26" i="120"/>
  <c r="X38" i="120" s="1"/>
  <c r="V38" i="120"/>
  <c r="V54" i="123"/>
  <c r="Y16" i="123"/>
  <c r="Y23" i="123"/>
  <c r="Y10" i="118" l="1"/>
  <c r="Y14" i="118" s="1"/>
  <c r="Y14" i="123"/>
  <c r="Y54" i="123" s="1"/>
  <c r="Y9" i="132"/>
  <c r="Y23" i="132" s="1"/>
  <c r="Y9" i="121"/>
  <c r="Y8" i="121" s="1"/>
  <c r="Y40" i="121" s="1"/>
  <c r="Y26" i="120"/>
  <c r="Y38" i="120" s="1"/>
</calcChain>
</file>

<file path=xl/sharedStrings.xml><?xml version="1.0" encoding="utf-8"?>
<sst xmlns="http://schemas.openxmlformats.org/spreadsheetml/2006/main" count="1225" uniqueCount="395">
  <si>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</si>
  <si>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</si>
  <si>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</si>
  <si>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</si>
  <si>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</si>
  <si>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</si>
  <si>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</si>
  <si>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</si>
  <si>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</si>
  <si>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</si>
  <si>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</si>
  <si>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</si>
  <si>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</si>
  <si>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</si>
  <si>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</si>
  <si>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</si>
  <si>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</si>
  <si>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</si>
  <si>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</si>
  <si>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</si>
  <si>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</si>
  <si>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</si>
  <si>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</si>
  <si>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</si>
  <si>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</si>
  <si>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</si>
  <si>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</si>
  <si>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</si>
  <si>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</si>
  <si>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</si>
  <si>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</si>
  <si>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</si>
  <si>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</si>
  <si>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</si>
  <si>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</si>
  <si>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</si>
  <si>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</si>
  <si>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</si>
  <si>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</si>
  <si>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</si>
  <si>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</si>
  <si>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</si>
  <si>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</si>
  <si>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</si>
  <si>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</si>
  <si>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</si>
  <si>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</si>
  <si>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</si>
  <si>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</si>
  <si>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</si>
  <si>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</si>
  <si>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</si>
  <si>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</si>
  <si>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</si>
  <si>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</si>
  <si>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</si>
  <si>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</si>
  <si>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</si>
  <si>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</si>
  <si>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</si>
  <si>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</si>
  <si>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</si>
  <si>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</si>
  <si>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</si>
  <si>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</si>
  <si>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</si>
  <si>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</si>
  <si>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</si>
  <si>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</si>
  <si>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</si>
  <si>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</si>
  <si>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</si>
  <si>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</si>
  <si>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</si>
  <si>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</si>
  <si>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</si>
  <si>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</si>
  <si>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</si>
  <si>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</si>
  <si>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</si>
  <si>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</si>
  <si>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</si>
  <si>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</si>
  <si>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</si>
  <si>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</si>
  <si>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</si>
  <si>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</si>
  <si>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</si>
  <si>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</si>
  <si>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</si>
  <si>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</si>
  <si>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</si>
  <si>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</si>
  <si>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</si>
  <si>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</si>
  <si>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</si>
  <si>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</si>
  <si>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</si>
  <si>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</si>
  <si>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</si>
  <si>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</si>
  <si>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</si>
  <si>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</si>
  <si>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</si>
  <si>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</si>
  <si>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</si>
  <si>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</si>
  <si>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</si>
  <si>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</si>
  <si>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</si>
  <si>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</si>
  <si>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</si>
  <si>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</si>
  <si>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</si>
  <si>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</si>
  <si>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</si>
  <si>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</si>
  <si>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</si>
  <si>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</si>
  <si>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</si>
  <si>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</si>
  <si>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</si>
  <si>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</si>
  <si>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</si>
  <si>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</si>
  <si>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</si>
  <si>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</si>
  <si>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</si>
  <si>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</si>
  <si>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</si>
  <si>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</si>
  <si>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</si>
  <si>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</si>
  <si>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</si>
  <si>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       L.C.P. CESAR JÉSUS LANDEROS MORA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</si>
  <si>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</si>
  <si>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</si>
  <si>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</si>
  <si>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</si>
  <si>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</si>
  <si>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</si>
  <si>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</si>
  <si>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</si>
  <si>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</si>
  <si>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</si>
  <si>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</si>
  <si>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</si>
  <si>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</si>
  <si>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</si>
  <si>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</si>
  <si>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</si>
  <si>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</si>
  <si>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</si>
  <si>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</si>
  <si>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</si>
  <si>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</si>
  <si>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</si>
  <si>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</si>
  <si>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</si>
  <si>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</si>
  <si>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</si>
  <si>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</si>
  <si>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</si>
  <si>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</si>
  <si>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</si>
  <si>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</si>
  <si>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</si>
  <si>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</si>
  <si>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</si>
  <si>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</si>
  <si>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</si>
  <si>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</si>
  <si>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</si>
  <si>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</si>
  <si>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</si>
  <si>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</si>
  <si>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</si>
  <si>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</si>
  <si>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</si>
  <si>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 xml:space="preserve">                          TESORERO ENC. DE LA HACIENDA MPAL.</t>
  </si>
  <si>
    <t>SINDICO MUNICIPAL</t>
  </si>
  <si>
    <t>CHOFER DE AUTOBUS</t>
  </si>
  <si>
    <t>291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</si>
  <si>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</si>
  <si>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</si>
  <si>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</si>
  <si>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</si>
  <si>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</si>
  <si>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</si>
  <si>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</si>
  <si>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</si>
  <si>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</si>
  <si>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</si>
  <si>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</si>
  <si>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</si>
  <si>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</si>
  <si>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</si>
  <si>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</si>
  <si>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</si>
  <si>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</si>
  <si>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</si>
  <si>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</si>
  <si>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</si>
  <si>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</si>
  <si>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</si>
  <si>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316</t>
  </si>
  <si>
    <t>JAIME BALTIERRA SILVA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</si>
  <si>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</si>
  <si>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</si>
  <si>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</si>
  <si>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</si>
  <si>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</si>
  <si>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</si>
  <si>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</si>
  <si>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</si>
  <si>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</si>
  <si>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</si>
  <si>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</si>
  <si>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</si>
  <si>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</si>
  <si>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</si>
  <si>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</si>
  <si>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</si>
  <si>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</si>
  <si>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</si>
  <si>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</si>
  <si>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</si>
  <si>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</si>
  <si>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</si>
  <si>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</si>
  <si>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</si>
  <si>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</si>
  <si>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</si>
  <si>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</si>
  <si>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</si>
  <si>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</si>
  <si>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</si>
  <si>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</si>
  <si>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</si>
  <si>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</si>
  <si>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</si>
  <si>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</si>
  <si>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</si>
  <si>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355</t>
  </si>
  <si>
    <t>SE APLICARON CAMBIOS EN SUBSIDIO AL EMPLEO POR DECRETO PRESIDENCIAL DEL 01 MAY 2024</t>
  </si>
  <si>
    <t>356</t>
  </si>
  <si>
    <t>MUNICIPIO DE: SAN CRISTÓBAL DE LA BARRANCA, JALISCO</t>
  </si>
  <si>
    <t>RFC MSC850101FR1</t>
  </si>
  <si>
    <t>357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</si>
  <si>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</si>
  <si>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</si>
  <si>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</si>
  <si>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</si>
  <si>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</si>
  <si>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</si>
  <si>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</si>
  <si>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</si>
  <si>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</si>
  <si>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</si>
  <si>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</si>
  <si>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</si>
  <si>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</si>
  <si>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</si>
  <si>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</si>
  <si>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</si>
  <si>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</si>
  <si>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</si>
  <si>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</si>
  <si>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</si>
  <si>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</si>
  <si>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</si>
  <si>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</si>
  <si>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</si>
  <si>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</si>
  <si>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</si>
  <si>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</si>
  <si>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</si>
  <si>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</si>
  <si>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</si>
  <si>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</si>
  <si>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</si>
  <si>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</si>
  <si>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</si>
  <si>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</si>
  <si>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</si>
  <si>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</si>
  <si>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</si>
  <si>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</si>
  <si>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</si>
  <si>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</si>
  <si>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</si>
  <si>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</si>
  <si>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</si>
  <si>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</si>
  <si>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</si>
  <si>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</si>
  <si>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</si>
  <si>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</si>
  <si>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</si>
  <si>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</si>
  <si>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</si>
  <si>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</si>
  <si>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</si>
  <si>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</si>
  <si>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</si>
  <si>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</si>
  <si>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</si>
  <si>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</si>
  <si>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</si>
  <si>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</si>
  <si>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</si>
  <si>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 xml:space="preserve">                                          LIC. KARINA GUZMAN CARDONA</t>
  </si>
  <si>
    <t>JUZGADO MUNICIPAL</t>
  </si>
  <si>
    <t xml:space="preserve">JUEZ MUNICIPAL </t>
  </si>
  <si>
    <t>VICTOR MANUEL TELLO RAMIREZ</t>
  </si>
  <si>
    <t>MÉDICO MUNICIPAL</t>
  </si>
  <si>
    <t>RODRIGO SALAZAR ALVAREZ DEL CASTILLO</t>
  </si>
  <si>
    <t>190</t>
  </si>
  <si>
    <t>ABRAHAM ANCO GARCIA</t>
  </si>
  <si>
    <t>393</t>
  </si>
  <si>
    <t xml:space="preserve">                                                PRESIDENTA MUNICIPAL </t>
  </si>
  <si>
    <t>261</t>
  </si>
  <si>
    <t>ERIDANI OROZCO VILLALOBOS</t>
  </si>
  <si>
    <t>JOSE RIVERA FLORES</t>
  </si>
  <si>
    <t>395</t>
  </si>
  <si>
    <t>JOSE AVELAR FRIAS</t>
  </si>
  <si>
    <t>396</t>
  </si>
  <si>
    <t>397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</si>
  <si>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</si>
  <si>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</si>
  <si>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</si>
  <si>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</si>
  <si>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</si>
  <si>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</si>
  <si>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</si>
  <si>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</si>
  <si>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</si>
  <si>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</si>
  <si>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</si>
  <si>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</si>
  <si>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</si>
  <si>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</si>
  <si>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</si>
  <si>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</si>
  <si>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</si>
  <si>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</si>
  <si>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</si>
  <si>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</si>
  <si>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</si>
  <si>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</si>
  <si>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</si>
  <si>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</si>
  <si>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</si>
  <si>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</si>
  <si>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</si>
  <si>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</si>
  <si>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</si>
  <si>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</si>
  <si>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</si>
  <si>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</si>
  <si>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</si>
  <si>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</si>
  <si>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</si>
  <si>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</si>
  <si>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</si>
  <si>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</si>
  <si>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</si>
  <si>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411</t>
  </si>
  <si>
    <t>412</t>
  </si>
  <si>
    <t>413</t>
  </si>
  <si>
    <t>MARIA LETICIA SANDOVAL SOTO</t>
  </si>
  <si>
    <t>ESTEBAN AGUAYO CASTRO</t>
  </si>
  <si>
    <t>DAVID GALVEZ MORA</t>
  </si>
  <si>
    <t>414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</si>
  <si>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</si>
  <si>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</si>
  <si>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</si>
  <si>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</si>
  <si>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</si>
  <si>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</si>
  <si>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</si>
  <si>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</si>
  <si>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</si>
  <si>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</si>
  <si>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</si>
  <si>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</si>
  <si>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</si>
  <si>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</si>
  <si>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</si>
  <si>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</si>
  <si>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SUELDO DEL 16 AL 30 DE ABRIL DE 2025</t>
  </si>
  <si>
    <t>SUELDO  DEL 01 AL 15 DE MAYO DE 2025</t>
  </si>
  <si>
    <t>DIRECTORA DE TURISMO, CULTURA Y FOMENTO ARTESANAL</t>
  </si>
  <si>
    <t>MARIA GUADALUPE BAÑUELOS RAMIREZ</t>
  </si>
  <si>
    <t>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</si>
</sst>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78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7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4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3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5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70039</xdr:rowOff>
    </xdr:from>
    <xdr:to>
      <xdr:col>4</xdr:col>
      <xdr:colOff>53148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70036</xdr:rowOff>
    </xdr:from>
    <xdr:to>
      <xdr:col>4</xdr:col>
      <xdr:colOff>53148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31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43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6" t="s">
        <v>160</v>
      </c>
    </row>
    <row r="3" spans="1:9" x14ac:dyDescent="0.2">
      <c r="B3" s="8" t="s">
        <v>47</v>
      </c>
      <c r="C3" s="7"/>
      <c r="D3" s="7"/>
      <c r="E3" s="7"/>
      <c r="F3" s="7"/>
      <c r="G3" s="7"/>
      <c r="I3" s="105">
        <v>278.8</v>
      </c>
    </row>
    <row r="4" spans="1:9" x14ac:dyDescent="0.2">
      <c r="B4" s="19" t="s">
        <v>342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09" t="s">
        <v>10</v>
      </c>
      <c r="C7" s="409"/>
      <c r="D7" s="409"/>
      <c r="E7" s="7"/>
      <c r="F7" s="410" t="s">
        <v>48</v>
      </c>
      <c r="G7" s="411"/>
      <c r="I7" s="106" t="s">
        <v>161</v>
      </c>
    </row>
    <row r="8" spans="1:9" ht="14.25" customHeight="1" x14ac:dyDescent="0.2">
      <c r="B8" s="412" t="s">
        <v>9</v>
      </c>
      <c r="C8" s="412"/>
      <c r="D8" s="412"/>
      <c r="E8" s="7"/>
      <c r="F8" s="413" t="s">
        <v>49</v>
      </c>
      <c r="G8" s="414"/>
      <c r="I8" s="105">
        <v>113.14</v>
      </c>
    </row>
    <row r="9" spans="1:9" ht="8.25" customHeight="1" x14ac:dyDescent="0.2">
      <c r="B9" s="406"/>
      <c r="C9" s="406"/>
      <c r="D9" s="406"/>
      <c r="E9" s="7"/>
      <c r="F9" s="407"/>
      <c r="G9" s="408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344</v>
      </c>
      <c r="C28" s="7"/>
      <c r="D28" s="7"/>
    </row>
    <row r="29" spans="1:8" x14ac:dyDescent="0.2">
      <c r="B29" s="32" t="s">
        <v>343</v>
      </c>
      <c r="C29" s="7"/>
      <c r="D29" s="7"/>
    </row>
    <row r="30" spans="1:8" x14ac:dyDescent="0.2">
      <c r="B30" s="189" t="s">
        <v>244</v>
      </c>
      <c r="C30" s="188"/>
      <c r="D30" s="188"/>
      <c r="E30" s="188"/>
      <c r="F30" s="188"/>
      <c r="G30" s="188"/>
      <c r="H30" s="188"/>
    </row>
    <row r="32" spans="1:8" ht="17.25" customHeight="1" x14ac:dyDescent="0.2">
      <c r="B32" s="5" t="s">
        <v>45</v>
      </c>
      <c r="E32" s="7"/>
      <c r="F32" s="410" t="s">
        <v>53</v>
      </c>
      <c r="G32" s="411"/>
    </row>
    <row r="33" spans="2:7" x14ac:dyDescent="0.2">
      <c r="E33" s="7"/>
      <c r="F33" s="413" t="s">
        <v>54</v>
      </c>
      <c r="G33" s="414"/>
    </row>
    <row r="34" spans="2:7" ht="5.25" customHeight="1" x14ac:dyDescent="0.2">
      <c r="E34" s="7"/>
      <c r="F34" s="407"/>
      <c r="G34" s="408"/>
    </row>
    <row r="35" spans="2:7" x14ac:dyDescent="0.2">
      <c r="B35" s="409" t="s">
        <v>10</v>
      </c>
      <c r="C35" s="409"/>
      <c r="D35" s="409"/>
      <c r="E35" s="7"/>
      <c r="F35" s="9" t="s">
        <v>16</v>
      </c>
      <c r="G35" s="9" t="s">
        <v>17</v>
      </c>
    </row>
    <row r="36" spans="2:7" x14ac:dyDescent="0.2">
      <c r="B36" s="412" t="s">
        <v>9</v>
      </c>
      <c r="C36" s="412"/>
      <c r="D36" s="412"/>
      <c r="E36" s="7"/>
      <c r="F36" s="9"/>
      <c r="G36" s="9" t="s">
        <v>18</v>
      </c>
    </row>
    <row r="37" spans="2:7" x14ac:dyDescent="0.2">
      <c r="B37" s="406"/>
      <c r="C37" s="406"/>
      <c r="D37" s="40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topLeftCell="B16" zoomScale="73" zoomScaleNormal="73" workbookViewId="0">
      <selection activeCell="X4" sqref="X1:X1048576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3" width="14.42578125" customWidth="1"/>
    <col min="24" max="24" width="14.5703125" bestFit="1" customWidth="1"/>
    <col min="25" max="25" width="16.85546875" customWidth="1"/>
    <col min="26" max="26" width="73.140625" customWidth="1"/>
  </cols>
  <sheetData>
    <row r="1" spans="1:27" ht="18" x14ac:dyDescent="0.25">
      <c r="A1" s="428" t="s">
        <v>76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</row>
    <row r="2" spans="1:27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7" ht="19.5" x14ac:dyDescent="0.25">
      <c r="A3" s="419" t="str">
        <f>PRESIDENCIA!A3</f>
        <v>SUELDO  DEL 01 AL 15 DE MAYO DE 2025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461" t="s">
        <v>95</v>
      </c>
      <c r="C5" s="461" t="s">
        <v>108</v>
      </c>
      <c r="D5" s="22"/>
      <c r="E5" s="22"/>
      <c r="F5" s="22"/>
      <c r="G5" s="23" t="s">
        <v>22</v>
      </c>
      <c r="H5" s="23" t="s">
        <v>5</v>
      </c>
      <c r="I5" s="429" t="s">
        <v>1</v>
      </c>
      <c r="J5" s="430"/>
      <c r="K5" s="431"/>
      <c r="L5" s="24" t="s">
        <v>25</v>
      </c>
      <c r="M5" s="25"/>
      <c r="N5" s="432" t="s">
        <v>8</v>
      </c>
      <c r="O5" s="433"/>
      <c r="P5" s="433"/>
      <c r="Q5" s="433"/>
      <c r="R5" s="433"/>
      <c r="S5" s="434"/>
      <c r="T5" s="24" t="s">
        <v>29</v>
      </c>
      <c r="U5" s="24" t="s">
        <v>9</v>
      </c>
      <c r="V5" s="23" t="s">
        <v>52</v>
      </c>
      <c r="W5" s="435" t="s">
        <v>2</v>
      </c>
      <c r="X5" s="436"/>
      <c r="Y5" s="23" t="s">
        <v>0</v>
      </c>
      <c r="Z5" s="33"/>
    </row>
    <row r="6" spans="1:27" ht="12.75" customHeight="1" x14ac:dyDescent="0.2">
      <c r="A6" s="26" t="s">
        <v>20</v>
      </c>
      <c r="B6" s="462"/>
      <c r="C6" s="462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194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463"/>
      <c r="C7" s="463"/>
      <c r="D7" s="29"/>
      <c r="E7" s="29"/>
      <c r="F7" s="29"/>
      <c r="G7" s="29"/>
      <c r="H7" s="29"/>
      <c r="I7" s="29" t="s">
        <v>46</v>
      </c>
      <c r="J7" s="29" t="s">
        <v>58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42" customHeight="1" x14ac:dyDescent="0.3">
      <c r="A8" s="123"/>
      <c r="B8" s="228"/>
      <c r="C8" s="216"/>
      <c r="D8" s="215" t="s">
        <v>329</v>
      </c>
      <c r="E8" s="215" t="s">
        <v>200</v>
      </c>
      <c r="F8" s="226" t="s">
        <v>60</v>
      </c>
      <c r="G8" s="226"/>
      <c r="H8" s="226"/>
      <c r="I8" s="226"/>
      <c r="J8" s="226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40"/>
    </row>
    <row r="9" spans="1:27" s="264" customFormat="1" ht="230.25" customHeight="1" x14ac:dyDescent="0.2">
      <c r="A9" s="250" t="s">
        <v>83</v>
      </c>
      <c r="B9" s="273" t="s">
        <v>138</v>
      </c>
      <c r="C9" s="351" t="s">
        <v>107</v>
      </c>
      <c r="D9" s="248" t="s">
        <v>133</v>
      </c>
      <c r="E9" s="229">
        <v>43374</v>
      </c>
      <c r="F9" s="306" t="s">
        <v>109</v>
      </c>
      <c r="G9" s="257">
        <v>15</v>
      </c>
      <c r="H9" s="258">
        <f>I9/G9</f>
        <v>309.60000000000002</v>
      </c>
      <c r="I9" s="259">
        <v>4644</v>
      </c>
      <c r="J9" s="260">
        <v>0</v>
      </c>
      <c r="K9" s="261">
        <f>SUM(I9:J9)</f>
        <v>4644</v>
      </c>
      <c r="L9" s="281">
        <f>IF(I9/15&lt;=SMG,0,J9/2)</f>
        <v>0</v>
      </c>
      <c r="M9" s="300">
        <f>(I9+L9)/G9*30.4</f>
        <v>9411.84</v>
      </c>
      <c r="N9" s="300">
        <f>VLOOKUP(M9,Tarifa,1)</f>
        <v>6332.06</v>
      </c>
      <c r="O9" s="281">
        <f>M9-N9</f>
        <v>3079.7799999999997</v>
      </c>
      <c r="P9" s="282">
        <f>VLOOKUP(M9,Tarifa,3)</f>
        <v>0.10879999999999999</v>
      </c>
      <c r="Q9" s="281">
        <f>O9*P9</f>
        <v>335.08006399999994</v>
      </c>
      <c r="R9" s="283">
        <f>VLOOKUP(M9,Tarifa,2)</f>
        <v>371.83</v>
      </c>
      <c r="S9" s="281">
        <f>Q9+R9</f>
        <v>706.91006399999992</v>
      </c>
      <c r="T9" s="281">
        <f>VLOOKUP(M9,Credito,2)</f>
        <v>475</v>
      </c>
      <c r="U9" s="281">
        <f>ROUND((S9-T9)/30.4*G9,2)</f>
        <v>114.43</v>
      </c>
      <c r="V9" s="261">
        <f>-IF(U9&gt;0,0,0)</f>
        <v>0</v>
      </c>
      <c r="W9" s="261">
        <f t="shared" ref="W9:W11" si="0">IF(I9/15&lt;=SMG,0,IF(U9&lt;0,0,U9))</f>
        <v>114.43</v>
      </c>
      <c r="X9" s="261">
        <f>SUM(W9:W9)</f>
        <v>114.43</v>
      </c>
      <c r="Y9" s="261">
        <f>K9+V9-X9</f>
        <v>4529.57</v>
      </c>
      <c r="Z9" s="272"/>
    </row>
    <row r="10" spans="1:27" s="264" customFormat="1" ht="230.25" customHeight="1" x14ac:dyDescent="0.2">
      <c r="A10" s="290"/>
      <c r="B10" s="266">
        <v>188</v>
      </c>
      <c r="C10" s="351" t="s">
        <v>107</v>
      </c>
      <c r="D10" s="268" t="s">
        <v>139</v>
      </c>
      <c r="E10" s="352">
        <v>43389</v>
      </c>
      <c r="F10" s="256" t="s">
        <v>181</v>
      </c>
      <c r="G10" s="257">
        <v>15</v>
      </c>
      <c r="H10" s="258">
        <f>I10/G10</f>
        <v>442.26666666666665</v>
      </c>
      <c r="I10" s="259">
        <v>6634</v>
      </c>
      <c r="J10" s="260">
        <v>0</v>
      </c>
      <c r="K10" s="259">
        <f>I10</f>
        <v>6634</v>
      </c>
      <c r="L10" s="281">
        <f>IF(I10/15&lt;=SMG,0,J10/2)</f>
        <v>0</v>
      </c>
      <c r="M10" s="300">
        <f>(I10+L10)/G10*30.4</f>
        <v>13444.906666666666</v>
      </c>
      <c r="N10" s="300">
        <f>VLOOKUP(M10,Tarifa,1)</f>
        <v>12935.83</v>
      </c>
      <c r="O10" s="281">
        <f>M10-N10</f>
        <v>509.07666666666591</v>
      </c>
      <c r="P10" s="282">
        <f>VLOOKUP(M10,Tarifa,3)</f>
        <v>0.1792</v>
      </c>
      <c r="Q10" s="281">
        <f>O10*P10</f>
        <v>91.226538666666528</v>
      </c>
      <c r="R10" s="283">
        <f>VLOOKUP(M10,Tarifa,2)</f>
        <v>1182.8800000000001</v>
      </c>
      <c r="S10" s="281">
        <f>Q10+R10</f>
        <v>1274.1065386666667</v>
      </c>
      <c r="T10" s="281">
        <f>VLOOKUP(M10,Credito,2)</f>
        <v>0</v>
      </c>
      <c r="U10" s="281">
        <f>ROUND((S10-T10)/30.4*G10,2)</f>
        <v>628.66999999999996</v>
      </c>
      <c r="V10" s="261">
        <f>-IF(U10&gt;0,0,0)</f>
        <v>0</v>
      </c>
      <c r="W10" s="261">
        <f t="shared" si="0"/>
        <v>628.66999999999996</v>
      </c>
      <c r="X10" s="261">
        <f>SUM(W10:W10)</f>
        <v>628.66999999999996</v>
      </c>
      <c r="Y10" s="261">
        <f>K10+V10-X10+J10</f>
        <v>6005.33</v>
      </c>
      <c r="Z10" s="272"/>
    </row>
    <row r="11" spans="1:27" s="264" customFormat="1" ht="230.25" customHeight="1" x14ac:dyDescent="0.2">
      <c r="A11" s="353"/>
      <c r="B11" s="267" t="s">
        <v>175</v>
      </c>
      <c r="C11" s="267" t="s">
        <v>107</v>
      </c>
      <c r="D11" s="312" t="s">
        <v>176</v>
      </c>
      <c r="E11" s="199">
        <v>43512</v>
      </c>
      <c r="F11" s="306" t="s">
        <v>109</v>
      </c>
      <c r="G11" s="257">
        <v>15</v>
      </c>
      <c r="H11" s="258">
        <f>I11/G11</f>
        <v>309.60000000000002</v>
      </c>
      <c r="I11" s="259">
        <v>4644</v>
      </c>
      <c r="J11" s="260">
        <v>0</v>
      </c>
      <c r="K11" s="261">
        <f>SUM(I11:J11)</f>
        <v>4644</v>
      </c>
      <c r="L11" s="281">
        <f>IF(I11/15&lt;=SMG,0,J11/2)</f>
        <v>0</v>
      </c>
      <c r="M11" s="300">
        <f>(I11+L11)/G11*30.4</f>
        <v>9411.84</v>
      </c>
      <c r="N11" s="300">
        <f>VLOOKUP(M11,Tarifa,1)</f>
        <v>6332.06</v>
      </c>
      <c r="O11" s="281">
        <f>M11-N11</f>
        <v>3079.7799999999997</v>
      </c>
      <c r="P11" s="282">
        <f>VLOOKUP(M11,Tarifa,3)</f>
        <v>0.10879999999999999</v>
      </c>
      <c r="Q11" s="281">
        <f>O11*P11</f>
        <v>335.08006399999994</v>
      </c>
      <c r="R11" s="283">
        <f>VLOOKUP(M11,Tarifa,2)</f>
        <v>371.83</v>
      </c>
      <c r="S11" s="281">
        <f>Q11+R11</f>
        <v>706.91006399999992</v>
      </c>
      <c r="T11" s="281">
        <f>VLOOKUP(M11,Credito,2)</f>
        <v>475</v>
      </c>
      <c r="U11" s="281">
        <f>ROUND((S11-T11)/30.4*G11,2)</f>
        <v>114.43</v>
      </c>
      <c r="V11" s="261">
        <f>-IF(U11&gt;0,0,0)</f>
        <v>0</v>
      </c>
      <c r="W11" s="261">
        <f t="shared" si="0"/>
        <v>114.43</v>
      </c>
      <c r="X11" s="261">
        <f>SUM(W11:W11)</f>
        <v>114.43</v>
      </c>
      <c r="Y11" s="261">
        <f>K11+V11-X11</f>
        <v>4529.57</v>
      </c>
      <c r="Z11" s="272"/>
    </row>
    <row r="12" spans="1:27" s="264" customFormat="1" ht="230.25" customHeight="1" x14ac:dyDescent="0.2">
      <c r="A12" s="353"/>
      <c r="B12" s="266">
        <v>317</v>
      </c>
      <c r="C12" s="267" t="s">
        <v>107</v>
      </c>
      <c r="D12" s="247" t="s">
        <v>207</v>
      </c>
      <c r="E12" s="229">
        <v>45078</v>
      </c>
      <c r="F12" s="306" t="s">
        <v>109</v>
      </c>
      <c r="G12" s="257">
        <v>15</v>
      </c>
      <c r="H12" s="258">
        <f>I12/G12</f>
        <v>309.60000000000002</v>
      </c>
      <c r="I12" s="259">
        <v>4644</v>
      </c>
      <c r="J12" s="260">
        <v>0</v>
      </c>
      <c r="K12" s="261">
        <f>SUM(I12:J12)</f>
        <v>4644</v>
      </c>
      <c r="L12" s="281">
        <f>IF(I12/15&lt;=SMG,0,J12/2)</f>
        <v>0</v>
      </c>
      <c r="M12" s="300">
        <f>(I12+L12)/G12*30.4</f>
        <v>9411.84</v>
      </c>
      <c r="N12" s="300">
        <f>VLOOKUP(M12,Tarifa,1)</f>
        <v>6332.06</v>
      </c>
      <c r="O12" s="281">
        <f>M12-N12</f>
        <v>3079.7799999999997</v>
      </c>
      <c r="P12" s="282">
        <f>VLOOKUP(M12,Tarifa,3)</f>
        <v>0.10879999999999999</v>
      </c>
      <c r="Q12" s="281">
        <f>O12*P12</f>
        <v>335.08006399999994</v>
      </c>
      <c r="R12" s="283">
        <f>VLOOKUP(M12,Tarifa,2)</f>
        <v>371.83</v>
      </c>
      <c r="S12" s="281">
        <f>Q12+R12</f>
        <v>706.91006399999992</v>
      </c>
      <c r="T12" s="281">
        <f>VLOOKUP(M12,Credito,2)</f>
        <v>475</v>
      </c>
      <c r="U12" s="281">
        <f>ROUND((S12-T12)/30.4*G12,2)</f>
        <v>114.43</v>
      </c>
      <c r="V12" s="261">
        <f t="shared" ref="V12" si="1">-IF(U12&gt;0,0,0)</f>
        <v>0</v>
      </c>
      <c r="W12" s="261">
        <f t="shared" ref="W12:W21" si="2">IF(I12/15&lt;=SMG,0,IF(U12&lt;0,0,U12))</f>
        <v>114.43</v>
      </c>
      <c r="X12" s="261">
        <f>SUM(W12:W12)</f>
        <v>114.43</v>
      </c>
      <c r="Y12" s="261">
        <f>K12+V12-X12</f>
        <v>4529.57</v>
      </c>
      <c r="Z12" s="272"/>
    </row>
    <row r="13" spans="1:27" s="264" customFormat="1" ht="230.25" customHeight="1" x14ac:dyDescent="0.2">
      <c r="A13" s="353"/>
      <c r="B13" s="305">
        <v>353</v>
      </c>
      <c r="C13" s="267" t="s">
        <v>107</v>
      </c>
      <c r="D13" s="249" t="s">
        <v>242</v>
      </c>
      <c r="E13" s="246">
        <v>45391</v>
      </c>
      <c r="F13" s="306" t="s">
        <v>109</v>
      </c>
      <c r="G13" s="257">
        <v>15</v>
      </c>
      <c r="H13" s="258">
        <f>I13/G13</f>
        <v>309.60000000000002</v>
      </c>
      <c r="I13" s="259">
        <v>4644</v>
      </c>
      <c r="J13" s="260">
        <v>0</v>
      </c>
      <c r="K13" s="261">
        <f>SUM(I13:J13)</f>
        <v>4644</v>
      </c>
      <c r="L13" s="281">
        <f>IF(I13/15&lt;=SMG,0,J13/2)</f>
        <v>0</v>
      </c>
      <c r="M13" s="300">
        <f>(I13+L13)/G13*30.4</f>
        <v>9411.84</v>
      </c>
      <c r="N13" s="300">
        <f>VLOOKUP(M13,Tarifa,1)</f>
        <v>6332.06</v>
      </c>
      <c r="O13" s="281">
        <f>M13-N13</f>
        <v>3079.7799999999997</v>
      </c>
      <c r="P13" s="282">
        <f>VLOOKUP(M13,Tarifa,3)</f>
        <v>0.10879999999999999</v>
      </c>
      <c r="Q13" s="281">
        <f>O13*P13</f>
        <v>335.08006399999994</v>
      </c>
      <c r="R13" s="283">
        <f>VLOOKUP(M13,Tarifa,2)</f>
        <v>371.83</v>
      </c>
      <c r="S13" s="281">
        <f>Q13+R13</f>
        <v>706.91006399999992</v>
      </c>
      <c r="T13" s="281">
        <f>VLOOKUP(M13,Credito,2)</f>
        <v>475</v>
      </c>
      <c r="U13" s="281">
        <f>ROUND((S13-T13)/30.4*G13,2)</f>
        <v>114.43</v>
      </c>
      <c r="V13" s="261">
        <f t="shared" ref="V13:V21" si="3">-IF(U13&gt;0,0,0)</f>
        <v>0</v>
      </c>
      <c r="W13" s="261">
        <f t="shared" si="2"/>
        <v>114.43</v>
      </c>
      <c r="X13" s="261">
        <f>SUM(W13:W13)</f>
        <v>114.43</v>
      </c>
      <c r="Y13" s="261">
        <f>K13+V13-X13</f>
        <v>4529.57</v>
      </c>
      <c r="Z13" s="272"/>
    </row>
    <row r="14" spans="1:27" s="88" customFormat="1" ht="36.75" customHeight="1" x14ac:dyDescent="0.3">
      <c r="A14" s="139"/>
      <c r="B14" s="242"/>
      <c r="C14" s="203"/>
      <c r="D14" s="243"/>
      <c r="E14" s="244"/>
      <c r="F14" s="245"/>
      <c r="G14" s="207"/>
      <c r="H14" s="208"/>
      <c r="I14" s="209"/>
      <c r="J14" s="210"/>
      <c r="K14" s="211"/>
      <c r="L14" s="212"/>
      <c r="M14" s="212"/>
      <c r="N14" s="212"/>
      <c r="O14" s="212"/>
      <c r="P14" s="213"/>
      <c r="Q14" s="212"/>
      <c r="R14" s="214"/>
      <c r="S14" s="212"/>
      <c r="T14" s="212"/>
      <c r="U14" s="212"/>
      <c r="V14" s="211"/>
      <c r="W14" s="211"/>
      <c r="X14" s="211"/>
      <c r="Y14" s="211"/>
    </row>
    <row r="15" spans="1:27" s="88" customFormat="1" ht="23.25" customHeight="1" x14ac:dyDescent="0.3">
      <c r="A15" s="139"/>
      <c r="B15" s="242"/>
      <c r="C15" s="203"/>
      <c r="D15" s="243"/>
      <c r="E15" s="244"/>
      <c r="F15" s="245"/>
      <c r="G15" s="207"/>
      <c r="H15" s="208"/>
      <c r="I15" s="209"/>
      <c r="J15" s="210"/>
      <c r="K15" s="211"/>
      <c r="L15" s="212"/>
      <c r="M15" s="212"/>
      <c r="N15" s="212"/>
      <c r="O15" s="212"/>
      <c r="P15" s="213"/>
      <c r="Q15" s="212"/>
      <c r="R15" s="214"/>
      <c r="S15" s="212"/>
      <c r="T15" s="212"/>
      <c r="U15" s="212"/>
      <c r="V15" s="211"/>
      <c r="W15" s="211"/>
      <c r="X15" s="211"/>
      <c r="Y15" s="211"/>
    </row>
    <row r="16" spans="1:27" s="88" customFormat="1" ht="31.5" customHeight="1" x14ac:dyDescent="0.25">
      <c r="A16" s="139"/>
      <c r="B16" s="428" t="s">
        <v>76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8"/>
      <c r="AA16" s="428"/>
    </row>
    <row r="17" spans="1:27" s="88" customFormat="1" ht="26.25" customHeight="1" x14ac:dyDescent="0.25">
      <c r="A17" s="139"/>
      <c r="B17" s="428" t="s">
        <v>63</v>
      </c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8"/>
      <c r="AA17" s="428"/>
    </row>
    <row r="18" spans="1:27" s="88" customFormat="1" ht="27.75" customHeight="1" x14ac:dyDescent="0.25">
      <c r="A18" s="139"/>
      <c r="B18" s="419" t="str">
        <f>A3</f>
        <v>SUELDO  DEL 01 AL 15 DE MAYO DE 2025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</row>
    <row r="19" spans="1:27" s="88" customFormat="1" ht="26.25" customHeight="1" x14ac:dyDescent="0.3">
      <c r="A19" s="139"/>
      <c r="B19" s="242"/>
      <c r="C19" s="203"/>
      <c r="D19" s="243"/>
      <c r="E19" s="244"/>
      <c r="F19" s="245"/>
      <c r="G19" s="207"/>
      <c r="H19" s="208"/>
      <c r="I19" s="209"/>
      <c r="J19" s="210"/>
      <c r="K19" s="211"/>
      <c r="L19" s="212"/>
      <c r="M19" s="212"/>
      <c r="N19" s="212"/>
      <c r="O19" s="212"/>
      <c r="P19" s="213"/>
      <c r="Q19" s="212"/>
      <c r="R19" s="214"/>
      <c r="S19" s="212"/>
      <c r="T19" s="212"/>
      <c r="U19" s="212"/>
      <c r="V19" s="211"/>
      <c r="W19" s="211"/>
      <c r="X19" s="211"/>
      <c r="Y19" s="211"/>
    </row>
    <row r="20" spans="1:27" s="264" customFormat="1" ht="216.75" customHeight="1" x14ac:dyDescent="0.2">
      <c r="A20" s="353"/>
      <c r="B20" s="305">
        <v>398</v>
      </c>
      <c r="C20" s="267" t="s">
        <v>107</v>
      </c>
      <c r="D20" s="249" t="s">
        <v>325</v>
      </c>
      <c r="E20" s="246">
        <v>45597</v>
      </c>
      <c r="F20" s="306" t="s">
        <v>109</v>
      </c>
      <c r="G20" s="257">
        <v>15</v>
      </c>
      <c r="H20" s="258">
        <f>I20/G20</f>
        <v>309.60000000000002</v>
      </c>
      <c r="I20" s="259">
        <v>4644</v>
      </c>
      <c r="J20" s="260">
        <v>0</v>
      </c>
      <c r="K20" s="261">
        <f>SUM(I20:J20)</f>
        <v>4644</v>
      </c>
      <c r="L20" s="281">
        <f>IF(I20/15&lt;=SMG,0,J20/2)</f>
        <v>0</v>
      </c>
      <c r="M20" s="300">
        <f>(I20+L20)/G20*30.4</f>
        <v>9411.84</v>
      </c>
      <c r="N20" s="300">
        <f>VLOOKUP(M20,Tarifa,1)</f>
        <v>6332.06</v>
      </c>
      <c r="O20" s="281">
        <f>M20-N20</f>
        <v>3079.7799999999997</v>
      </c>
      <c r="P20" s="282">
        <f>VLOOKUP(M20,Tarifa,3)</f>
        <v>0.10879999999999999</v>
      </c>
      <c r="Q20" s="281">
        <f>O20*P20</f>
        <v>335.08006399999994</v>
      </c>
      <c r="R20" s="283">
        <f>VLOOKUP(M20,Tarifa,2)</f>
        <v>371.83</v>
      </c>
      <c r="S20" s="281">
        <f>Q20+R20</f>
        <v>706.91006399999992</v>
      </c>
      <c r="T20" s="281">
        <f>VLOOKUP(M20,Credito,2)</f>
        <v>475</v>
      </c>
      <c r="U20" s="281">
        <f>ROUND((S20-T20)/30.4*G20,2)</f>
        <v>114.43</v>
      </c>
      <c r="V20" s="261">
        <f t="shared" si="3"/>
        <v>0</v>
      </c>
      <c r="W20" s="261">
        <f t="shared" si="2"/>
        <v>114.43</v>
      </c>
      <c r="X20" s="261">
        <f>SUM(W20:W20)</f>
        <v>114.43</v>
      </c>
      <c r="Y20" s="261">
        <f>K20+V20-X20</f>
        <v>4529.57</v>
      </c>
      <c r="Z20" s="272"/>
    </row>
    <row r="21" spans="1:27" s="264" customFormat="1" ht="216.75" customHeight="1" x14ac:dyDescent="0.2">
      <c r="A21" s="353"/>
      <c r="B21" s="273" t="s">
        <v>155</v>
      </c>
      <c r="C21" s="267" t="s">
        <v>107</v>
      </c>
      <c r="D21" s="253" t="s">
        <v>79</v>
      </c>
      <c r="E21" s="255">
        <v>41410</v>
      </c>
      <c r="F21" s="256" t="s">
        <v>148</v>
      </c>
      <c r="G21" s="257">
        <v>15</v>
      </c>
      <c r="H21" s="258">
        <f>I21/G21</f>
        <v>253.33333333333334</v>
      </c>
      <c r="I21" s="259">
        <v>3800</v>
      </c>
      <c r="J21" s="260">
        <v>0</v>
      </c>
      <c r="K21" s="261">
        <f>SUM(I21:J21)</f>
        <v>3800</v>
      </c>
      <c r="L21" s="281">
        <f>IF(I21/15&lt;=SMG,0,J21/2)</f>
        <v>0</v>
      </c>
      <c r="M21" s="300">
        <f>(I21+L21)/G21*30.4</f>
        <v>7701.333333333333</v>
      </c>
      <c r="N21" s="300">
        <f>VLOOKUP(M21,Tarifa,1)</f>
        <v>6332.06</v>
      </c>
      <c r="O21" s="281">
        <f>M21-N21</f>
        <v>1369.2733333333326</v>
      </c>
      <c r="P21" s="282">
        <f>VLOOKUP(M21,Tarifa,3)</f>
        <v>0.10879999999999999</v>
      </c>
      <c r="Q21" s="281">
        <f>O21*P21</f>
        <v>148.97693866666657</v>
      </c>
      <c r="R21" s="283">
        <f>VLOOKUP(M21,Tarifa,2)</f>
        <v>371.83</v>
      </c>
      <c r="S21" s="281">
        <f>Q21+R21</f>
        <v>520.80693866666661</v>
      </c>
      <c r="T21" s="281">
        <f>VLOOKUP(M21,Credito,2)</f>
        <v>475</v>
      </c>
      <c r="U21" s="281">
        <f>ROUND((S21-T21)/30.4*G21,2)</f>
        <v>22.6</v>
      </c>
      <c r="V21" s="261">
        <f t="shared" si="3"/>
        <v>0</v>
      </c>
      <c r="W21" s="261">
        <f t="shared" si="2"/>
        <v>0</v>
      </c>
      <c r="X21" s="261">
        <f>SUM(W21:W21)</f>
        <v>0</v>
      </c>
      <c r="Y21" s="261">
        <f>K21+V21-X21</f>
        <v>3800</v>
      </c>
      <c r="Z21" s="272"/>
    </row>
    <row r="22" spans="1:27" ht="18" x14ac:dyDescent="0.25">
      <c r="A22" s="132"/>
      <c r="B22" s="132"/>
      <c r="C22" s="132"/>
      <c r="D22" s="132"/>
      <c r="E22" s="132"/>
      <c r="F22" s="132"/>
      <c r="G22" s="133"/>
      <c r="H22" s="132"/>
      <c r="I22" s="134"/>
      <c r="J22" s="134"/>
      <c r="K22" s="134"/>
      <c r="L22" s="135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</row>
    <row r="23" spans="1:27" ht="45" customHeight="1" thickBot="1" x14ac:dyDescent="0.35">
      <c r="A23" s="415" t="s">
        <v>44</v>
      </c>
      <c r="B23" s="416"/>
      <c r="C23" s="416"/>
      <c r="D23" s="416"/>
      <c r="E23" s="416"/>
      <c r="F23" s="416"/>
      <c r="G23" s="416"/>
      <c r="H23" s="417"/>
      <c r="I23" s="197">
        <f t="shared" ref="I23:Y23" si="4">SUM(I9:I22)</f>
        <v>33654</v>
      </c>
      <c r="J23" s="197">
        <f t="shared" si="4"/>
        <v>0</v>
      </c>
      <c r="K23" s="197">
        <f t="shared" si="4"/>
        <v>33654</v>
      </c>
      <c r="L23" s="198">
        <f t="shared" si="4"/>
        <v>0</v>
      </c>
      <c r="M23" s="198">
        <f t="shared" si="4"/>
        <v>68205.439999999988</v>
      </c>
      <c r="N23" s="198">
        <f t="shared" si="4"/>
        <v>50928.189999999995</v>
      </c>
      <c r="O23" s="198">
        <f t="shared" si="4"/>
        <v>17277.249999999993</v>
      </c>
      <c r="P23" s="198">
        <f t="shared" si="4"/>
        <v>0.83199999999999996</v>
      </c>
      <c r="Q23" s="198">
        <f t="shared" si="4"/>
        <v>1915.6037973333327</v>
      </c>
      <c r="R23" s="198">
        <f t="shared" si="4"/>
        <v>3413.8599999999997</v>
      </c>
      <c r="S23" s="198">
        <f t="shared" si="4"/>
        <v>5329.463797333332</v>
      </c>
      <c r="T23" s="198">
        <f t="shared" si="4"/>
        <v>2850</v>
      </c>
      <c r="U23" s="198">
        <f t="shared" si="4"/>
        <v>1223.42</v>
      </c>
      <c r="V23" s="197">
        <f t="shared" si="4"/>
        <v>0</v>
      </c>
      <c r="W23" s="197">
        <f t="shared" si="4"/>
        <v>1200.8200000000002</v>
      </c>
      <c r="X23" s="197">
        <f t="shared" si="4"/>
        <v>1200.8200000000002</v>
      </c>
      <c r="Y23" s="197">
        <f t="shared" si="4"/>
        <v>32453.18</v>
      </c>
    </row>
    <row r="24" spans="1:27" ht="13.5" thickTop="1" x14ac:dyDescent="0.2"/>
    <row r="38" spans="4:26" x14ac:dyDescent="0.2">
      <c r="D38" s="4"/>
      <c r="W38" s="4"/>
    </row>
    <row r="39" spans="4:26" ht="18" x14ac:dyDescent="0.25">
      <c r="D39" s="202" t="s">
        <v>311</v>
      </c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202" t="s">
        <v>134</v>
      </c>
      <c r="X39" s="104"/>
      <c r="Y39" s="104"/>
    </row>
    <row r="40" spans="4:26" ht="18" x14ac:dyDescent="0.25">
      <c r="D40" s="202" t="s">
        <v>320</v>
      </c>
      <c r="E40" s="202"/>
      <c r="F40" s="202"/>
      <c r="G40" s="202"/>
      <c r="H40" s="202"/>
      <c r="I40" s="202"/>
      <c r="J40" s="202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202" t="s">
        <v>179</v>
      </c>
      <c r="X40" s="202"/>
      <c r="Y40" s="202"/>
      <c r="Z40" s="42"/>
    </row>
  </sheetData>
  <mergeCells count="12">
    <mergeCell ref="W5:X5"/>
    <mergeCell ref="A23:H23"/>
    <mergeCell ref="A1:Z1"/>
    <mergeCell ref="A2:Z2"/>
    <mergeCell ref="A3:Z3"/>
    <mergeCell ref="I5:K5"/>
    <mergeCell ref="N5:S5"/>
    <mergeCell ref="B5:B7"/>
    <mergeCell ref="C5:C7"/>
    <mergeCell ref="B16:AA16"/>
    <mergeCell ref="B17:AA17"/>
    <mergeCell ref="B18:AA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9:E21 D11:E15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1"/>
  <sheetViews>
    <sheetView tabSelected="1" topLeftCell="B49" zoomScale="68" zoomScaleNormal="68" workbookViewId="0">
      <selection activeCell="X55" sqref="X55:X56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7" width="11.28515625" style="65" hidden="1" customWidth="1"/>
    <col min="8" max="8" width="17.5703125" style="65" customWidth="1"/>
    <col min="9" max="9" width="16.5703125" style="65" customWidth="1"/>
    <col min="10" max="10" width="18" style="65" customWidth="1"/>
    <col min="11" max="11" width="12.7109375" style="65" hidden="1" customWidth="1"/>
    <col min="12" max="12" width="13.140625" style="65" hidden="1" customWidth="1"/>
    <col min="13" max="13" width="14.42578125" style="65" hidden="1" customWidth="1"/>
    <col min="14" max="14" width="15" style="65" hidden="1" customWidth="1"/>
    <col min="15" max="15" width="11" style="65" hidden="1" customWidth="1"/>
    <col min="16" max="17" width="13.140625" style="65" hidden="1" customWidth="1"/>
    <col min="18" max="18" width="15.42578125" style="65" hidden="1" customWidth="1"/>
    <col min="19" max="19" width="10.42578125" style="65" hidden="1" customWidth="1"/>
    <col min="20" max="20" width="13.140625" style="65" hidden="1" customWidth="1"/>
    <col min="21" max="21" width="11.5703125" style="65" customWidth="1"/>
    <col min="22" max="22" width="15.5703125" style="65" customWidth="1"/>
    <col min="23" max="23" width="15.85546875" style="65" customWidth="1"/>
    <col min="24" max="24" width="18" style="65" customWidth="1"/>
    <col min="25" max="25" width="111.85546875" style="65" customWidth="1"/>
    <col min="26" max="26" width="73.42578125" style="65" customWidth="1"/>
    <col min="27" max="16384" width="11.42578125" style="65"/>
  </cols>
  <sheetData>
    <row r="1" spans="1:27" ht="18" x14ac:dyDescent="0.25">
      <c r="A1" s="428" t="s">
        <v>75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"/>
    </row>
    <row r="2" spans="1:27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"/>
    </row>
    <row r="3" spans="1:27" ht="19.5" customHeight="1" x14ac:dyDescent="0.25">
      <c r="A3" s="41" t="s">
        <v>153</v>
      </c>
      <c r="B3" s="464" t="s">
        <v>390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193"/>
      <c r="AA3" s="193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"/>
    </row>
    <row r="5" spans="1:27" x14ac:dyDescent="0.2">
      <c r="A5" s="22"/>
      <c r="B5" s="22"/>
      <c r="C5" s="22"/>
      <c r="D5" s="22"/>
      <c r="E5" s="22"/>
      <c r="F5" s="23" t="s">
        <v>22</v>
      </c>
      <c r="G5" s="354"/>
      <c r="H5" s="429" t="s">
        <v>1</v>
      </c>
      <c r="I5" s="430"/>
      <c r="J5" s="431"/>
      <c r="K5" s="24" t="s">
        <v>25</v>
      </c>
      <c r="L5" s="25"/>
      <c r="M5" s="432" t="s">
        <v>8</v>
      </c>
      <c r="N5" s="433"/>
      <c r="O5" s="433"/>
      <c r="P5" s="433"/>
      <c r="Q5" s="433"/>
      <c r="R5" s="434"/>
      <c r="S5" s="24" t="s">
        <v>29</v>
      </c>
      <c r="T5" s="24" t="s">
        <v>9</v>
      </c>
      <c r="U5" s="23" t="s">
        <v>52</v>
      </c>
      <c r="V5" s="435" t="s">
        <v>2</v>
      </c>
      <c r="W5" s="436"/>
      <c r="X5" s="23" t="s">
        <v>0</v>
      </c>
      <c r="Y5" s="97"/>
      <c r="Z5" s="4"/>
    </row>
    <row r="6" spans="1:27" ht="32.25" customHeight="1" x14ac:dyDescent="0.2">
      <c r="A6" s="26" t="s">
        <v>20</v>
      </c>
      <c r="B6" s="44" t="s">
        <v>95</v>
      </c>
      <c r="C6" s="44" t="s">
        <v>108</v>
      </c>
      <c r="D6" s="26"/>
      <c r="E6" s="26"/>
      <c r="F6" s="27" t="s">
        <v>23</v>
      </c>
      <c r="G6" s="27"/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194</v>
      </c>
      <c r="W6" s="23" t="s">
        <v>6</v>
      </c>
      <c r="X6" s="26" t="s">
        <v>3</v>
      </c>
      <c r="Y6" s="35" t="s">
        <v>56</v>
      </c>
      <c r="Z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58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117</v>
      </c>
      <c r="U7" s="26" t="s">
        <v>51</v>
      </c>
      <c r="V7" s="26"/>
      <c r="W7" s="26" t="s">
        <v>43</v>
      </c>
      <c r="X7" s="26" t="s">
        <v>4</v>
      </c>
      <c r="Y7" s="98"/>
      <c r="Z7" s="4"/>
    </row>
    <row r="8" spans="1:27" ht="42" customHeight="1" x14ac:dyDescent="0.3">
      <c r="A8" s="38"/>
      <c r="B8" s="468" t="s">
        <v>106</v>
      </c>
      <c r="C8" s="469"/>
      <c r="D8" s="215" t="s">
        <v>200</v>
      </c>
      <c r="E8" s="216" t="s">
        <v>60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2"/>
      <c r="Z8" s="4"/>
    </row>
    <row r="9" spans="1:27" s="358" customFormat="1" ht="172.5" customHeight="1" x14ac:dyDescent="0.2">
      <c r="A9" s="250" t="s">
        <v>81</v>
      </c>
      <c r="B9" s="267" t="s">
        <v>237</v>
      </c>
      <c r="C9" s="267" t="s">
        <v>107</v>
      </c>
      <c r="D9" s="334">
        <v>45367</v>
      </c>
      <c r="E9" s="306" t="s">
        <v>65</v>
      </c>
      <c r="F9" s="257">
        <v>15</v>
      </c>
      <c r="G9" s="257">
        <f t="shared" ref="G9:G17" si="0">H9/F9</f>
        <v>728</v>
      </c>
      <c r="H9" s="259">
        <v>10920</v>
      </c>
      <c r="I9" s="260">
        <v>0</v>
      </c>
      <c r="J9" s="261">
        <f t="shared" ref="J9" si="1">SUM(H9:I9)</f>
        <v>10920</v>
      </c>
      <c r="K9" s="281">
        <f t="shared" ref="K9:K17" si="2">IF(H9/15&lt;=SMG,0,I9/2)</f>
        <v>0</v>
      </c>
      <c r="L9" s="300">
        <f t="shared" ref="L9:L17" si="3">(H9+K9)/F9*30.4</f>
        <v>22131.200000000001</v>
      </c>
      <c r="M9" s="300">
        <f t="shared" ref="M9:M17" si="4">VLOOKUP(L9,Tarifa,1)</f>
        <v>15487.72</v>
      </c>
      <c r="N9" s="281">
        <f t="shared" ref="N9:N17" si="5">L9-M9</f>
        <v>6643.4800000000014</v>
      </c>
      <c r="O9" s="282">
        <f t="shared" ref="O9:O17" si="6">VLOOKUP(L9,Tarifa,3)</f>
        <v>0.21360000000000001</v>
      </c>
      <c r="P9" s="281">
        <f t="shared" ref="P9:P17" si="7">N9*O9</f>
        <v>1419.0473280000003</v>
      </c>
      <c r="Q9" s="283">
        <f t="shared" ref="Q9:Q17" si="8">VLOOKUP(L9,Tarifa,2)</f>
        <v>1640.18</v>
      </c>
      <c r="R9" s="281">
        <f t="shared" ref="R9:R17" si="9">P9+Q9</f>
        <v>3059.2273280000004</v>
      </c>
      <c r="S9" s="281">
        <f t="shared" ref="S9:S17" si="10">VLOOKUP(L9,Credito,2)</f>
        <v>0</v>
      </c>
      <c r="T9" s="281">
        <f t="shared" ref="T9:T17" si="11">ROUND((R9-S9)/30.4*F9,2)</f>
        <v>1509.49</v>
      </c>
      <c r="U9" s="261">
        <f>-IF(T9&gt;0,0,0)</f>
        <v>0</v>
      </c>
      <c r="V9" s="261">
        <f t="shared" ref="V9" si="12">IF(H9/15&lt;=SMG,0,IF(T9&lt;0,0,T9))</f>
        <v>1509.49</v>
      </c>
      <c r="W9" s="261">
        <f>SUM(V9:V9)</f>
        <v>1509.49</v>
      </c>
      <c r="X9" s="261">
        <f>J9+U9-V9</f>
        <v>9410.51</v>
      </c>
      <c r="Y9" s="357"/>
      <c r="Z9" s="318"/>
    </row>
    <row r="10" spans="1:27" s="264" customFormat="1" ht="172.5" customHeight="1" x14ac:dyDescent="0.2">
      <c r="A10" s="353"/>
      <c r="B10" s="267" t="s">
        <v>147</v>
      </c>
      <c r="C10" s="267" t="s">
        <v>107</v>
      </c>
      <c r="D10" s="334">
        <v>43601</v>
      </c>
      <c r="E10" s="256" t="s">
        <v>77</v>
      </c>
      <c r="F10" s="257">
        <v>15</v>
      </c>
      <c r="G10" s="257">
        <f t="shared" si="0"/>
        <v>594.76666666666665</v>
      </c>
      <c r="H10" s="259">
        <v>8921.5</v>
      </c>
      <c r="I10" s="260">
        <v>0</v>
      </c>
      <c r="J10" s="261">
        <f t="shared" ref="J10:J12" si="13">SUM(H10:I10)</f>
        <v>8921.5</v>
      </c>
      <c r="K10" s="281">
        <f t="shared" si="2"/>
        <v>0</v>
      </c>
      <c r="L10" s="300">
        <f t="shared" si="3"/>
        <v>18080.906666666666</v>
      </c>
      <c r="M10" s="300">
        <f t="shared" si="4"/>
        <v>15487.72</v>
      </c>
      <c r="N10" s="281">
        <f t="shared" si="5"/>
        <v>2593.1866666666665</v>
      </c>
      <c r="O10" s="282">
        <f t="shared" si="6"/>
        <v>0.21360000000000001</v>
      </c>
      <c r="P10" s="281">
        <f t="shared" si="7"/>
        <v>553.90467200000001</v>
      </c>
      <c r="Q10" s="283">
        <f t="shared" si="8"/>
        <v>1640.18</v>
      </c>
      <c r="R10" s="281">
        <f t="shared" si="9"/>
        <v>2194.084672</v>
      </c>
      <c r="S10" s="281">
        <f t="shared" si="10"/>
        <v>0</v>
      </c>
      <c r="T10" s="281">
        <f t="shared" si="11"/>
        <v>1082.6099999999999</v>
      </c>
      <c r="U10" s="261">
        <f t="shared" ref="U10:U12" si="14">-IF(T10&gt;0,0,0)</f>
        <v>0</v>
      </c>
      <c r="V10" s="261">
        <f t="shared" ref="V10" si="15">IF(H10/15&lt;=SMG,0,IF(T10&lt;0,0,T10))</f>
        <v>1082.6099999999999</v>
      </c>
      <c r="W10" s="261">
        <f>SUM(V10:V10)</f>
        <v>1082.6099999999999</v>
      </c>
      <c r="X10" s="261">
        <f>J10+U10-W10</f>
        <v>7838.89</v>
      </c>
      <c r="Y10" s="357"/>
      <c r="Z10" s="318"/>
    </row>
    <row r="11" spans="1:27" s="264" customFormat="1" ht="172.5" customHeight="1" x14ac:dyDescent="0.2">
      <c r="A11" s="353"/>
      <c r="B11" s="267" t="s">
        <v>239</v>
      </c>
      <c r="C11" s="267" t="s">
        <v>107</v>
      </c>
      <c r="D11" s="310">
        <v>45367</v>
      </c>
      <c r="E11" s="256" t="s">
        <v>77</v>
      </c>
      <c r="F11" s="257">
        <v>15</v>
      </c>
      <c r="G11" s="257">
        <f t="shared" si="0"/>
        <v>594.76666666666665</v>
      </c>
      <c r="H11" s="259">
        <v>8921.5</v>
      </c>
      <c r="I11" s="260">
        <v>0</v>
      </c>
      <c r="J11" s="261">
        <f t="shared" ref="J11" si="16">SUM(H11:I11)</f>
        <v>8921.5</v>
      </c>
      <c r="K11" s="281">
        <f t="shared" si="2"/>
        <v>0</v>
      </c>
      <c r="L11" s="300">
        <f t="shared" si="3"/>
        <v>18080.906666666666</v>
      </c>
      <c r="M11" s="300">
        <f t="shared" si="4"/>
        <v>15487.72</v>
      </c>
      <c r="N11" s="281">
        <f t="shared" si="5"/>
        <v>2593.1866666666665</v>
      </c>
      <c r="O11" s="282">
        <f t="shared" si="6"/>
        <v>0.21360000000000001</v>
      </c>
      <c r="P11" s="281">
        <f t="shared" si="7"/>
        <v>553.90467200000001</v>
      </c>
      <c r="Q11" s="283">
        <f t="shared" si="8"/>
        <v>1640.18</v>
      </c>
      <c r="R11" s="281">
        <f t="shared" si="9"/>
        <v>2194.084672</v>
      </c>
      <c r="S11" s="281">
        <f t="shared" si="10"/>
        <v>0</v>
      </c>
      <c r="T11" s="281">
        <f t="shared" si="11"/>
        <v>1082.6099999999999</v>
      </c>
      <c r="U11" s="261">
        <f t="shared" ref="U11" si="17">-IF(T11&gt;0,0,0)</f>
        <v>0</v>
      </c>
      <c r="V11" s="261">
        <f t="shared" ref="V11" si="18">IF(H11/15&lt;=SMG,0,IF(T11&lt;0,0,T11))</f>
        <v>1082.6099999999999</v>
      </c>
      <c r="W11" s="261">
        <f>SUM(V11:V11)</f>
        <v>1082.6099999999999</v>
      </c>
      <c r="X11" s="261">
        <f>J11+U11-W11</f>
        <v>7838.89</v>
      </c>
      <c r="Y11" s="357"/>
      <c r="Z11" s="318"/>
    </row>
    <row r="12" spans="1:27" s="264" customFormat="1" ht="172.5" customHeight="1" x14ac:dyDescent="0.2">
      <c r="A12" s="353"/>
      <c r="B12" s="267" t="s">
        <v>238</v>
      </c>
      <c r="C12" s="267" t="s">
        <v>107</v>
      </c>
      <c r="D12" s="334">
        <v>45367</v>
      </c>
      <c r="E12" s="256" t="s">
        <v>183</v>
      </c>
      <c r="F12" s="257">
        <v>15</v>
      </c>
      <c r="G12" s="257">
        <f t="shared" si="0"/>
        <v>566.93333333333328</v>
      </c>
      <c r="H12" s="259">
        <v>8504</v>
      </c>
      <c r="I12" s="260">
        <v>0</v>
      </c>
      <c r="J12" s="261">
        <f t="shared" si="13"/>
        <v>8504</v>
      </c>
      <c r="K12" s="281">
        <f t="shared" si="2"/>
        <v>0</v>
      </c>
      <c r="L12" s="300">
        <f t="shared" si="3"/>
        <v>17234.773333333331</v>
      </c>
      <c r="M12" s="300">
        <f t="shared" si="4"/>
        <v>15487.72</v>
      </c>
      <c r="N12" s="281">
        <f t="shared" si="5"/>
        <v>1747.0533333333315</v>
      </c>
      <c r="O12" s="282">
        <f t="shared" si="6"/>
        <v>0.21360000000000001</v>
      </c>
      <c r="P12" s="281">
        <f t="shared" si="7"/>
        <v>373.1705919999996</v>
      </c>
      <c r="Q12" s="283">
        <f t="shared" si="8"/>
        <v>1640.18</v>
      </c>
      <c r="R12" s="281">
        <f t="shared" si="9"/>
        <v>2013.3505919999998</v>
      </c>
      <c r="S12" s="281">
        <f t="shared" si="10"/>
        <v>0</v>
      </c>
      <c r="T12" s="281">
        <f t="shared" si="11"/>
        <v>993.43</v>
      </c>
      <c r="U12" s="261">
        <f t="shared" si="14"/>
        <v>0</v>
      </c>
      <c r="V12" s="261">
        <f t="shared" ref="V12" si="19">IF(H12/15&lt;=SMG,0,IF(T12&lt;0,0,T12))</f>
        <v>993.43</v>
      </c>
      <c r="W12" s="261">
        <f>SUM(V12:V12)</f>
        <v>993.43</v>
      </c>
      <c r="X12" s="261">
        <f>J12+U12-W12</f>
        <v>7510.57</v>
      </c>
      <c r="Y12" s="357"/>
      <c r="Z12" s="318"/>
    </row>
    <row r="13" spans="1:27" s="264" customFormat="1" ht="172.5" customHeight="1" x14ac:dyDescent="0.2">
      <c r="A13" s="353"/>
      <c r="B13" s="267" t="s">
        <v>236</v>
      </c>
      <c r="C13" s="267" t="s">
        <v>107</v>
      </c>
      <c r="D13" s="310">
        <v>45352</v>
      </c>
      <c r="E13" s="256" t="s">
        <v>183</v>
      </c>
      <c r="F13" s="257">
        <v>15</v>
      </c>
      <c r="G13" s="257">
        <f t="shared" si="0"/>
        <v>566.93333333333328</v>
      </c>
      <c r="H13" s="259">
        <v>8504</v>
      </c>
      <c r="I13" s="260">
        <v>0</v>
      </c>
      <c r="J13" s="261">
        <f t="shared" ref="J13" si="20">SUM(H13:I13)</f>
        <v>8504</v>
      </c>
      <c r="K13" s="281">
        <f t="shared" si="2"/>
        <v>0</v>
      </c>
      <c r="L13" s="300">
        <f t="shared" si="3"/>
        <v>17234.773333333331</v>
      </c>
      <c r="M13" s="300">
        <f t="shared" si="4"/>
        <v>15487.72</v>
      </c>
      <c r="N13" s="281">
        <f t="shared" si="5"/>
        <v>1747.0533333333315</v>
      </c>
      <c r="O13" s="282">
        <f t="shared" si="6"/>
        <v>0.21360000000000001</v>
      </c>
      <c r="P13" s="281">
        <f t="shared" si="7"/>
        <v>373.1705919999996</v>
      </c>
      <c r="Q13" s="283">
        <f t="shared" si="8"/>
        <v>1640.18</v>
      </c>
      <c r="R13" s="281">
        <f t="shared" si="9"/>
        <v>2013.3505919999998</v>
      </c>
      <c r="S13" s="281">
        <f t="shared" si="10"/>
        <v>0</v>
      </c>
      <c r="T13" s="281">
        <f t="shared" si="11"/>
        <v>993.43</v>
      </c>
      <c r="U13" s="261">
        <f t="shared" ref="U13:U14" si="21">-IF(T13&gt;0,0,0)</f>
        <v>0</v>
      </c>
      <c r="V13" s="261">
        <f t="shared" ref="V13:V14" si="22">IF(H13/15&lt;=SMG,0,IF(T13&lt;0,0,T13))</f>
        <v>993.43</v>
      </c>
      <c r="W13" s="261">
        <f>SUM(V13:V13)</f>
        <v>993.43</v>
      </c>
      <c r="X13" s="261">
        <f>J13+U13-W13</f>
        <v>7510.57</v>
      </c>
      <c r="Y13" s="357"/>
      <c r="Z13" s="318"/>
    </row>
    <row r="14" spans="1:27" s="264" customFormat="1" ht="172.5" customHeight="1" x14ac:dyDescent="0.2">
      <c r="A14" s="353"/>
      <c r="B14" s="267" t="s">
        <v>241</v>
      </c>
      <c r="C14" s="267" t="s">
        <v>107</v>
      </c>
      <c r="D14" s="310">
        <v>45367</v>
      </c>
      <c r="E14" s="256" t="s">
        <v>183</v>
      </c>
      <c r="F14" s="257">
        <v>15</v>
      </c>
      <c r="G14" s="257">
        <f t="shared" si="0"/>
        <v>566.93333333333328</v>
      </c>
      <c r="H14" s="259">
        <v>8504</v>
      </c>
      <c r="I14" s="260">
        <v>0</v>
      </c>
      <c r="J14" s="261">
        <f t="shared" ref="J14" si="23">SUM(H14:I14)</f>
        <v>8504</v>
      </c>
      <c r="K14" s="281">
        <f t="shared" si="2"/>
        <v>0</v>
      </c>
      <c r="L14" s="300">
        <f t="shared" si="3"/>
        <v>17234.773333333331</v>
      </c>
      <c r="M14" s="300">
        <f t="shared" si="4"/>
        <v>15487.72</v>
      </c>
      <c r="N14" s="281">
        <f t="shared" si="5"/>
        <v>1747.0533333333315</v>
      </c>
      <c r="O14" s="282">
        <f t="shared" si="6"/>
        <v>0.21360000000000001</v>
      </c>
      <c r="P14" s="281">
        <f t="shared" si="7"/>
        <v>373.1705919999996</v>
      </c>
      <c r="Q14" s="283">
        <f t="shared" si="8"/>
        <v>1640.18</v>
      </c>
      <c r="R14" s="281">
        <f t="shared" si="9"/>
        <v>2013.3505919999998</v>
      </c>
      <c r="S14" s="281">
        <f t="shared" si="10"/>
        <v>0</v>
      </c>
      <c r="T14" s="281">
        <f t="shared" si="11"/>
        <v>993.43</v>
      </c>
      <c r="U14" s="261">
        <f t="shared" si="21"/>
        <v>0</v>
      </c>
      <c r="V14" s="261">
        <f t="shared" si="22"/>
        <v>993.43</v>
      </c>
      <c r="W14" s="261">
        <f>SUM(V14:V14)</f>
        <v>993.43</v>
      </c>
      <c r="X14" s="261">
        <f>J14+U14-W14</f>
        <v>7510.57</v>
      </c>
      <c r="Y14" s="357"/>
      <c r="Z14" s="318"/>
    </row>
    <row r="15" spans="1:27" s="264" customFormat="1" ht="172.5" customHeight="1" x14ac:dyDescent="0.2">
      <c r="A15" s="353"/>
      <c r="B15" s="267" t="s">
        <v>99</v>
      </c>
      <c r="C15" s="267" t="s">
        <v>107</v>
      </c>
      <c r="D15" s="310">
        <v>41898</v>
      </c>
      <c r="E15" s="256" t="s">
        <v>78</v>
      </c>
      <c r="F15" s="257">
        <v>15</v>
      </c>
      <c r="G15" s="257">
        <f t="shared" si="0"/>
        <v>539.13333333333333</v>
      </c>
      <c r="H15" s="259">
        <v>8087</v>
      </c>
      <c r="I15" s="260">
        <v>0</v>
      </c>
      <c r="J15" s="261">
        <f t="shared" ref="J15:J17" si="24">SUM(H15:I15)</f>
        <v>8087</v>
      </c>
      <c r="K15" s="281">
        <f t="shared" si="2"/>
        <v>0</v>
      </c>
      <c r="L15" s="300">
        <f t="shared" si="3"/>
        <v>16389.653333333332</v>
      </c>
      <c r="M15" s="300">
        <f t="shared" si="4"/>
        <v>15487.72</v>
      </c>
      <c r="N15" s="281">
        <f t="shared" si="5"/>
        <v>901.93333333333248</v>
      </c>
      <c r="O15" s="282">
        <f t="shared" si="6"/>
        <v>0.21360000000000001</v>
      </c>
      <c r="P15" s="281">
        <f t="shared" si="7"/>
        <v>192.65295999999984</v>
      </c>
      <c r="Q15" s="283">
        <f t="shared" si="8"/>
        <v>1640.18</v>
      </c>
      <c r="R15" s="281">
        <f t="shared" si="9"/>
        <v>1832.83296</v>
      </c>
      <c r="S15" s="281">
        <f t="shared" si="10"/>
        <v>0</v>
      </c>
      <c r="T15" s="281">
        <f t="shared" si="11"/>
        <v>904.36</v>
      </c>
      <c r="U15" s="261">
        <f t="shared" ref="U15:U17" si="25">-IF(T15&gt;0,0,0)</f>
        <v>0</v>
      </c>
      <c r="V15" s="261">
        <f t="shared" ref="V15:V17" si="26">IF(H15/15&lt;=SMG,0,IF(T15&lt;0,0,T15))</f>
        <v>904.36</v>
      </c>
      <c r="W15" s="261">
        <f>SUM(V15:V15)</f>
        <v>904.36</v>
      </c>
      <c r="X15" s="261">
        <f>J15+U15-W15</f>
        <v>7182.64</v>
      </c>
      <c r="Y15" s="357"/>
      <c r="Z15" s="318"/>
    </row>
    <row r="16" spans="1:27" s="264" customFormat="1" ht="172.5" customHeight="1" x14ac:dyDescent="0.2">
      <c r="A16" s="353"/>
      <c r="B16" s="267" t="s">
        <v>154</v>
      </c>
      <c r="C16" s="267" t="s">
        <v>107</v>
      </c>
      <c r="D16" s="334">
        <v>43831</v>
      </c>
      <c r="E16" s="256" t="s">
        <v>78</v>
      </c>
      <c r="F16" s="257">
        <v>15</v>
      </c>
      <c r="G16" s="257">
        <f t="shared" si="0"/>
        <v>539.13333333333333</v>
      </c>
      <c r="H16" s="259">
        <v>8087</v>
      </c>
      <c r="I16" s="260">
        <v>0</v>
      </c>
      <c r="J16" s="261">
        <f t="shared" si="24"/>
        <v>8087</v>
      </c>
      <c r="K16" s="281">
        <f t="shared" si="2"/>
        <v>0</v>
      </c>
      <c r="L16" s="300">
        <f t="shared" si="3"/>
        <v>16389.653333333332</v>
      </c>
      <c r="M16" s="300">
        <f t="shared" si="4"/>
        <v>15487.72</v>
      </c>
      <c r="N16" s="281">
        <f t="shared" si="5"/>
        <v>901.93333333333248</v>
      </c>
      <c r="O16" s="282">
        <f t="shared" si="6"/>
        <v>0.21360000000000001</v>
      </c>
      <c r="P16" s="281">
        <f t="shared" si="7"/>
        <v>192.65295999999984</v>
      </c>
      <c r="Q16" s="283">
        <f t="shared" si="8"/>
        <v>1640.18</v>
      </c>
      <c r="R16" s="281">
        <f t="shared" si="9"/>
        <v>1832.83296</v>
      </c>
      <c r="S16" s="281">
        <f t="shared" si="10"/>
        <v>0</v>
      </c>
      <c r="T16" s="281">
        <f t="shared" si="11"/>
        <v>904.36</v>
      </c>
      <c r="U16" s="261">
        <f t="shared" si="25"/>
        <v>0</v>
      </c>
      <c r="V16" s="261">
        <f t="shared" si="26"/>
        <v>904.36</v>
      </c>
      <c r="W16" s="261">
        <f>SUM(V16:V16)</f>
        <v>904.36</v>
      </c>
      <c r="X16" s="261">
        <f>J16+U16-W16</f>
        <v>7182.64</v>
      </c>
      <c r="Y16" s="357"/>
      <c r="Z16" s="318"/>
    </row>
    <row r="17" spans="1:26" s="264" customFormat="1" ht="172.5" customHeight="1" x14ac:dyDescent="0.2">
      <c r="A17" s="353"/>
      <c r="B17" s="267" t="s">
        <v>182</v>
      </c>
      <c r="C17" s="267" t="s">
        <v>107</v>
      </c>
      <c r="D17" s="334">
        <v>44608</v>
      </c>
      <c r="E17" s="256" t="s">
        <v>78</v>
      </c>
      <c r="F17" s="257">
        <v>15</v>
      </c>
      <c r="G17" s="257">
        <f t="shared" si="0"/>
        <v>539.13333333333333</v>
      </c>
      <c r="H17" s="259">
        <v>8087</v>
      </c>
      <c r="I17" s="260">
        <v>0</v>
      </c>
      <c r="J17" s="261">
        <f t="shared" si="24"/>
        <v>8087</v>
      </c>
      <c r="K17" s="281">
        <f t="shared" si="2"/>
        <v>0</v>
      </c>
      <c r="L17" s="300">
        <f t="shared" si="3"/>
        <v>16389.653333333332</v>
      </c>
      <c r="M17" s="300">
        <f t="shared" si="4"/>
        <v>15487.72</v>
      </c>
      <c r="N17" s="281">
        <f t="shared" si="5"/>
        <v>901.93333333333248</v>
      </c>
      <c r="O17" s="282">
        <f t="shared" si="6"/>
        <v>0.21360000000000001</v>
      </c>
      <c r="P17" s="281">
        <f t="shared" si="7"/>
        <v>192.65295999999984</v>
      </c>
      <c r="Q17" s="283">
        <f t="shared" si="8"/>
        <v>1640.18</v>
      </c>
      <c r="R17" s="281">
        <f t="shared" si="9"/>
        <v>1832.83296</v>
      </c>
      <c r="S17" s="281">
        <f t="shared" si="10"/>
        <v>0</v>
      </c>
      <c r="T17" s="281">
        <f t="shared" si="11"/>
        <v>904.36</v>
      </c>
      <c r="U17" s="261">
        <f t="shared" si="25"/>
        <v>0</v>
      </c>
      <c r="V17" s="261">
        <f t="shared" si="26"/>
        <v>904.36</v>
      </c>
      <c r="W17" s="261">
        <f>SUM(V17:V17)</f>
        <v>904.36</v>
      </c>
      <c r="X17" s="261">
        <f>J17+U17-W17</f>
        <v>7182.64</v>
      </c>
      <c r="Y17" s="317"/>
      <c r="Z17" s="318"/>
    </row>
    <row r="18" spans="1:26" ht="53.25" customHeight="1" x14ac:dyDescent="0.25">
      <c r="A18" s="139"/>
      <c r="B18" s="139"/>
      <c r="C18" s="139"/>
      <c r="D18" s="155"/>
      <c r="E18" s="143"/>
      <c r="F18" s="144"/>
      <c r="G18" s="144"/>
      <c r="H18" s="146"/>
      <c r="I18" s="147"/>
      <c r="J18" s="148"/>
      <c r="K18" s="190"/>
      <c r="L18" s="190"/>
      <c r="M18" s="190"/>
      <c r="N18" s="190"/>
      <c r="O18" s="191"/>
      <c r="P18" s="190"/>
      <c r="Q18" s="192"/>
      <c r="R18" s="190"/>
      <c r="S18" s="190"/>
      <c r="T18" s="190"/>
      <c r="U18" s="148"/>
      <c r="V18" s="148"/>
      <c r="W18" s="148"/>
      <c r="X18" s="148"/>
      <c r="Y18" s="4"/>
      <c r="Z18" s="4"/>
    </row>
    <row r="19" spans="1:26" ht="5.25" customHeight="1" x14ac:dyDescent="0.25">
      <c r="A19" s="139"/>
      <c r="B19" s="139"/>
      <c r="C19" s="139"/>
      <c r="D19" s="155"/>
      <c r="E19" s="143"/>
      <c r="F19" s="144"/>
      <c r="G19" s="144"/>
      <c r="H19" s="146"/>
      <c r="I19" s="147"/>
      <c r="J19" s="148"/>
      <c r="K19" s="190"/>
      <c r="L19" s="190"/>
      <c r="M19" s="190"/>
      <c r="N19" s="190"/>
      <c r="O19" s="191"/>
      <c r="P19" s="190"/>
      <c r="Q19" s="192"/>
      <c r="R19" s="190"/>
      <c r="S19" s="190"/>
      <c r="T19" s="190"/>
      <c r="U19" s="148"/>
      <c r="V19" s="148"/>
      <c r="W19" s="148"/>
      <c r="X19" s="148"/>
      <c r="Y19" s="4"/>
      <c r="Z19" s="4"/>
    </row>
    <row r="20" spans="1:26" ht="5.25" customHeight="1" x14ac:dyDescent="0.25">
      <c r="A20" s="139"/>
      <c r="B20" s="139"/>
      <c r="C20" s="139"/>
      <c r="D20" s="155"/>
      <c r="E20" s="143"/>
      <c r="F20" s="144"/>
      <c r="G20" s="144"/>
      <c r="H20" s="146"/>
      <c r="I20" s="147"/>
      <c r="J20" s="148"/>
      <c r="K20" s="190"/>
      <c r="L20" s="190"/>
      <c r="M20" s="190"/>
      <c r="N20" s="190"/>
      <c r="O20" s="191"/>
      <c r="P20" s="190"/>
      <c r="Q20" s="192"/>
      <c r="R20" s="190"/>
      <c r="S20" s="190"/>
      <c r="T20" s="190"/>
      <c r="U20" s="148"/>
      <c r="V20" s="148"/>
      <c r="W20" s="148"/>
      <c r="X20" s="148"/>
      <c r="Y20" s="4"/>
      <c r="Z20" s="4"/>
    </row>
    <row r="21" spans="1:26" ht="27.75" customHeight="1" x14ac:dyDescent="0.25">
      <c r="A21" s="139"/>
      <c r="B21" s="464" t="s">
        <v>246</v>
      </c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"/>
    </row>
    <row r="22" spans="1:26" ht="23.25" customHeight="1" x14ac:dyDescent="0.25">
      <c r="A22" s="139"/>
      <c r="B22" s="464" t="s">
        <v>247</v>
      </c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"/>
    </row>
    <row r="23" spans="1:26" ht="21" customHeight="1" x14ac:dyDescent="0.25">
      <c r="A23" s="139"/>
      <c r="B23" s="464" t="s">
        <v>390</v>
      </c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"/>
    </row>
    <row r="24" spans="1:26" ht="20.25" customHeight="1" x14ac:dyDescent="0.25">
      <c r="A24" s="139"/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467"/>
      <c r="S24" s="467"/>
      <c r="T24" s="467"/>
      <c r="U24" s="467"/>
      <c r="V24" s="467"/>
      <c r="W24" s="467"/>
      <c r="X24" s="467"/>
      <c r="Y24" s="467"/>
      <c r="Z24" s="4"/>
    </row>
    <row r="25" spans="1:26" s="358" customFormat="1" ht="178.5" customHeight="1" x14ac:dyDescent="0.2">
      <c r="A25" s="353"/>
      <c r="B25" s="267" t="s">
        <v>210</v>
      </c>
      <c r="C25" s="267" t="s">
        <v>107</v>
      </c>
      <c r="D25" s="310">
        <v>45092</v>
      </c>
      <c r="E25" s="256" t="s">
        <v>78</v>
      </c>
      <c r="F25" s="257">
        <v>15</v>
      </c>
      <c r="G25" s="257">
        <f t="shared" ref="G25:G33" si="27">H25/F25</f>
        <v>539.13333333333333</v>
      </c>
      <c r="H25" s="259">
        <v>8087</v>
      </c>
      <c r="I25" s="260">
        <v>0</v>
      </c>
      <c r="J25" s="261">
        <f t="shared" ref="J25" si="28">SUM(H25:I25)</f>
        <v>8087</v>
      </c>
      <c r="K25" s="281">
        <f t="shared" ref="K25:K33" si="29">IF(H25/15&lt;=SMG,0,I25/2)</f>
        <v>0</v>
      </c>
      <c r="L25" s="300">
        <f t="shared" ref="L25:L33" si="30">(H25+K25)/F25*30.4</f>
        <v>16389.653333333332</v>
      </c>
      <c r="M25" s="300">
        <f t="shared" ref="M25:M33" si="31">VLOOKUP(L25,Tarifa,1)</f>
        <v>15487.72</v>
      </c>
      <c r="N25" s="281">
        <f t="shared" ref="N25:N33" si="32">L25-M25</f>
        <v>901.93333333333248</v>
      </c>
      <c r="O25" s="282">
        <f t="shared" ref="O25:O33" si="33">VLOOKUP(L25,Tarifa,3)</f>
        <v>0.21360000000000001</v>
      </c>
      <c r="P25" s="281">
        <f t="shared" ref="P25:P33" si="34">N25*O25</f>
        <v>192.65295999999984</v>
      </c>
      <c r="Q25" s="283">
        <f t="shared" ref="Q25:Q33" si="35">VLOOKUP(L25,Tarifa,2)</f>
        <v>1640.18</v>
      </c>
      <c r="R25" s="281">
        <f t="shared" ref="R25:R33" si="36">P25+Q25</f>
        <v>1832.83296</v>
      </c>
      <c r="S25" s="281">
        <f t="shared" ref="S25:S33" si="37">VLOOKUP(L25,Credito,2)</f>
        <v>0</v>
      </c>
      <c r="T25" s="281">
        <f t="shared" ref="T25:T33" si="38">ROUND((R25-S25)/30.4*F25,2)</f>
        <v>904.36</v>
      </c>
      <c r="U25" s="261">
        <f t="shared" ref="U25" si="39">-IF(T25&gt;0,0,0)</f>
        <v>0</v>
      </c>
      <c r="V25" s="261">
        <f t="shared" ref="V25" si="40">IF(H25/15&lt;=SMG,0,IF(T25&lt;0,0,T25))</f>
        <v>904.36</v>
      </c>
      <c r="W25" s="261">
        <f>SUM(V25:V25)</f>
        <v>904.36</v>
      </c>
      <c r="X25" s="261">
        <f>J25+U25-W25</f>
        <v>7182.64</v>
      </c>
      <c r="Y25" s="317"/>
      <c r="Z25" s="318"/>
    </row>
    <row r="26" spans="1:26" s="358" customFormat="1" ht="178.5" customHeight="1" x14ac:dyDescent="0.2">
      <c r="A26" s="353"/>
      <c r="B26" s="267" t="s">
        <v>240</v>
      </c>
      <c r="C26" s="267" t="s">
        <v>107</v>
      </c>
      <c r="D26" s="310">
        <v>45367</v>
      </c>
      <c r="E26" s="256" t="s">
        <v>78</v>
      </c>
      <c r="F26" s="257">
        <v>15</v>
      </c>
      <c r="G26" s="257">
        <f t="shared" si="27"/>
        <v>539.13333333333333</v>
      </c>
      <c r="H26" s="259">
        <v>8087</v>
      </c>
      <c r="I26" s="260">
        <v>0</v>
      </c>
      <c r="J26" s="261">
        <f t="shared" ref="J26" si="41">SUM(H26:I26)</f>
        <v>8087</v>
      </c>
      <c r="K26" s="281">
        <f t="shared" si="29"/>
        <v>0</v>
      </c>
      <c r="L26" s="300">
        <f t="shared" si="30"/>
        <v>16389.653333333332</v>
      </c>
      <c r="M26" s="300">
        <f t="shared" si="31"/>
        <v>15487.72</v>
      </c>
      <c r="N26" s="281">
        <f t="shared" si="32"/>
        <v>901.93333333333248</v>
      </c>
      <c r="O26" s="282">
        <f t="shared" si="33"/>
        <v>0.21360000000000001</v>
      </c>
      <c r="P26" s="281">
        <f t="shared" si="34"/>
        <v>192.65295999999984</v>
      </c>
      <c r="Q26" s="283">
        <f t="shared" si="35"/>
        <v>1640.18</v>
      </c>
      <c r="R26" s="281">
        <f t="shared" si="36"/>
        <v>1832.83296</v>
      </c>
      <c r="S26" s="281">
        <f t="shared" si="37"/>
        <v>0</v>
      </c>
      <c r="T26" s="281">
        <f t="shared" si="38"/>
        <v>904.36</v>
      </c>
      <c r="U26" s="261">
        <f t="shared" ref="U26" si="42">-IF(T26&gt;0,0,0)</f>
        <v>0</v>
      </c>
      <c r="V26" s="261">
        <f t="shared" ref="V26" si="43">IF(H26/15&lt;=SMG,0,IF(T26&lt;0,0,T26))</f>
        <v>904.36</v>
      </c>
      <c r="W26" s="261">
        <f>SUM(V26:V26)</f>
        <v>904.36</v>
      </c>
      <c r="X26" s="261">
        <f>J26+U26-W26</f>
        <v>7182.64</v>
      </c>
      <c r="Y26" s="317"/>
      <c r="Z26" s="318"/>
    </row>
    <row r="27" spans="1:26" s="358" customFormat="1" ht="178.5" customHeight="1" x14ac:dyDescent="0.2">
      <c r="A27" s="353"/>
      <c r="B27" s="267" t="s">
        <v>227</v>
      </c>
      <c r="C27" s="267" t="s">
        <v>107</v>
      </c>
      <c r="D27" s="310">
        <v>45200</v>
      </c>
      <c r="E27" s="256" t="s">
        <v>78</v>
      </c>
      <c r="F27" s="257">
        <v>15</v>
      </c>
      <c r="G27" s="257">
        <f t="shared" si="27"/>
        <v>539.13333333333333</v>
      </c>
      <c r="H27" s="259">
        <v>8087</v>
      </c>
      <c r="I27" s="260">
        <v>0</v>
      </c>
      <c r="J27" s="261">
        <f t="shared" ref="J27:J49" si="44">SUM(H27:I27)</f>
        <v>8087</v>
      </c>
      <c r="K27" s="281">
        <f t="shared" si="29"/>
        <v>0</v>
      </c>
      <c r="L27" s="300">
        <f t="shared" si="30"/>
        <v>16389.653333333332</v>
      </c>
      <c r="M27" s="300">
        <f t="shared" si="31"/>
        <v>15487.72</v>
      </c>
      <c r="N27" s="281">
        <f t="shared" si="32"/>
        <v>901.93333333333248</v>
      </c>
      <c r="O27" s="282">
        <f t="shared" si="33"/>
        <v>0.21360000000000001</v>
      </c>
      <c r="P27" s="281">
        <f t="shared" si="34"/>
        <v>192.65295999999984</v>
      </c>
      <c r="Q27" s="283">
        <f t="shared" si="35"/>
        <v>1640.18</v>
      </c>
      <c r="R27" s="281">
        <f t="shared" si="36"/>
        <v>1832.83296</v>
      </c>
      <c r="S27" s="281">
        <f t="shared" si="37"/>
        <v>0</v>
      </c>
      <c r="T27" s="281">
        <f t="shared" si="38"/>
        <v>904.36</v>
      </c>
      <c r="U27" s="261">
        <f t="shared" ref="U27:U49" si="45">-IF(T27&gt;0,0,0)</f>
        <v>0</v>
      </c>
      <c r="V27" s="261">
        <f t="shared" ref="V27:V49" si="46">IF(H27/15&lt;=SMG,0,IF(T27&lt;0,0,T27))</f>
        <v>904.36</v>
      </c>
      <c r="W27" s="261">
        <f>SUM(V27:V27)</f>
        <v>904.36</v>
      </c>
      <c r="X27" s="261">
        <f>J27+U27-W27</f>
        <v>7182.64</v>
      </c>
      <c r="Y27" s="317"/>
      <c r="Z27" s="318"/>
    </row>
    <row r="28" spans="1:26" s="358" customFormat="1" ht="178.5" customHeight="1" x14ac:dyDescent="0.2">
      <c r="A28" s="353"/>
      <c r="B28" s="267" t="s">
        <v>234</v>
      </c>
      <c r="C28" s="267" t="s">
        <v>107</v>
      </c>
      <c r="D28" s="310">
        <v>45292</v>
      </c>
      <c r="E28" s="256" t="s">
        <v>78</v>
      </c>
      <c r="F28" s="257">
        <v>15</v>
      </c>
      <c r="G28" s="257">
        <f t="shared" si="27"/>
        <v>539.13333333333333</v>
      </c>
      <c r="H28" s="259">
        <v>8087</v>
      </c>
      <c r="I28" s="260">
        <v>0</v>
      </c>
      <c r="J28" s="261">
        <f t="shared" si="44"/>
        <v>8087</v>
      </c>
      <c r="K28" s="281">
        <f t="shared" si="29"/>
        <v>0</v>
      </c>
      <c r="L28" s="300">
        <f t="shared" si="30"/>
        <v>16389.653333333332</v>
      </c>
      <c r="M28" s="300">
        <f t="shared" si="31"/>
        <v>15487.72</v>
      </c>
      <c r="N28" s="281">
        <f t="shared" si="32"/>
        <v>901.93333333333248</v>
      </c>
      <c r="O28" s="282">
        <f t="shared" si="33"/>
        <v>0.21360000000000001</v>
      </c>
      <c r="P28" s="281">
        <f t="shared" si="34"/>
        <v>192.65295999999984</v>
      </c>
      <c r="Q28" s="283">
        <f t="shared" si="35"/>
        <v>1640.18</v>
      </c>
      <c r="R28" s="281">
        <f t="shared" si="36"/>
        <v>1832.83296</v>
      </c>
      <c r="S28" s="281">
        <f t="shared" si="37"/>
        <v>0</v>
      </c>
      <c r="T28" s="281">
        <f t="shared" si="38"/>
        <v>904.36</v>
      </c>
      <c r="U28" s="261">
        <f t="shared" si="45"/>
        <v>0</v>
      </c>
      <c r="V28" s="261">
        <f t="shared" si="46"/>
        <v>904.36</v>
      </c>
      <c r="W28" s="261">
        <f>SUM(V28:V28)</f>
        <v>904.36</v>
      </c>
      <c r="X28" s="261">
        <f>J28+U28-W28</f>
        <v>7182.64</v>
      </c>
      <c r="Y28" s="317"/>
      <c r="Z28" s="318"/>
    </row>
    <row r="29" spans="1:26" s="358" customFormat="1" ht="178.5" customHeight="1" x14ac:dyDescent="0.2">
      <c r="A29" s="353"/>
      <c r="B29" s="267" t="s">
        <v>243</v>
      </c>
      <c r="C29" s="267" t="s">
        <v>107</v>
      </c>
      <c r="D29" s="310">
        <v>45398</v>
      </c>
      <c r="E29" s="256" t="s">
        <v>78</v>
      </c>
      <c r="F29" s="257">
        <v>15</v>
      </c>
      <c r="G29" s="257">
        <f t="shared" si="27"/>
        <v>539.13333333333333</v>
      </c>
      <c r="H29" s="259">
        <v>8087</v>
      </c>
      <c r="I29" s="260">
        <v>0</v>
      </c>
      <c r="J29" s="261">
        <f t="shared" si="44"/>
        <v>8087</v>
      </c>
      <c r="K29" s="281">
        <f t="shared" si="29"/>
        <v>0</v>
      </c>
      <c r="L29" s="300">
        <f t="shared" si="30"/>
        <v>16389.653333333332</v>
      </c>
      <c r="M29" s="300">
        <f t="shared" si="31"/>
        <v>15487.72</v>
      </c>
      <c r="N29" s="281">
        <f t="shared" si="32"/>
        <v>901.93333333333248</v>
      </c>
      <c r="O29" s="282">
        <f t="shared" si="33"/>
        <v>0.21360000000000001</v>
      </c>
      <c r="P29" s="281">
        <f t="shared" si="34"/>
        <v>192.65295999999984</v>
      </c>
      <c r="Q29" s="283">
        <f t="shared" si="35"/>
        <v>1640.18</v>
      </c>
      <c r="R29" s="281">
        <f t="shared" si="36"/>
        <v>1832.83296</v>
      </c>
      <c r="S29" s="281">
        <f t="shared" si="37"/>
        <v>0</v>
      </c>
      <c r="T29" s="281">
        <f t="shared" si="38"/>
        <v>904.36</v>
      </c>
      <c r="U29" s="261">
        <f t="shared" si="45"/>
        <v>0</v>
      </c>
      <c r="V29" s="261">
        <f t="shared" si="46"/>
        <v>904.36</v>
      </c>
      <c r="W29" s="261">
        <f>SUM(V29:V29)</f>
        <v>904.36</v>
      </c>
      <c r="X29" s="261">
        <f>J29+U29-W29</f>
        <v>7182.64</v>
      </c>
      <c r="Y29" s="317"/>
      <c r="Z29" s="318"/>
    </row>
    <row r="30" spans="1:26" s="358" customFormat="1" ht="178.5" customHeight="1" x14ac:dyDescent="0.2">
      <c r="A30" s="353"/>
      <c r="B30" s="267" t="s">
        <v>245</v>
      </c>
      <c r="C30" s="267" t="s">
        <v>107</v>
      </c>
      <c r="D30" s="310">
        <v>45413</v>
      </c>
      <c r="E30" s="256" t="s">
        <v>78</v>
      </c>
      <c r="F30" s="257">
        <v>15</v>
      </c>
      <c r="G30" s="257">
        <f t="shared" si="27"/>
        <v>539.13333333333333</v>
      </c>
      <c r="H30" s="259">
        <v>8087</v>
      </c>
      <c r="I30" s="260">
        <v>0</v>
      </c>
      <c r="J30" s="261">
        <f t="shared" si="44"/>
        <v>8087</v>
      </c>
      <c r="K30" s="281">
        <f t="shared" si="29"/>
        <v>0</v>
      </c>
      <c r="L30" s="300">
        <f t="shared" si="30"/>
        <v>16389.653333333332</v>
      </c>
      <c r="M30" s="300">
        <f t="shared" si="31"/>
        <v>15487.72</v>
      </c>
      <c r="N30" s="281">
        <f t="shared" si="32"/>
        <v>901.93333333333248</v>
      </c>
      <c r="O30" s="282">
        <f t="shared" si="33"/>
        <v>0.21360000000000001</v>
      </c>
      <c r="P30" s="281">
        <f t="shared" si="34"/>
        <v>192.65295999999984</v>
      </c>
      <c r="Q30" s="283">
        <f t="shared" si="35"/>
        <v>1640.18</v>
      </c>
      <c r="R30" s="281">
        <f t="shared" si="36"/>
        <v>1832.83296</v>
      </c>
      <c r="S30" s="281">
        <f t="shared" si="37"/>
        <v>0</v>
      </c>
      <c r="T30" s="281">
        <f t="shared" si="38"/>
        <v>904.36</v>
      </c>
      <c r="U30" s="261">
        <f t="shared" si="45"/>
        <v>0</v>
      </c>
      <c r="V30" s="261">
        <f t="shared" si="46"/>
        <v>904.36</v>
      </c>
      <c r="W30" s="261">
        <f>SUM(V30:V30)</f>
        <v>904.36</v>
      </c>
      <c r="X30" s="261">
        <f>J30+U30-W30</f>
        <v>7182.64</v>
      </c>
      <c r="Y30" s="317"/>
      <c r="Z30" s="318"/>
    </row>
    <row r="31" spans="1:26" s="358" customFormat="1" ht="178.5" customHeight="1" x14ac:dyDescent="0.2">
      <c r="A31" s="353"/>
      <c r="B31" s="267" t="s">
        <v>248</v>
      </c>
      <c r="C31" s="267" t="s">
        <v>107</v>
      </c>
      <c r="D31" s="310">
        <v>45428</v>
      </c>
      <c r="E31" s="256" t="s">
        <v>78</v>
      </c>
      <c r="F31" s="257">
        <v>15</v>
      </c>
      <c r="G31" s="257">
        <f t="shared" si="27"/>
        <v>539.13333333333333</v>
      </c>
      <c r="H31" s="259">
        <v>8087</v>
      </c>
      <c r="I31" s="260">
        <v>0</v>
      </c>
      <c r="J31" s="261">
        <f t="shared" si="44"/>
        <v>8087</v>
      </c>
      <c r="K31" s="281">
        <f t="shared" si="29"/>
        <v>0</v>
      </c>
      <c r="L31" s="300">
        <f t="shared" si="30"/>
        <v>16389.653333333332</v>
      </c>
      <c r="M31" s="300">
        <f t="shared" si="31"/>
        <v>15487.72</v>
      </c>
      <c r="N31" s="281">
        <f t="shared" si="32"/>
        <v>901.93333333333248</v>
      </c>
      <c r="O31" s="282">
        <f t="shared" si="33"/>
        <v>0.21360000000000001</v>
      </c>
      <c r="P31" s="281">
        <f t="shared" si="34"/>
        <v>192.65295999999984</v>
      </c>
      <c r="Q31" s="283">
        <f t="shared" si="35"/>
        <v>1640.18</v>
      </c>
      <c r="R31" s="281">
        <f t="shared" si="36"/>
        <v>1832.83296</v>
      </c>
      <c r="S31" s="281">
        <f t="shared" si="37"/>
        <v>0</v>
      </c>
      <c r="T31" s="281">
        <f t="shared" si="38"/>
        <v>904.36</v>
      </c>
      <c r="U31" s="261">
        <f t="shared" si="45"/>
        <v>0</v>
      </c>
      <c r="V31" s="261">
        <f t="shared" si="46"/>
        <v>904.36</v>
      </c>
      <c r="W31" s="261">
        <f>SUM(V31:V31)</f>
        <v>904.36</v>
      </c>
      <c r="X31" s="261">
        <f>J31+U31-W31</f>
        <v>7182.64</v>
      </c>
      <c r="Y31" s="317"/>
      <c r="Z31" s="318"/>
    </row>
    <row r="32" spans="1:26" s="358" customFormat="1" ht="178.5" customHeight="1" x14ac:dyDescent="0.2">
      <c r="A32" s="353"/>
      <c r="B32" s="267" t="s">
        <v>249</v>
      </c>
      <c r="C32" s="267" t="s">
        <v>107</v>
      </c>
      <c r="D32" s="310">
        <v>45444</v>
      </c>
      <c r="E32" s="256" t="s">
        <v>78</v>
      </c>
      <c r="F32" s="257">
        <v>15</v>
      </c>
      <c r="G32" s="257">
        <f t="shared" si="27"/>
        <v>539.13333333333333</v>
      </c>
      <c r="H32" s="259">
        <v>8087</v>
      </c>
      <c r="I32" s="260">
        <v>0</v>
      </c>
      <c r="J32" s="261">
        <f t="shared" si="44"/>
        <v>8087</v>
      </c>
      <c r="K32" s="281">
        <f t="shared" si="29"/>
        <v>0</v>
      </c>
      <c r="L32" s="300">
        <f t="shared" si="30"/>
        <v>16389.653333333332</v>
      </c>
      <c r="M32" s="300">
        <f t="shared" si="31"/>
        <v>15487.72</v>
      </c>
      <c r="N32" s="281">
        <f t="shared" si="32"/>
        <v>901.93333333333248</v>
      </c>
      <c r="O32" s="282">
        <f t="shared" si="33"/>
        <v>0.21360000000000001</v>
      </c>
      <c r="P32" s="281">
        <f t="shared" si="34"/>
        <v>192.65295999999984</v>
      </c>
      <c r="Q32" s="283">
        <f t="shared" si="35"/>
        <v>1640.18</v>
      </c>
      <c r="R32" s="281">
        <f t="shared" si="36"/>
        <v>1832.83296</v>
      </c>
      <c r="S32" s="281">
        <f t="shared" si="37"/>
        <v>0</v>
      </c>
      <c r="T32" s="281">
        <f t="shared" si="38"/>
        <v>904.36</v>
      </c>
      <c r="U32" s="261">
        <f t="shared" si="45"/>
        <v>0</v>
      </c>
      <c r="V32" s="261">
        <f t="shared" si="46"/>
        <v>904.36</v>
      </c>
      <c r="W32" s="261">
        <f>SUM(V32:V32)</f>
        <v>904.36</v>
      </c>
      <c r="X32" s="261">
        <f>J32+U32-W32</f>
        <v>7182.64</v>
      </c>
      <c r="Y32" s="317"/>
      <c r="Z32" s="318"/>
    </row>
    <row r="33" spans="1:26" s="358" customFormat="1" ht="178.5" customHeight="1" x14ac:dyDescent="0.2">
      <c r="A33" s="353"/>
      <c r="B33" s="267" t="s">
        <v>257</v>
      </c>
      <c r="C33" s="267" t="s">
        <v>107</v>
      </c>
      <c r="D33" s="310">
        <v>45459</v>
      </c>
      <c r="E33" s="256" t="s">
        <v>78</v>
      </c>
      <c r="F33" s="257">
        <v>15</v>
      </c>
      <c r="G33" s="257">
        <f t="shared" si="27"/>
        <v>539.13333333333333</v>
      </c>
      <c r="H33" s="259">
        <v>8087</v>
      </c>
      <c r="I33" s="260">
        <v>0</v>
      </c>
      <c r="J33" s="261">
        <f t="shared" si="44"/>
        <v>8087</v>
      </c>
      <c r="K33" s="281">
        <f t="shared" si="29"/>
        <v>0</v>
      </c>
      <c r="L33" s="300">
        <f t="shared" si="30"/>
        <v>16389.653333333332</v>
      </c>
      <c r="M33" s="300">
        <f t="shared" si="31"/>
        <v>15487.72</v>
      </c>
      <c r="N33" s="281">
        <f t="shared" si="32"/>
        <v>901.93333333333248</v>
      </c>
      <c r="O33" s="282">
        <f t="shared" si="33"/>
        <v>0.21360000000000001</v>
      </c>
      <c r="P33" s="281">
        <f t="shared" si="34"/>
        <v>192.65295999999984</v>
      </c>
      <c r="Q33" s="283">
        <f t="shared" si="35"/>
        <v>1640.18</v>
      </c>
      <c r="R33" s="281">
        <f t="shared" si="36"/>
        <v>1832.83296</v>
      </c>
      <c r="S33" s="281">
        <f t="shared" si="37"/>
        <v>0</v>
      </c>
      <c r="T33" s="281">
        <f t="shared" si="38"/>
        <v>904.36</v>
      </c>
      <c r="U33" s="261">
        <f t="shared" si="45"/>
        <v>0</v>
      </c>
      <c r="V33" s="261">
        <f t="shared" si="46"/>
        <v>904.36</v>
      </c>
      <c r="W33" s="261">
        <f>SUM(V33:V33)</f>
        <v>904.36</v>
      </c>
      <c r="X33" s="261">
        <f>J33+U33-W33</f>
        <v>7182.64</v>
      </c>
      <c r="Y33" s="317"/>
      <c r="Z33" s="318"/>
    </row>
    <row r="34" spans="1:26" ht="15.75" customHeight="1" x14ac:dyDescent="0.3">
      <c r="A34" s="139"/>
      <c r="B34" s="203"/>
      <c r="C34" s="203"/>
      <c r="D34" s="200"/>
      <c r="E34" s="196"/>
      <c r="F34" s="207"/>
      <c r="G34" s="207"/>
      <c r="H34" s="209"/>
      <c r="I34" s="210"/>
      <c r="J34" s="211"/>
      <c r="K34" s="212"/>
      <c r="L34" s="212"/>
      <c r="M34" s="212"/>
      <c r="N34" s="212"/>
      <c r="O34" s="213"/>
      <c r="P34" s="212"/>
      <c r="Q34" s="214"/>
      <c r="R34" s="212"/>
      <c r="S34" s="212"/>
      <c r="T34" s="212"/>
      <c r="U34" s="211"/>
      <c r="V34" s="211"/>
      <c r="W34" s="211"/>
      <c r="X34" s="211"/>
      <c r="Y34" s="4"/>
      <c r="Z34" s="4"/>
    </row>
    <row r="35" spans="1:26" ht="15.75" customHeight="1" x14ac:dyDescent="0.3">
      <c r="A35" s="139"/>
      <c r="B35" s="203"/>
      <c r="C35" s="203"/>
      <c r="D35" s="200"/>
      <c r="E35" s="196"/>
      <c r="F35" s="207"/>
      <c r="G35" s="207"/>
      <c r="H35" s="209"/>
      <c r="I35" s="210"/>
      <c r="J35" s="211"/>
      <c r="K35" s="212"/>
      <c r="L35" s="212"/>
      <c r="M35" s="212"/>
      <c r="N35" s="212"/>
      <c r="O35" s="213"/>
      <c r="P35" s="212"/>
      <c r="Q35" s="214"/>
      <c r="R35" s="212"/>
      <c r="S35" s="212"/>
      <c r="T35" s="212"/>
      <c r="U35" s="211"/>
      <c r="V35" s="211"/>
      <c r="W35" s="211"/>
      <c r="X35" s="211"/>
      <c r="Y35" s="4"/>
      <c r="Z35" s="4"/>
    </row>
    <row r="36" spans="1:26" ht="15.75" customHeight="1" x14ac:dyDescent="0.3">
      <c r="A36" s="139"/>
      <c r="B36" s="203"/>
      <c r="C36" s="203"/>
      <c r="D36" s="200"/>
      <c r="E36" s="196"/>
      <c r="F36" s="207"/>
      <c r="G36" s="207"/>
      <c r="H36" s="209"/>
      <c r="I36" s="210"/>
      <c r="J36" s="211"/>
      <c r="K36" s="212"/>
      <c r="L36" s="212"/>
      <c r="M36" s="212"/>
      <c r="N36" s="212"/>
      <c r="O36" s="213"/>
      <c r="P36" s="212"/>
      <c r="Q36" s="214"/>
      <c r="R36" s="212"/>
      <c r="S36" s="212"/>
      <c r="T36" s="212"/>
      <c r="U36" s="211"/>
      <c r="V36" s="211"/>
      <c r="W36" s="211"/>
      <c r="X36" s="211"/>
      <c r="Y36" s="4"/>
      <c r="Z36" s="4"/>
    </row>
    <row r="37" spans="1:26" ht="15.75" customHeight="1" x14ac:dyDescent="0.3">
      <c r="A37" s="139"/>
      <c r="B37" s="203"/>
      <c r="C37" s="203"/>
      <c r="D37" s="200"/>
      <c r="E37" s="196"/>
      <c r="F37" s="207"/>
      <c r="G37" s="207"/>
      <c r="H37" s="209"/>
      <c r="I37" s="210"/>
      <c r="J37" s="211"/>
      <c r="K37" s="212"/>
      <c r="L37" s="212"/>
      <c r="M37" s="212"/>
      <c r="N37" s="212"/>
      <c r="O37" s="213"/>
      <c r="P37" s="212"/>
      <c r="Q37" s="214"/>
      <c r="R37" s="212"/>
      <c r="S37" s="212"/>
      <c r="T37" s="212"/>
      <c r="U37" s="211"/>
      <c r="V37" s="211"/>
      <c r="W37" s="211"/>
      <c r="X37" s="211"/>
      <c r="Y37" s="4"/>
      <c r="Z37" s="4"/>
    </row>
    <row r="38" spans="1:26" ht="32.25" customHeight="1" x14ac:dyDescent="0.25">
      <c r="A38" s="139"/>
      <c r="B38" s="464" t="s">
        <v>246</v>
      </c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"/>
    </row>
    <row r="39" spans="1:26" ht="18.75" customHeight="1" x14ac:dyDescent="0.25">
      <c r="A39" s="139"/>
      <c r="B39" s="464" t="s">
        <v>247</v>
      </c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"/>
    </row>
    <row r="40" spans="1:26" ht="32.25" customHeight="1" x14ac:dyDescent="0.3">
      <c r="A40" s="139"/>
      <c r="B40" s="450" t="str">
        <f>PRESIDENCIA!A3</f>
        <v>SUELDO  DEL 01 AL 15 DE MAYO DE 2025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0"/>
      <c r="W40" s="450"/>
      <c r="X40" s="450"/>
      <c r="Y40" s="450"/>
      <c r="Z40" s="4"/>
    </row>
    <row r="41" spans="1:26" ht="22.5" customHeight="1" x14ac:dyDescent="0.3">
      <c r="A41" s="139"/>
      <c r="B41" s="203"/>
      <c r="C41" s="203"/>
      <c r="D41" s="200"/>
      <c r="E41" s="196"/>
      <c r="F41" s="207"/>
      <c r="G41" s="207"/>
      <c r="H41" s="209"/>
      <c r="I41" s="210"/>
      <c r="J41" s="211"/>
      <c r="K41" s="212"/>
      <c r="L41" s="212"/>
      <c r="M41" s="212"/>
      <c r="N41" s="212"/>
      <c r="O41" s="213"/>
      <c r="P41" s="212"/>
      <c r="Q41" s="214"/>
      <c r="R41" s="212"/>
      <c r="S41" s="212"/>
      <c r="T41" s="212"/>
      <c r="U41" s="211"/>
      <c r="V41" s="211"/>
      <c r="W41" s="211"/>
      <c r="X41" s="211"/>
      <c r="Y41" s="4"/>
      <c r="Z41" s="4"/>
    </row>
    <row r="42" spans="1:26" s="358" customFormat="1" ht="171" customHeight="1" x14ac:dyDescent="0.2">
      <c r="A42" s="353"/>
      <c r="B42" s="320" t="s">
        <v>258</v>
      </c>
      <c r="C42" s="320" t="s">
        <v>107</v>
      </c>
      <c r="D42" s="359">
        <v>45459</v>
      </c>
      <c r="E42" s="323" t="s">
        <v>78</v>
      </c>
      <c r="F42" s="257">
        <v>15</v>
      </c>
      <c r="G42" s="257">
        <f t="shared" ref="G42:G49" si="47">H42/F42</f>
        <v>539.13333333333333</v>
      </c>
      <c r="H42" s="259">
        <v>8087</v>
      </c>
      <c r="I42" s="325">
        <v>0</v>
      </c>
      <c r="J42" s="326">
        <f t="shared" ref="J42" si="48">SUM(H42:I42)</f>
        <v>8087</v>
      </c>
      <c r="K42" s="281">
        <f t="shared" ref="K42:K49" si="49">IF(H42/15&lt;=SMG,0,I42/2)</f>
        <v>0</v>
      </c>
      <c r="L42" s="300">
        <f t="shared" ref="L42:L49" si="50">(H42+K42)/F42*30.4</f>
        <v>16389.653333333332</v>
      </c>
      <c r="M42" s="300">
        <f t="shared" ref="M42:M49" si="51">VLOOKUP(L42,Tarifa,1)</f>
        <v>15487.72</v>
      </c>
      <c r="N42" s="281">
        <f t="shared" ref="N42:N49" si="52">L42-M42</f>
        <v>901.93333333333248</v>
      </c>
      <c r="O42" s="282">
        <f t="shared" ref="O42:O49" si="53">VLOOKUP(L42,Tarifa,3)</f>
        <v>0.21360000000000001</v>
      </c>
      <c r="P42" s="281">
        <f t="shared" ref="P42:P49" si="54">N42*O42</f>
        <v>192.65295999999984</v>
      </c>
      <c r="Q42" s="283">
        <f t="shared" ref="Q42:Q49" si="55">VLOOKUP(L42,Tarifa,2)</f>
        <v>1640.18</v>
      </c>
      <c r="R42" s="281">
        <f t="shared" ref="R42:R49" si="56">P42+Q42</f>
        <v>1832.83296</v>
      </c>
      <c r="S42" s="281">
        <f t="shared" ref="S42:S49" si="57">VLOOKUP(L42,Credito,2)</f>
        <v>0</v>
      </c>
      <c r="T42" s="281">
        <f t="shared" ref="T42:T49" si="58">ROUND((R42-S42)/30.4*F42,2)</f>
        <v>904.36</v>
      </c>
      <c r="U42" s="326">
        <f t="shared" ref="U42" si="59">-IF(T42&gt;0,0,0)</f>
        <v>0</v>
      </c>
      <c r="V42" s="326">
        <f t="shared" ref="V42" si="60">IF(H42/15&lt;=SMG,0,IF(T42&lt;0,0,T42))</f>
        <v>904.36</v>
      </c>
      <c r="W42" s="326">
        <f>SUM(V42:V42)</f>
        <v>904.36</v>
      </c>
      <c r="X42" s="326">
        <f>J42+U42-W42</f>
        <v>7182.64</v>
      </c>
      <c r="Y42" s="327"/>
      <c r="Z42" s="318"/>
    </row>
    <row r="43" spans="1:26" s="358" customFormat="1" ht="171" customHeight="1" x14ac:dyDescent="0.2">
      <c r="A43" s="353"/>
      <c r="B43" s="267" t="s">
        <v>263</v>
      </c>
      <c r="C43" s="267" t="s">
        <v>107</v>
      </c>
      <c r="D43" s="310">
        <v>45520</v>
      </c>
      <c r="E43" s="256" t="s">
        <v>78</v>
      </c>
      <c r="F43" s="257">
        <v>15</v>
      </c>
      <c r="G43" s="257">
        <f t="shared" si="47"/>
        <v>539.13333333333333</v>
      </c>
      <c r="H43" s="259">
        <v>8087</v>
      </c>
      <c r="I43" s="260">
        <v>0</v>
      </c>
      <c r="J43" s="261">
        <f t="shared" ref="J43" si="61">SUM(H43:I43)</f>
        <v>8087</v>
      </c>
      <c r="K43" s="281">
        <f t="shared" si="49"/>
        <v>0</v>
      </c>
      <c r="L43" s="300">
        <f t="shared" si="50"/>
        <v>16389.653333333332</v>
      </c>
      <c r="M43" s="300">
        <f t="shared" si="51"/>
        <v>15487.72</v>
      </c>
      <c r="N43" s="281">
        <f t="shared" si="52"/>
        <v>901.93333333333248</v>
      </c>
      <c r="O43" s="282">
        <f t="shared" si="53"/>
        <v>0.21360000000000001</v>
      </c>
      <c r="P43" s="281">
        <f t="shared" si="54"/>
        <v>192.65295999999984</v>
      </c>
      <c r="Q43" s="283">
        <f t="shared" si="55"/>
        <v>1640.18</v>
      </c>
      <c r="R43" s="281">
        <f t="shared" si="56"/>
        <v>1832.83296</v>
      </c>
      <c r="S43" s="281">
        <f t="shared" si="57"/>
        <v>0</v>
      </c>
      <c r="T43" s="281">
        <f t="shared" si="58"/>
        <v>904.36</v>
      </c>
      <c r="U43" s="261">
        <f t="shared" ref="U43" si="62">-IF(T43&gt;0,0,0)</f>
        <v>0</v>
      </c>
      <c r="V43" s="261">
        <f t="shared" ref="V43" si="63">IF(H43/15&lt;=SMG,0,IF(T43&lt;0,0,T43))</f>
        <v>904.36</v>
      </c>
      <c r="W43" s="261">
        <f>SUM(V43:V43)</f>
        <v>904.36</v>
      </c>
      <c r="X43" s="261">
        <f>J43+U43-W43</f>
        <v>7182.64</v>
      </c>
      <c r="Y43" s="317"/>
      <c r="Z43" s="318"/>
    </row>
    <row r="44" spans="1:26" s="358" customFormat="1" ht="171" customHeight="1" x14ac:dyDescent="0.2">
      <c r="A44" s="353"/>
      <c r="B44" s="267" t="s">
        <v>326</v>
      </c>
      <c r="C44" s="267" t="s">
        <v>107</v>
      </c>
      <c r="D44" s="310">
        <v>45597</v>
      </c>
      <c r="E44" s="256" t="s">
        <v>78</v>
      </c>
      <c r="F44" s="257">
        <v>15</v>
      </c>
      <c r="G44" s="257">
        <f t="shared" si="47"/>
        <v>539.13333333333333</v>
      </c>
      <c r="H44" s="259">
        <v>8087</v>
      </c>
      <c r="I44" s="260">
        <v>0</v>
      </c>
      <c r="J44" s="261">
        <f t="shared" ref="J44:J45" si="64">SUM(H44:I44)</f>
        <v>8087</v>
      </c>
      <c r="K44" s="281">
        <f t="shared" si="49"/>
        <v>0</v>
      </c>
      <c r="L44" s="300">
        <f t="shared" si="50"/>
        <v>16389.653333333332</v>
      </c>
      <c r="M44" s="300">
        <f t="shared" si="51"/>
        <v>15487.72</v>
      </c>
      <c r="N44" s="281">
        <f t="shared" si="52"/>
        <v>901.93333333333248</v>
      </c>
      <c r="O44" s="282">
        <f t="shared" si="53"/>
        <v>0.21360000000000001</v>
      </c>
      <c r="P44" s="281">
        <f t="shared" si="54"/>
        <v>192.65295999999984</v>
      </c>
      <c r="Q44" s="283">
        <f t="shared" si="55"/>
        <v>1640.18</v>
      </c>
      <c r="R44" s="281">
        <f t="shared" si="56"/>
        <v>1832.83296</v>
      </c>
      <c r="S44" s="281">
        <f t="shared" si="57"/>
        <v>0</v>
      </c>
      <c r="T44" s="281">
        <f t="shared" si="58"/>
        <v>904.36</v>
      </c>
      <c r="U44" s="261">
        <f t="shared" ref="U44:U45" si="65">-IF(T44&gt;0,0,0)</f>
        <v>0</v>
      </c>
      <c r="V44" s="261">
        <f t="shared" ref="V44:V45" si="66">IF(H44/15&lt;=SMG,0,IF(T44&lt;0,0,T44))</f>
        <v>904.36</v>
      </c>
      <c r="W44" s="261">
        <f>SUM(V44:V44)</f>
        <v>904.36</v>
      </c>
      <c r="X44" s="261">
        <f>J44+U44-W44</f>
        <v>7182.64</v>
      </c>
      <c r="Y44" s="317"/>
      <c r="Z44" s="318"/>
    </row>
    <row r="45" spans="1:26" s="358" customFormat="1" ht="171" customHeight="1" x14ac:dyDescent="0.2">
      <c r="A45" s="353"/>
      <c r="B45" s="267" t="s">
        <v>327</v>
      </c>
      <c r="C45" s="267" t="s">
        <v>107</v>
      </c>
      <c r="D45" s="310">
        <v>45597</v>
      </c>
      <c r="E45" s="256" t="s">
        <v>78</v>
      </c>
      <c r="F45" s="257">
        <v>15</v>
      </c>
      <c r="G45" s="257">
        <f t="shared" si="47"/>
        <v>539.13333333333333</v>
      </c>
      <c r="H45" s="259">
        <v>8087</v>
      </c>
      <c r="I45" s="260">
        <v>0</v>
      </c>
      <c r="J45" s="261">
        <f t="shared" si="64"/>
        <v>8087</v>
      </c>
      <c r="K45" s="281">
        <f t="shared" si="49"/>
        <v>0</v>
      </c>
      <c r="L45" s="300">
        <f t="shared" si="50"/>
        <v>16389.653333333332</v>
      </c>
      <c r="M45" s="300">
        <f t="shared" si="51"/>
        <v>15487.72</v>
      </c>
      <c r="N45" s="281">
        <f t="shared" si="52"/>
        <v>901.93333333333248</v>
      </c>
      <c r="O45" s="282">
        <f t="shared" si="53"/>
        <v>0.21360000000000001</v>
      </c>
      <c r="P45" s="281">
        <f t="shared" si="54"/>
        <v>192.65295999999984</v>
      </c>
      <c r="Q45" s="283">
        <f t="shared" si="55"/>
        <v>1640.18</v>
      </c>
      <c r="R45" s="281">
        <f t="shared" si="56"/>
        <v>1832.83296</v>
      </c>
      <c r="S45" s="281">
        <f t="shared" si="57"/>
        <v>0</v>
      </c>
      <c r="T45" s="281">
        <f t="shared" si="58"/>
        <v>904.36</v>
      </c>
      <c r="U45" s="261">
        <f t="shared" si="65"/>
        <v>0</v>
      </c>
      <c r="V45" s="261">
        <f t="shared" si="66"/>
        <v>904.36</v>
      </c>
      <c r="W45" s="261">
        <f>SUM(V45:V45)</f>
        <v>904.36</v>
      </c>
      <c r="X45" s="261">
        <f>J45+U45-W45</f>
        <v>7182.64</v>
      </c>
      <c r="Y45" s="317"/>
      <c r="Z45" s="318"/>
    </row>
    <row r="46" spans="1:26" s="358" customFormat="1" ht="171" customHeight="1" x14ac:dyDescent="0.25">
      <c r="A46" s="353"/>
      <c r="B46" s="267" t="s">
        <v>360</v>
      </c>
      <c r="C46" s="267" t="s">
        <v>107</v>
      </c>
      <c r="D46" s="310">
        <v>45704</v>
      </c>
      <c r="E46" s="256" t="s">
        <v>78</v>
      </c>
      <c r="F46" s="257">
        <v>15</v>
      </c>
      <c r="G46" s="257">
        <f t="shared" si="47"/>
        <v>539.13333333333333</v>
      </c>
      <c r="H46" s="259">
        <v>8087</v>
      </c>
      <c r="I46" s="260">
        <v>0</v>
      </c>
      <c r="J46" s="261">
        <f t="shared" ref="J46:J48" si="67">SUM(H46:I46)</f>
        <v>8087</v>
      </c>
      <c r="K46" s="281">
        <f t="shared" si="49"/>
        <v>0</v>
      </c>
      <c r="L46" s="300">
        <f t="shared" si="50"/>
        <v>16389.653333333332</v>
      </c>
      <c r="M46" s="300">
        <f t="shared" si="51"/>
        <v>15487.72</v>
      </c>
      <c r="N46" s="281">
        <f t="shared" si="52"/>
        <v>901.93333333333248</v>
      </c>
      <c r="O46" s="282">
        <f t="shared" si="53"/>
        <v>0.21360000000000001</v>
      </c>
      <c r="P46" s="281">
        <f t="shared" si="54"/>
        <v>192.65295999999984</v>
      </c>
      <c r="Q46" s="283">
        <f t="shared" si="55"/>
        <v>1640.18</v>
      </c>
      <c r="R46" s="281">
        <f t="shared" si="56"/>
        <v>1832.83296</v>
      </c>
      <c r="S46" s="281">
        <f t="shared" si="57"/>
        <v>0</v>
      </c>
      <c r="T46" s="281">
        <f t="shared" si="58"/>
        <v>904.36</v>
      </c>
      <c r="U46" s="261">
        <f t="shared" ref="U46:U48" si="68">-IF(T46&gt;0,0,0)</f>
        <v>0</v>
      </c>
      <c r="V46" s="261">
        <f t="shared" ref="V46:V48" si="69">IF(H46/15&lt;=SMG,0,IF(T46&lt;0,0,T46))</f>
        <v>904.36</v>
      </c>
      <c r="W46" s="261">
        <f>SUM(V46:V46)</f>
        <v>904.36</v>
      </c>
      <c r="X46" s="261">
        <f>J46+U46-W46</f>
        <v>7182.64</v>
      </c>
      <c r="Y46" s="399"/>
      <c r="Z46" s="318"/>
    </row>
    <row r="47" spans="1:26" s="358" customFormat="1" ht="171" customHeight="1" x14ac:dyDescent="0.2">
      <c r="A47" s="353"/>
      <c r="B47" s="267" t="s">
        <v>361</v>
      </c>
      <c r="C47" s="267" t="s">
        <v>107</v>
      </c>
      <c r="D47" s="310">
        <v>45704</v>
      </c>
      <c r="E47" s="256" t="s">
        <v>78</v>
      </c>
      <c r="F47" s="257">
        <v>15</v>
      </c>
      <c r="G47" s="257">
        <f t="shared" si="47"/>
        <v>539.13333333333333</v>
      </c>
      <c r="H47" s="259">
        <v>8087</v>
      </c>
      <c r="I47" s="260">
        <v>0</v>
      </c>
      <c r="J47" s="261">
        <f t="shared" si="67"/>
        <v>8087</v>
      </c>
      <c r="K47" s="281">
        <f t="shared" si="49"/>
        <v>0</v>
      </c>
      <c r="L47" s="300">
        <f t="shared" si="50"/>
        <v>16389.653333333332</v>
      </c>
      <c r="M47" s="300">
        <f t="shared" si="51"/>
        <v>15487.72</v>
      </c>
      <c r="N47" s="281">
        <f t="shared" si="52"/>
        <v>901.93333333333248</v>
      </c>
      <c r="O47" s="282">
        <f t="shared" si="53"/>
        <v>0.21360000000000001</v>
      </c>
      <c r="P47" s="281">
        <f t="shared" si="54"/>
        <v>192.65295999999984</v>
      </c>
      <c r="Q47" s="283">
        <f t="shared" si="55"/>
        <v>1640.18</v>
      </c>
      <c r="R47" s="281">
        <f t="shared" si="56"/>
        <v>1832.83296</v>
      </c>
      <c r="S47" s="281">
        <f t="shared" si="57"/>
        <v>0</v>
      </c>
      <c r="T47" s="281">
        <f t="shared" si="58"/>
        <v>904.36</v>
      </c>
      <c r="U47" s="261">
        <f t="shared" si="68"/>
        <v>0</v>
      </c>
      <c r="V47" s="261">
        <f t="shared" si="69"/>
        <v>904.36</v>
      </c>
      <c r="W47" s="261">
        <f>SUM(V47:V47)</f>
        <v>904.36</v>
      </c>
      <c r="X47" s="261">
        <f>J47+U47-W47</f>
        <v>7182.64</v>
      </c>
      <c r="Y47" s="317"/>
      <c r="Z47" s="318"/>
    </row>
    <row r="48" spans="1:26" s="358" customFormat="1" ht="171" customHeight="1" x14ac:dyDescent="0.2">
      <c r="A48" s="353"/>
      <c r="B48" s="267" t="s">
        <v>362</v>
      </c>
      <c r="C48" s="267" t="s">
        <v>107</v>
      </c>
      <c r="D48" s="310">
        <v>45704</v>
      </c>
      <c r="E48" s="256" t="s">
        <v>78</v>
      </c>
      <c r="F48" s="257">
        <v>15</v>
      </c>
      <c r="G48" s="257">
        <f t="shared" ref="G48" si="70">H48/F48</f>
        <v>539.13333333333333</v>
      </c>
      <c r="H48" s="259">
        <v>8087</v>
      </c>
      <c r="I48" s="260">
        <v>0</v>
      </c>
      <c r="J48" s="261">
        <f t="shared" si="67"/>
        <v>8087</v>
      </c>
      <c r="K48" s="281">
        <f t="shared" ref="K48" si="71">IF(H48/15&lt;=SMG,0,I48/2)</f>
        <v>0</v>
      </c>
      <c r="L48" s="300">
        <f t="shared" ref="L48" si="72">(H48+K48)/F48*30.4</f>
        <v>16389.653333333332</v>
      </c>
      <c r="M48" s="300">
        <f t="shared" ref="M48" si="73">VLOOKUP(L48,Tarifa,1)</f>
        <v>15487.72</v>
      </c>
      <c r="N48" s="281">
        <f t="shared" ref="N48" si="74">L48-M48</f>
        <v>901.93333333333248</v>
      </c>
      <c r="O48" s="282">
        <f t="shared" ref="O48" si="75">VLOOKUP(L48,Tarifa,3)</f>
        <v>0.21360000000000001</v>
      </c>
      <c r="P48" s="281">
        <f t="shared" ref="P48" si="76">N48*O48</f>
        <v>192.65295999999984</v>
      </c>
      <c r="Q48" s="283">
        <f t="shared" ref="Q48" si="77">VLOOKUP(L48,Tarifa,2)</f>
        <v>1640.18</v>
      </c>
      <c r="R48" s="281">
        <f t="shared" ref="R48" si="78">P48+Q48</f>
        <v>1832.83296</v>
      </c>
      <c r="S48" s="281">
        <f t="shared" ref="S48" si="79">VLOOKUP(L48,Credito,2)</f>
        <v>0</v>
      </c>
      <c r="T48" s="281">
        <f t="shared" ref="T48" si="80">ROUND((R48-S48)/30.4*F48,2)</f>
        <v>904.36</v>
      </c>
      <c r="U48" s="261">
        <f t="shared" si="68"/>
        <v>0</v>
      </c>
      <c r="V48" s="261">
        <f t="shared" si="69"/>
        <v>904.36</v>
      </c>
      <c r="W48" s="261">
        <f>SUM(V48:V48)</f>
        <v>904.36</v>
      </c>
      <c r="X48" s="261">
        <f>J48+U48-W48</f>
        <v>7182.64</v>
      </c>
      <c r="Y48" s="317"/>
      <c r="Z48" s="318"/>
    </row>
    <row r="49" spans="1:26" s="358" customFormat="1" ht="171" customHeight="1" x14ac:dyDescent="0.2">
      <c r="A49" s="353"/>
      <c r="B49" s="267" t="s">
        <v>366</v>
      </c>
      <c r="C49" s="267" t="s">
        <v>107</v>
      </c>
      <c r="D49" s="310">
        <v>45717</v>
      </c>
      <c r="E49" s="256" t="s">
        <v>78</v>
      </c>
      <c r="F49" s="257">
        <v>15</v>
      </c>
      <c r="G49" s="257">
        <f t="shared" si="47"/>
        <v>539.13333333333333</v>
      </c>
      <c r="H49" s="259">
        <v>8087</v>
      </c>
      <c r="I49" s="260">
        <v>0</v>
      </c>
      <c r="J49" s="261">
        <f t="shared" si="44"/>
        <v>8087</v>
      </c>
      <c r="K49" s="281">
        <f t="shared" si="49"/>
        <v>0</v>
      </c>
      <c r="L49" s="300">
        <f t="shared" si="50"/>
        <v>16389.653333333332</v>
      </c>
      <c r="M49" s="300">
        <f t="shared" si="51"/>
        <v>15487.72</v>
      </c>
      <c r="N49" s="281">
        <f t="shared" si="52"/>
        <v>901.93333333333248</v>
      </c>
      <c r="O49" s="282">
        <f t="shared" si="53"/>
        <v>0.21360000000000001</v>
      </c>
      <c r="P49" s="281">
        <f t="shared" si="54"/>
        <v>192.65295999999984</v>
      </c>
      <c r="Q49" s="283">
        <f t="shared" si="55"/>
        <v>1640.18</v>
      </c>
      <c r="R49" s="281">
        <f t="shared" si="56"/>
        <v>1832.83296</v>
      </c>
      <c r="S49" s="281">
        <f t="shared" si="57"/>
        <v>0</v>
      </c>
      <c r="T49" s="281">
        <f t="shared" si="58"/>
        <v>904.36</v>
      </c>
      <c r="U49" s="261">
        <f t="shared" si="45"/>
        <v>0</v>
      </c>
      <c r="V49" s="261">
        <f t="shared" si="46"/>
        <v>904.36</v>
      </c>
      <c r="W49" s="261">
        <f>SUM(V49:V49)</f>
        <v>904.36</v>
      </c>
      <c r="X49" s="261">
        <f>J49+U49-W49</f>
        <v>7182.64</v>
      </c>
      <c r="Y49" s="317"/>
      <c r="Z49" s="318"/>
    </row>
    <row r="50" spans="1:26" ht="29.25" customHeight="1" thickBot="1" x14ac:dyDescent="0.35">
      <c r="A50" s="415" t="s">
        <v>44</v>
      </c>
      <c r="B50" s="416"/>
      <c r="C50" s="416"/>
      <c r="D50" s="416"/>
      <c r="E50" s="416"/>
      <c r="F50" s="416"/>
      <c r="G50" s="355"/>
      <c r="H50" s="197">
        <f>SUM(H9:H49)</f>
        <v>216015</v>
      </c>
      <c r="I50" s="197">
        <f>SUM(I9:I49)</f>
        <v>0</v>
      </c>
      <c r="J50" s="197">
        <f>SUM(J9:J49)</f>
        <v>216015</v>
      </c>
      <c r="K50" s="198">
        <f t="shared" ref="K50:T50" si="81">SUM(K9:K17)</f>
        <v>0</v>
      </c>
      <c r="L50" s="198">
        <f t="shared" si="81"/>
        <v>159166.29333333331</v>
      </c>
      <c r="M50" s="198">
        <f t="shared" si="81"/>
        <v>139389.47999999998</v>
      </c>
      <c r="N50" s="198">
        <f t="shared" si="81"/>
        <v>19776.813333333332</v>
      </c>
      <c r="O50" s="198">
        <f t="shared" si="81"/>
        <v>1.9224000000000001</v>
      </c>
      <c r="P50" s="198">
        <f t="shared" si="81"/>
        <v>4224.3273279999985</v>
      </c>
      <c r="Q50" s="198">
        <f t="shared" si="81"/>
        <v>14761.62</v>
      </c>
      <c r="R50" s="198">
        <f t="shared" si="81"/>
        <v>18985.947327999998</v>
      </c>
      <c r="S50" s="198">
        <f t="shared" si="81"/>
        <v>0</v>
      </c>
      <c r="T50" s="198">
        <f t="shared" si="81"/>
        <v>9368.0800000000017</v>
      </c>
      <c r="U50" s="197">
        <f>SUM(U9:U49)</f>
        <v>0</v>
      </c>
      <c r="V50" s="197">
        <f>SUM(V9:V49)</f>
        <v>24742.200000000012</v>
      </c>
      <c r="W50" s="197">
        <f>SUM(W9:W49)</f>
        <v>24742.200000000012</v>
      </c>
      <c r="X50" s="197">
        <f>SUM(X9:X49)</f>
        <v>191272.8000000001</v>
      </c>
      <c r="Y50" s="4"/>
      <c r="Z50" s="4"/>
    </row>
    <row r="51" spans="1:26" ht="13.5" thickTop="1" x14ac:dyDescent="0.2"/>
  </sheetData>
  <mergeCells count="15">
    <mergeCell ref="A50:F50"/>
    <mergeCell ref="A1:Y1"/>
    <mergeCell ref="A2:Y2"/>
    <mergeCell ref="H5:J5"/>
    <mergeCell ref="M5:R5"/>
    <mergeCell ref="V5:W5"/>
    <mergeCell ref="B3:Y3"/>
    <mergeCell ref="B21:Y21"/>
    <mergeCell ref="B22:Y22"/>
    <mergeCell ref="B24:Y24"/>
    <mergeCell ref="B23:Y23"/>
    <mergeCell ref="B40:Y40"/>
    <mergeCell ref="B38:Y38"/>
    <mergeCell ref="B39:Y39"/>
    <mergeCell ref="B8:C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1"/>
  <sheetViews>
    <sheetView topLeftCell="B22" zoomScale="73" zoomScaleNormal="73" workbookViewId="0">
      <selection activeCell="B22" sqref="A22:XFD27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6" style="65" customWidth="1"/>
    <col min="11" max="11" width="16.855468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61.42578125" style="65" customWidth="1"/>
    <col min="27" max="16384" width="11.42578125" style="65"/>
  </cols>
  <sheetData>
    <row r="1" spans="1:26" ht="18" x14ac:dyDescent="0.25">
      <c r="A1" s="428" t="s">
        <v>75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</row>
    <row r="2" spans="1:26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6" ht="19.5" x14ac:dyDescent="0.25">
      <c r="A3" s="419" t="str">
        <f>CHOFERES!A3</f>
        <v>SUELDO  DEL 01 AL 15 DE MAYO DE 2025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6" ht="15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470" t="s">
        <v>1</v>
      </c>
      <c r="J5" s="471"/>
      <c r="K5" s="472"/>
      <c r="L5" s="68" t="s">
        <v>25</v>
      </c>
      <c r="M5" s="69"/>
      <c r="N5" s="473" t="s">
        <v>8</v>
      </c>
      <c r="O5" s="474"/>
      <c r="P5" s="474"/>
      <c r="Q5" s="474"/>
      <c r="R5" s="474"/>
      <c r="S5" s="475"/>
      <c r="T5" s="68" t="s">
        <v>29</v>
      </c>
      <c r="U5" s="68" t="s">
        <v>9</v>
      </c>
      <c r="V5" s="67" t="s">
        <v>52</v>
      </c>
      <c r="W5" s="476" t="s">
        <v>2</v>
      </c>
      <c r="X5" s="477"/>
      <c r="Y5" s="67" t="s">
        <v>0</v>
      </c>
      <c r="Z5" s="70"/>
    </row>
    <row r="6" spans="1:26" ht="22.5" x14ac:dyDescent="0.2">
      <c r="A6" s="71" t="s">
        <v>20</v>
      </c>
      <c r="B6" s="72" t="s">
        <v>95</v>
      </c>
      <c r="C6" s="72" t="s">
        <v>108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57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194</v>
      </c>
      <c r="X6" s="67" t="s">
        <v>6</v>
      </c>
      <c r="Y6" s="71" t="s">
        <v>3</v>
      </c>
      <c r="Z6" s="75" t="s">
        <v>56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58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117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25" t="s">
        <v>123</v>
      </c>
      <c r="E8" s="94" t="s">
        <v>199</v>
      </c>
      <c r="F8" s="81" t="s">
        <v>60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s="358" customFormat="1" ht="117" customHeight="1" x14ac:dyDescent="0.2">
      <c r="A9" s="360"/>
      <c r="B9" s="361">
        <v>391</v>
      </c>
      <c r="C9" s="252" t="s">
        <v>107</v>
      </c>
      <c r="D9" s="332" t="s">
        <v>316</v>
      </c>
      <c r="E9" s="362">
        <v>45586</v>
      </c>
      <c r="F9" s="363" t="s">
        <v>315</v>
      </c>
      <c r="G9" s="333">
        <v>15</v>
      </c>
      <c r="H9" s="333">
        <f t="shared" ref="H9:H17" si="0">I9/G9</f>
        <v>675.23333333333335</v>
      </c>
      <c r="I9" s="259">
        <v>10128.5</v>
      </c>
      <c r="J9" s="260">
        <v>0</v>
      </c>
      <c r="K9" s="261">
        <f t="shared" ref="K9:K10" si="1">SUM(I9:J9)</f>
        <v>10128.5</v>
      </c>
      <c r="L9" s="382">
        <f t="shared" ref="L9:L17" si="2">IF(I9/15&lt;=SMG,0,J9/2)</f>
        <v>0</v>
      </c>
      <c r="M9" s="382">
        <f t="shared" ref="M9:M17" si="3">(I9+L9)/G9*30.4</f>
        <v>20527.093333333334</v>
      </c>
      <c r="N9" s="382">
        <f t="shared" ref="N9:N17" si="4">VLOOKUP(M9,Tarifa,1)</f>
        <v>15487.72</v>
      </c>
      <c r="O9" s="382">
        <f t="shared" ref="O9:O17" si="5">M9-N9</f>
        <v>5039.3733333333348</v>
      </c>
      <c r="P9" s="383">
        <f t="shared" ref="P9:P17" si="6">VLOOKUP(M9,Tarifa,3)</f>
        <v>0.21360000000000001</v>
      </c>
      <c r="Q9" s="382">
        <f t="shared" ref="Q9:Q17" si="7">O9*P9</f>
        <v>1076.4101440000004</v>
      </c>
      <c r="R9" s="384">
        <f t="shared" ref="R9:R17" si="8">VLOOKUP(M9,Tarifa,2)</f>
        <v>1640.18</v>
      </c>
      <c r="S9" s="382">
        <f t="shared" ref="S9:S17" si="9">Q9+R9</f>
        <v>2716.5901440000007</v>
      </c>
      <c r="T9" s="382">
        <f t="shared" ref="T9:T17" si="10">VLOOKUP(M9,Credito,2)</f>
        <v>0</v>
      </c>
      <c r="U9" s="382">
        <f t="shared" ref="U9:U17" si="11">ROUND((S9-T9)/30.4*G9,2)</f>
        <v>1340.42</v>
      </c>
      <c r="V9" s="261">
        <f>-IF(U9&gt;0,0,0)</f>
        <v>0</v>
      </c>
      <c r="W9" s="261">
        <f t="shared" ref="W9:W10" si="12">IF(I9/15&lt;=SMG,0,IF(U9&lt;0,0,U9))</f>
        <v>1340.42</v>
      </c>
      <c r="X9" s="261">
        <f>SUM(W9:W9)</f>
        <v>1340.42</v>
      </c>
      <c r="Y9" s="261">
        <f>K9+V9-X9</f>
        <v>8788.08</v>
      </c>
      <c r="Z9" s="333"/>
    </row>
    <row r="10" spans="1:26" s="358" customFormat="1" ht="117" customHeight="1" x14ac:dyDescent="0.2">
      <c r="A10" s="360"/>
      <c r="B10" s="361">
        <v>392</v>
      </c>
      <c r="C10" s="252" t="s">
        <v>107</v>
      </c>
      <c r="D10" s="332" t="s">
        <v>314</v>
      </c>
      <c r="E10" s="362">
        <v>45586</v>
      </c>
      <c r="F10" s="363" t="s">
        <v>315</v>
      </c>
      <c r="G10" s="333">
        <v>15</v>
      </c>
      <c r="H10" s="333">
        <f t="shared" si="0"/>
        <v>675.23333333333335</v>
      </c>
      <c r="I10" s="259">
        <v>10128.5</v>
      </c>
      <c r="J10" s="260">
        <v>0</v>
      </c>
      <c r="K10" s="261">
        <f t="shared" si="1"/>
        <v>10128.5</v>
      </c>
      <c r="L10" s="382">
        <f t="shared" si="2"/>
        <v>0</v>
      </c>
      <c r="M10" s="382">
        <f t="shared" si="3"/>
        <v>20527.093333333334</v>
      </c>
      <c r="N10" s="382">
        <f t="shared" si="4"/>
        <v>15487.72</v>
      </c>
      <c r="O10" s="382">
        <f t="shared" si="5"/>
        <v>5039.3733333333348</v>
      </c>
      <c r="P10" s="383">
        <f t="shared" si="6"/>
        <v>0.21360000000000001</v>
      </c>
      <c r="Q10" s="382">
        <f t="shared" si="7"/>
        <v>1076.4101440000004</v>
      </c>
      <c r="R10" s="384">
        <f t="shared" si="8"/>
        <v>1640.18</v>
      </c>
      <c r="S10" s="382">
        <f t="shared" si="9"/>
        <v>2716.5901440000007</v>
      </c>
      <c r="T10" s="382">
        <f t="shared" si="10"/>
        <v>0</v>
      </c>
      <c r="U10" s="382">
        <f t="shared" si="11"/>
        <v>1340.42</v>
      </c>
      <c r="V10" s="261">
        <f>-IF(U10&gt;0,0,0)</f>
        <v>0</v>
      </c>
      <c r="W10" s="261">
        <f t="shared" si="12"/>
        <v>1340.42</v>
      </c>
      <c r="X10" s="261">
        <f>SUM(W10:W10)</f>
        <v>1340.42</v>
      </c>
      <c r="Y10" s="261">
        <f>K10+V10-X10</f>
        <v>8788.08</v>
      </c>
      <c r="Z10" s="333"/>
    </row>
    <row r="11" spans="1:26" s="264" customFormat="1" ht="117" customHeight="1" x14ac:dyDescent="0.2">
      <c r="A11" s="250"/>
      <c r="B11" s="252" t="s">
        <v>347</v>
      </c>
      <c r="C11" s="252" t="s">
        <v>107</v>
      </c>
      <c r="D11" s="356" t="s">
        <v>345</v>
      </c>
      <c r="E11" s="364">
        <v>45658</v>
      </c>
      <c r="F11" s="363" t="s">
        <v>315</v>
      </c>
      <c r="G11" s="333">
        <v>15</v>
      </c>
      <c r="H11" s="333">
        <f t="shared" si="0"/>
        <v>675.23333333333335</v>
      </c>
      <c r="I11" s="259">
        <v>10128.5</v>
      </c>
      <c r="J11" s="260">
        <v>0</v>
      </c>
      <c r="K11" s="261">
        <f t="shared" ref="K11" si="13">SUM(I11:J11)</f>
        <v>10128.5</v>
      </c>
      <c r="L11" s="382">
        <f t="shared" si="2"/>
        <v>0</v>
      </c>
      <c r="M11" s="382">
        <f t="shared" si="3"/>
        <v>20527.093333333334</v>
      </c>
      <c r="N11" s="382">
        <f t="shared" si="4"/>
        <v>15487.72</v>
      </c>
      <c r="O11" s="382">
        <f t="shared" si="5"/>
        <v>5039.3733333333348</v>
      </c>
      <c r="P11" s="383">
        <f t="shared" si="6"/>
        <v>0.21360000000000001</v>
      </c>
      <c r="Q11" s="382">
        <f t="shared" si="7"/>
        <v>1076.4101440000004</v>
      </c>
      <c r="R11" s="384">
        <f t="shared" si="8"/>
        <v>1640.18</v>
      </c>
      <c r="S11" s="382">
        <f t="shared" si="9"/>
        <v>2716.5901440000007</v>
      </c>
      <c r="T11" s="382">
        <f t="shared" si="10"/>
        <v>0</v>
      </c>
      <c r="U11" s="382">
        <f t="shared" si="11"/>
        <v>1340.42</v>
      </c>
      <c r="V11" s="261">
        <f>-IF(U11&gt;0,0,0)</f>
        <v>0</v>
      </c>
      <c r="W11" s="261">
        <f t="shared" ref="W11" si="14">IF(I11/15&lt;=SMG,0,IF(U11&lt;0,0,U11))</f>
        <v>1340.42</v>
      </c>
      <c r="X11" s="261">
        <f>SUM(W11:W11)</f>
        <v>1340.42</v>
      </c>
      <c r="Y11" s="261">
        <f>K11+V11-X11</f>
        <v>8788.08</v>
      </c>
      <c r="Z11" s="262"/>
    </row>
    <row r="12" spans="1:26" s="264" customFormat="1" ht="117" customHeight="1" x14ac:dyDescent="0.2">
      <c r="A12" s="250"/>
      <c r="B12" s="252" t="s">
        <v>159</v>
      </c>
      <c r="C12" s="252" t="s">
        <v>107</v>
      </c>
      <c r="D12" s="356" t="s">
        <v>158</v>
      </c>
      <c r="E12" s="364">
        <v>43998</v>
      </c>
      <c r="F12" s="254" t="s">
        <v>121</v>
      </c>
      <c r="G12" s="333">
        <v>15</v>
      </c>
      <c r="H12" s="333">
        <f t="shared" si="0"/>
        <v>407.9</v>
      </c>
      <c r="I12" s="259">
        <v>6118.5</v>
      </c>
      <c r="J12" s="260">
        <v>0</v>
      </c>
      <c r="K12" s="261">
        <f t="shared" ref="K12:K13" si="15">SUM(I12:J12)</f>
        <v>6118.5</v>
      </c>
      <c r="L12" s="382">
        <f t="shared" si="2"/>
        <v>0</v>
      </c>
      <c r="M12" s="382">
        <f t="shared" si="3"/>
        <v>12400.159999999998</v>
      </c>
      <c r="N12" s="382">
        <f t="shared" si="4"/>
        <v>11128.02</v>
      </c>
      <c r="O12" s="382">
        <f t="shared" si="5"/>
        <v>1272.1399999999976</v>
      </c>
      <c r="P12" s="383">
        <f t="shared" si="6"/>
        <v>0.16</v>
      </c>
      <c r="Q12" s="382">
        <f t="shared" si="7"/>
        <v>203.54239999999962</v>
      </c>
      <c r="R12" s="384">
        <f t="shared" si="8"/>
        <v>893.63</v>
      </c>
      <c r="S12" s="382">
        <f t="shared" si="9"/>
        <v>1097.1723999999997</v>
      </c>
      <c r="T12" s="382">
        <f t="shared" si="10"/>
        <v>0</v>
      </c>
      <c r="U12" s="382">
        <f t="shared" si="11"/>
        <v>541.37</v>
      </c>
      <c r="V12" s="261">
        <f t="shared" ref="V12:V13" si="16">-IF(U12&gt;0,0,0)</f>
        <v>0</v>
      </c>
      <c r="W12" s="261">
        <f t="shared" ref="W12:W13" si="17">IF(I12/15&lt;=SMG,0,IF(U12&lt;0,0,U12))</f>
        <v>541.37</v>
      </c>
      <c r="X12" s="261">
        <f>SUM(W12:W12)</f>
        <v>541.37</v>
      </c>
      <c r="Y12" s="261">
        <f>K12+V12-X12</f>
        <v>5577.13</v>
      </c>
      <c r="Z12" s="272"/>
    </row>
    <row r="13" spans="1:26" s="88" customFormat="1" ht="117" customHeight="1" x14ac:dyDescent="0.25">
      <c r="A13" s="137"/>
      <c r="B13" s="252" t="s">
        <v>197</v>
      </c>
      <c r="C13" s="252" t="s">
        <v>107</v>
      </c>
      <c r="D13" s="356" t="s">
        <v>198</v>
      </c>
      <c r="E13" s="364">
        <v>44942</v>
      </c>
      <c r="F13" s="254" t="s">
        <v>121</v>
      </c>
      <c r="G13" s="333">
        <v>15</v>
      </c>
      <c r="H13" s="333">
        <f t="shared" si="0"/>
        <v>407.9</v>
      </c>
      <c r="I13" s="259">
        <v>6118.5</v>
      </c>
      <c r="J13" s="260">
        <v>0</v>
      </c>
      <c r="K13" s="261">
        <f t="shared" si="15"/>
        <v>6118.5</v>
      </c>
      <c r="L13" s="382">
        <f t="shared" si="2"/>
        <v>0</v>
      </c>
      <c r="M13" s="382">
        <f t="shared" si="3"/>
        <v>12400.159999999998</v>
      </c>
      <c r="N13" s="382">
        <f t="shared" si="4"/>
        <v>11128.02</v>
      </c>
      <c r="O13" s="382">
        <f t="shared" si="5"/>
        <v>1272.1399999999976</v>
      </c>
      <c r="P13" s="383">
        <f t="shared" si="6"/>
        <v>0.16</v>
      </c>
      <c r="Q13" s="382">
        <f t="shared" si="7"/>
        <v>203.54239999999962</v>
      </c>
      <c r="R13" s="384">
        <f t="shared" si="8"/>
        <v>893.63</v>
      </c>
      <c r="S13" s="382">
        <f t="shared" si="9"/>
        <v>1097.1723999999997</v>
      </c>
      <c r="T13" s="382">
        <f t="shared" si="10"/>
        <v>0</v>
      </c>
      <c r="U13" s="382">
        <f t="shared" si="11"/>
        <v>541.37</v>
      </c>
      <c r="V13" s="261">
        <f t="shared" si="16"/>
        <v>0</v>
      </c>
      <c r="W13" s="261">
        <f t="shared" si="17"/>
        <v>541.37</v>
      </c>
      <c r="X13" s="261">
        <f>SUM(W13:W13)</f>
        <v>541.37</v>
      </c>
      <c r="Y13" s="261">
        <f>K13+V13-X13</f>
        <v>5577.13</v>
      </c>
      <c r="Z13" s="385"/>
    </row>
    <row r="14" spans="1:26" s="264" customFormat="1" ht="117" customHeight="1" x14ac:dyDescent="0.2">
      <c r="A14" s="250"/>
      <c r="B14" s="252" t="s">
        <v>259</v>
      </c>
      <c r="C14" s="252" t="s">
        <v>260</v>
      </c>
      <c r="D14" s="356" t="s">
        <v>261</v>
      </c>
      <c r="E14" s="364">
        <v>45481</v>
      </c>
      <c r="F14" s="254" t="s">
        <v>121</v>
      </c>
      <c r="G14" s="333">
        <v>15</v>
      </c>
      <c r="H14" s="333">
        <f t="shared" si="0"/>
        <v>407.9</v>
      </c>
      <c r="I14" s="259">
        <v>6118.5</v>
      </c>
      <c r="J14" s="260">
        <v>0</v>
      </c>
      <c r="K14" s="261">
        <f t="shared" ref="K14:K15" si="18">SUM(I14:J14)</f>
        <v>6118.5</v>
      </c>
      <c r="L14" s="382">
        <f t="shared" si="2"/>
        <v>0</v>
      </c>
      <c r="M14" s="382">
        <f t="shared" si="3"/>
        <v>12400.159999999998</v>
      </c>
      <c r="N14" s="382">
        <f t="shared" si="4"/>
        <v>11128.02</v>
      </c>
      <c r="O14" s="382">
        <f t="shared" si="5"/>
        <v>1272.1399999999976</v>
      </c>
      <c r="P14" s="383">
        <f t="shared" si="6"/>
        <v>0.16</v>
      </c>
      <c r="Q14" s="382">
        <f t="shared" si="7"/>
        <v>203.54239999999962</v>
      </c>
      <c r="R14" s="384">
        <f t="shared" si="8"/>
        <v>893.63</v>
      </c>
      <c r="S14" s="382">
        <f t="shared" si="9"/>
        <v>1097.1723999999997</v>
      </c>
      <c r="T14" s="382">
        <f t="shared" si="10"/>
        <v>0</v>
      </c>
      <c r="U14" s="382">
        <f t="shared" si="11"/>
        <v>541.37</v>
      </c>
      <c r="V14" s="261">
        <f t="shared" ref="V14:V15" si="19">-IF(U14&gt;0,0,0)</f>
        <v>0</v>
      </c>
      <c r="W14" s="261">
        <f t="shared" ref="W14:W15" si="20">IF(I14/15&lt;=SMG,0,IF(U14&lt;0,0,U14))</f>
        <v>541.37</v>
      </c>
      <c r="X14" s="261">
        <f>SUM(W14:W14)</f>
        <v>541.37</v>
      </c>
      <c r="Y14" s="261">
        <f>K14+V14-X14</f>
        <v>5577.13</v>
      </c>
      <c r="Z14" s="272"/>
    </row>
    <row r="15" spans="1:26" s="264" customFormat="1" ht="117" customHeight="1" x14ac:dyDescent="0.2">
      <c r="A15" s="250"/>
      <c r="B15" s="252" t="s">
        <v>124</v>
      </c>
      <c r="C15" s="252" t="s">
        <v>107</v>
      </c>
      <c r="D15" s="356" t="s">
        <v>120</v>
      </c>
      <c r="E15" s="364">
        <v>43101</v>
      </c>
      <c r="F15" s="270" t="s">
        <v>122</v>
      </c>
      <c r="G15" s="333">
        <v>15</v>
      </c>
      <c r="H15" s="333">
        <f t="shared" si="0"/>
        <v>366.73333333333335</v>
      </c>
      <c r="I15" s="259">
        <v>5501</v>
      </c>
      <c r="J15" s="260">
        <v>1100.19</v>
      </c>
      <c r="K15" s="261">
        <f t="shared" si="18"/>
        <v>6601.1900000000005</v>
      </c>
      <c r="L15" s="382">
        <f t="shared" si="2"/>
        <v>550.09500000000003</v>
      </c>
      <c r="M15" s="382">
        <f t="shared" si="3"/>
        <v>12263.552533333333</v>
      </c>
      <c r="N15" s="382">
        <f t="shared" si="4"/>
        <v>11128.02</v>
      </c>
      <c r="O15" s="382">
        <f t="shared" si="5"/>
        <v>1135.532533333333</v>
      </c>
      <c r="P15" s="383">
        <f t="shared" si="6"/>
        <v>0.16</v>
      </c>
      <c r="Q15" s="382">
        <f t="shared" si="7"/>
        <v>181.6852053333333</v>
      </c>
      <c r="R15" s="384">
        <f t="shared" si="8"/>
        <v>893.63</v>
      </c>
      <c r="S15" s="382">
        <f t="shared" si="9"/>
        <v>1075.3152053333333</v>
      </c>
      <c r="T15" s="382">
        <f t="shared" si="10"/>
        <v>0</v>
      </c>
      <c r="U15" s="382">
        <f t="shared" si="11"/>
        <v>530.58000000000004</v>
      </c>
      <c r="V15" s="261">
        <f t="shared" si="19"/>
        <v>0</v>
      </c>
      <c r="W15" s="261">
        <f t="shared" si="20"/>
        <v>530.58000000000004</v>
      </c>
      <c r="X15" s="261">
        <f>SUM(W15:W15)</f>
        <v>530.58000000000004</v>
      </c>
      <c r="Y15" s="261">
        <f>K15+V15-X15</f>
        <v>6070.6100000000006</v>
      </c>
      <c r="Z15" s="272"/>
    </row>
    <row r="16" spans="1:26" s="264" customFormat="1" ht="117" customHeight="1" x14ac:dyDescent="0.2">
      <c r="A16" s="250"/>
      <c r="B16" s="365">
        <v>328</v>
      </c>
      <c r="C16" s="252" t="s">
        <v>107</v>
      </c>
      <c r="D16" s="247" t="s">
        <v>262</v>
      </c>
      <c r="E16" s="364">
        <v>45505</v>
      </c>
      <c r="F16" s="270" t="s">
        <v>122</v>
      </c>
      <c r="G16" s="333">
        <v>15</v>
      </c>
      <c r="H16" s="333">
        <f t="shared" si="0"/>
        <v>366.73333333333335</v>
      </c>
      <c r="I16" s="259">
        <v>5501</v>
      </c>
      <c r="J16" s="260">
        <v>0</v>
      </c>
      <c r="K16" s="261">
        <f t="shared" ref="K16" si="21">SUM(I16:J16)</f>
        <v>5501</v>
      </c>
      <c r="L16" s="382">
        <f t="shared" si="2"/>
        <v>0</v>
      </c>
      <c r="M16" s="382">
        <f t="shared" si="3"/>
        <v>11148.693333333333</v>
      </c>
      <c r="N16" s="382">
        <f t="shared" si="4"/>
        <v>11128.02</v>
      </c>
      <c r="O16" s="382">
        <f t="shared" si="5"/>
        <v>20.673333333332266</v>
      </c>
      <c r="P16" s="383">
        <f t="shared" si="6"/>
        <v>0.16</v>
      </c>
      <c r="Q16" s="382">
        <f t="shared" si="7"/>
        <v>3.3077333333331627</v>
      </c>
      <c r="R16" s="384">
        <f t="shared" si="8"/>
        <v>893.63</v>
      </c>
      <c r="S16" s="382">
        <f t="shared" si="9"/>
        <v>896.9377333333332</v>
      </c>
      <c r="T16" s="382">
        <f t="shared" si="10"/>
        <v>0</v>
      </c>
      <c r="U16" s="382">
        <f t="shared" si="11"/>
        <v>442.57</v>
      </c>
      <c r="V16" s="261">
        <f t="shared" ref="V16" si="22">-IF(U16&gt;0,0,0)</f>
        <v>0</v>
      </c>
      <c r="W16" s="261">
        <f t="shared" ref="W16:W17" si="23">IF(I16/15&lt;=SMG,0,IF(U16&lt;0,0,U16))</f>
        <v>442.57</v>
      </c>
      <c r="X16" s="261">
        <f>SUM(W16:W16)</f>
        <v>442.57</v>
      </c>
      <c r="Y16" s="261">
        <f>K16+V16-X16</f>
        <v>5058.43</v>
      </c>
      <c r="Z16" s="272"/>
    </row>
    <row r="17" spans="1:26" s="264" customFormat="1" ht="117" customHeight="1" x14ac:dyDescent="0.2">
      <c r="A17" s="250"/>
      <c r="B17" s="365">
        <v>406</v>
      </c>
      <c r="C17" s="252" t="s">
        <v>310</v>
      </c>
      <c r="D17" s="247" t="s">
        <v>352</v>
      </c>
      <c r="E17" s="364">
        <v>45689</v>
      </c>
      <c r="F17" s="270" t="s">
        <v>353</v>
      </c>
      <c r="G17" s="333">
        <v>15</v>
      </c>
      <c r="H17" s="333">
        <f t="shared" si="0"/>
        <v>272.93333333333334</v>
      </c>
      <c r="I17" s="259">
        <v>4094</v>
      </c>
      <c r="J17" s="260">
        <v>0</v>
      </c>
      <c r="K17" s="261">
        <f>SUM(I17:J17)</f>
        <v>4094</v>
      </c>
      <c r="L17" s="382">
        <f t="shared" si="2"/>
        <v>0</v>
      </c>
      <c r="M17" s="382">
        <f t="shared" si="3"/>
        <v>8297.1733333333323</v>
      </c>
      <c r="N17" s="382">
        <f t="shared" si="4"/>
        <v>6332.06</v>
      </c>
      <c r="O17" s="382">
        <f t="shared" si="5"/>
        <v>1965.1133333333319</v>
      </c>
      <c r="P17" s="383">
        <f t="shared" si="6"/>
        <v>0.10879999999999999</v>
      </c>
      <c r="Q17" s="382">
        <f t="shared" si="7"/>
        <v>213.80433066666649</v>
      </c>
      <c r="R17" s="384">
        <f t="shared" si="8"/>
        <v>371.83</v>
      </c>
      <c r="S17" s="382">
        <f t="shared" si="9"/>
        <v>585.63433066666653</v>
      </c>
      <c r="T17" s="382">
        <f t="shared" si="10"/>
        <v>475</v>
      </c>
      <c r="U17" s="382">
        <f t="shared" si="11"/>
        <v>54.59</v>
      </c>
      <c r="V17" s="261">
        <f>-IF(U17&gt;0,0,0)</f>
        <v>0</v>
      </c>
      <c r="W17" s="261">
        <f t="shared" si="23"/>
        <v>0</v>
      </c>
      <c r="X17" s="261">
        <f>SUM(W17:W17)</f>
        <v>0</v>
      </c>
      <c r="Y17" s="261">
        <f>K17+V17-X17</f>
        <v>4094</v>
      </c>
      <c r="Z17" s="272"/>
    </row>
    <row r="18" spans="1:26" ht="40.5" customHeight="1" thickBot="1" x14ac:dyDescent="0.3">
      <c r="A18" s="415" t="s">
        <v>44</v>
      </c>
      <c r="B18" s="416"/>
      <c r="C18" s="416"/>
      <c r="D18" s="416"/>
      <c r="E18" s="416"/>
      <c r="F18" s="416"/>
      <c r="G18" s="416"/>
      <c r="H18" s="417"/>
      <c r="I18" s="130">
        <f>SUM(I9:I17)</f>
        <v>63837</v>
      </c>
      <c r="J18" s="130">
        <f>SUM(J9:J17)</f>
        <v>1100.19</v>
      </c>
      <c r="K18" s="130">
        <f>SUM(K9:K17)</f>
        <v>64937.19</v>
      </c>
      <c r="L18" s="131">
        <f t="shared" ref="L18:U18" si="24">SUM(L11:L17)</f>
        <v>550.09500000000003</v>
      </c>
      <c r="M18" s="131">
        <f t="shared" si="24"/>
        <v>89436.992533333309</v>
      </c>
      <c r="N18" s="131">
        <f t="shared" si="24"/>
        <v>77459.88</v>
      </c>
      <c r="O18" s="131">
        <f t="shared" si="24"/>
        <v>11977.112533333326</v>
      </c>
      <c r="P18" s="131">
        <f t="shared" si="24"/>
        <v>1.1224000000000001</v>
      </c>
      <c r="Q18" s="131">
        <f t="shared" si="24"/>
        <v>2085.8346133333321</v>
      </c>
      <c r="R18" s="131">
        <f t="shared" si="24"/>
        <v>6480.16</v>
      </c>
      <c r="S18" s="131">
        <f t="shared" si="24"/>
        <v>8565.9946133333324</v>
      </c>
      <c r="T18" s="131">
        <f t="shared" si="24"/>
        <v>475</v>
      </c>
      <c r="U18" s="131">
        <f t="shared" si="24"/>
        <v>3992.27</v>
      </c>
      <c r="V18" s="130">
        <f>SUM(V9:V17)</f>
        <v>0</v>
      </c>
      <c r="W18" s="130">
        <f>SUM(W9:W17)</f>
        <v>6618.5199999999995</v>
      </c>
      <c r="X18" s="130">
        <f>SUM(X9:X17)</f>
        <v>6618.5199999999995</v>
      </c>
      <c r="Y18" s="130">
        <f>SUM(Y9:Y17)</f>
        <v>58318.67</v>
      </c>
    </row>
    <row r="19" spans="1:26" ht="18.75" thickTop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</row>
    <row r="20" spans="1:26" ht="18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</row>
    <row r="21" spans="1:26" ht="18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</row>
  </sheetData>
  <mergeCells count="7">
    <mergeCell ref="A18:H18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7"/>
  <sheetViews>
    <sheetView topLeftCell="B1" zoomScale="70" zoomScaleNormal="70" workbookViewId="0">
      <pane ySplit="1" topLeftCell="A23" activePane="bottomLeft" state="frozen"/>
      <selection activeCell="B1" sqref="B1"/>
      <selection pane="bottomLeft" activeCell="B32" sqref="A32:XFD3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</cols>
  <sheetData>
    <row r="1" spans="1:26" ht="19.5" x14ac:dyDescent="0.25">
      <c r="A1" s="418" t="s">
        <v>75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</row>
    <row r="2" spans="1:26" ht="19.5" x14ac:dyDescent="0.25">
      <c r="A2" s="418" t="s">
        <v>63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</row>
    <row r="3" spans="1:26" ht="19.5" x14ac:dyDescent="0.25">
      <c r="A3" s="419" t="s">
        <v>391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6" ht="12" customHeight="1" x14ac:dyDescent="0.2">
      <c r="A4" s="41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s="51" customFormat="1" ht="15.75" x14ac:dyDescent="0.25">
      <c r="A5" s="47"/>
      <c r="B5" s="110"/>
      <c r="C5" s="110"/>
      <c r="D5" s="110"/>
      <c r="E5" s="110"/>
      <c r="F5" s="180"/>
      <c r="G5" s="111" t="s">
        <v>22</v>
      </c>
      <c r="H5" s="183" t="s">
        <v>5</v>
      </c>
      <c r="I5" s="420" t="s">
        <v>1</v>
      </c>
      <c r="J5" s="421"/>
      <c r="K5" s="422"/>
      <c r="L5" s="112" t="s">
        <v>25</v>
      </c>
      <c r="M5" s="113"/>
      <c r="N5" s="423" t="s">
        <v>8</v>
      </c>
      <c r="O5" s="424"/>
      <c r="P5" s="424"/>
      <c r="Q5" s="424"/>
      <c r="R5" s="424"/>
      <c r="S5" s="425"/>
      <c r="T5" s="112" t="s">
        <v>52</v>
      </c>
      <c r="U5" s="112" t="s">
        <v>9</v>
      </c>
      <c r="V5" s="111" t="s">
        <v>52</v>
      </c>
      <c r="W5" s="426" t="s">
        <v>2</v>
      </c>
      <c r="X5" s="427"/>
      <c r="Y5" s="111" t="s">
        <v>0</v>
      </c>
      <c r="Z5" s="47"/>
    </row>
    <row r="6" spans="1:26" s="51" customFormat="1" ht="29.25" customHeight="1" x14ac:dyDescent="0.25">
      <c r="A6" s="52" t="s">
        <v>20</v>
      </c>
      <c r="B6" s="114" t="s">
        <v>95</v>
      </c>
      <c r="C6" s="114" t="s">
        <v>113</v>
      </c>
      <c r="D6" s="115" t="s">
        <v>21</v>
      </c>
      <c r="E6" s="114" t="s">
        <v>200</v>
      </c>
      <c r="F6" s="181" t="s">
        <v>60</v>
      </c>
      <c r="G6" s="186" t="s">
        <v>23</v>
      </c>
      <c r="H6" s="184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13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194</v>
      </c>
      <c r="X6" s="111" t="s">
        <v>6</v>
      </c>
      <c r="Y6" s="115" t="s">
        <v>3</v>
      </c>
      <c r="Z6" s="52" t="s">
        <v>56</v>
      </c>
    </row>
    <row r="7" spans="1:26" s="51" customFormat="1" ht="15.75" x14ac:dyDescent="0.25">
      <c r="A7" s="60"/>
      <c r="B7" s="117"/>
      <c r="C7" s="117"/>
      <c r="D7" s="118"/>
      <c r="E7" s="118"/>
      <c r="F7" s="182"/>
      <c r="G7" s="118"/>
      <c r="H7" s="185"/>
      <c r="I7" s="118" t="s">
        <v>46</v>
      </c>
      <c r="J7" s="118" t="s">
        <v>58</v>
      </c>
      <c r="K7" s="118" t="s">
        <v>28</v>
      </c>
      <c r="L7" s="119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12" t="s">
        <v>14</v>
      </c>
      <c r="S7" s="112" t="s">
        <v>38</v>
      </c>
      <c r="T7" s="116" t="s">
        <v>51</v>
      </c>
      <c r="U7" s="120" t="s">
        <v>167</v>
      </c>
      <c r="V7" s="118" t="s">
        <v>51</v>
      </c>
      <c r="W7" s="118"/>
      <c r="X7" s="118" t="s">
        <v>43</v>
      </c>
      <c r="Y7" s="118" t="s">
        <v>4</v>
      </c>
      <c r="Z7" s="57"/>
    </row>
    <row r="8" spans="1:26" s="51" customFormat="1" ht="25.5" customHeight="1" x14ac:dyDescent="0.25">
      <c r="A8" s="152"/>
      <c r="B8" s="366" t="s">
        <v>95</v>
      </c>
      <c r="C8" s="366" t="s">
        <v>113</v>
      </c>
      <c r="D8" s="156" t="s">
        <v>61</v>
      </c>
      <c r="E8" s="366" t="s">
        <v>200</v>
      </c>
      <c r="F8" s="152" t="s">
        <v>60</v>
      </c>
      <c r="G8" s="152"/>
      <c r="H8" s="152"/>
      <c r="I8" s="157">
        <f>SUM(I9:I11)</f>
        <v>50268.5</v>
      </c>
      <c r="J8" s="157">
        <f>SUM(J9:J11)</f>
        <v>0</v>
      </c>
      <c r="K8" s="157">
        <f>SUM(K9:K11)</f>
        <v>50268.5</v>
      </c>
      <c r="L8" s="152"/>
      <c r="M8" s="152"/>
      <c r="N8" s="152"/>
      <c r="O8" s="152"/>
      <c r="P8" s="152"/>
      <c r="Q8" s="152"/>
      <c r="R8" s="152"/>
      <c r="S8" s="152"/>
      <c r="T8" s="152"/>
      <c r="U8" s="158"/>
      <c r="V8" s="157">
        <f>SUM(V9:V11)</f>
        <v>0</v>
      </c>
      <c r="W8" s="157">
        <f>SUM(W9:W11)</f>
        <v>8965.6699999999983</v>
      </c>
      <c r="X8" s="157">
        <f>SUM(X9:X11)</f>
        <v>8965.6699999999983</v>
      </c>
      <c r="Y8" s="157" t="e">
        <f>SUM(Y9:Y11)</f>
        <v>#REF!</v>
      </c>
      <c r="Z8" s="63"/>
    </row>
    <row r="9" spans="1:26" s="286" customFormat="1" ht="265.5" customHeight="1" x14ac:dyDescent="0.2">
      <c r="A9" s="252" t="s">
        <v>81</v>
      </c>
      <c r="B9" s="251" t="s">
        <v>265</v>
      </c>
      <c r="C9" s="252" t="s">
        <v>107</v>
      </c>
      <c r="D9" s="253" t="s">
        <v>264</v>
      </c>
      <c r="E9" s="277">
        <v>45566</v>
      </c>
      <c r="F9" s="270" t="s">
        <v>163</v>
      </c>
      <c r="G9" s="271">
        <v>15</v>
      </c>
      <c r="H9" s="287">
        <v>1959.4669999999999</v>
      </c>
      <c r="I9" s="278">
        <v>29392</v>
      </c>
      <c r="J9" s="279">
        <v>0</v>
      </c>
      <c r="K9" s="280">
        <f>SUM(I9:J9)</f>
        <v>29392</v>
      </c>
      <c r="L9" s="281">
        <f>IF(I9/15&lt;=SMG,0,J9/2)</f>
        <v>0</v>
      </c>
      <c r="M9" s="300">
        <f>(I9+L9)/G9*30.4</f>
        <v>59567.786666666667</v>
      </c>
      <c r="N9" s="300">
        <f>VLOOKUP(M9,Tarifa,1)</f>
        <v>49233.01</v>
      </c>
      <c r="O9" s="281">
        <f>M9-N9</f>
        <v>10334.776666666665</v>
      </c>
      <c r="P9" s="282">
        <f>VLOOKUP(M9,Tarifa,3)</f>
        <v>0.3</v>
      </c>
      <c r="Q9" s="281">
        <f>O9*P9</f>
        <v>3100.4329999999995</v>
      </c>
      <c r="R9" s="283">
        <f>VLOOKUP(M9,Tarifa,2)</f>
        <v>9236.89</v>
      </c>
      <c r="S9" s="281">
        <f>Q9+R9</f>
        <v>12337.322999999999</v>
      </c>
      <c r="T9" s="281">
        <f>VLOOKUP(M9,Credito,2)</f>
        <v>0</v>
      </c>
      <c r="U9" s="281">
        <f>ROUND((S9-T9)/30.4*G9,2)</f>
        <v>6087.49</v>
      </c>
      <c r="V9" s="280">
        <f>-IF(U9&gt;0,0,0)</f>
        <v>0</v>
      </c>
      <c r="W9" s="280">
        <f>IF(I9/15&lt;=SMG,0,IF(U9&lt;0,0,U9))</f>
        <v>6087.49</v>
      </c>
      <c r="X9" s="280">
        <f>SUM(W9:W9)</f>
        <v>6087.49</v>
      </c>
      <c r="Y9" s="280">
        <f>K9+V9-X9</f>
        <v>23304.510000000002</v>
      </c>
      <c r="Z9" s="285"/>
    </row>
    <row r="10" spans="1:26" s="286" customFormat="1" ht="265.5" customHeight="1" x14ac:dyDescent="0.2">
      <c r="A10" s="252" t="s">
        <v>82</v>
      </c>
      <c r="B10" s="251" t="s">
        <v>165</v>
      </c>
      <c r="C10" s="252" t="s">
        <v>107</v>
      </c>
      <c r="D10" s="253" t="s">
        <v>166</v>
      </c>
      <c r="E10" s="277">
        <v>45566</v>
      </c>
      <c r="F10" s="270" t="s">
        <v>164</v>
      </c>
      <c r="G10" s="271">
        <v>15</v>
      </c>
      <c r="H10" s="287">
        <v>993.23399999999992</v>
      </c>
      <c r="I10" s="278">
        <v>14898.5</v>
      </c>
      <c r="J10" s="279">
        <v>0</v>
      </c>
      <c r="K10" s="280">
        <f>SUM(I10:J10)</f>
        <v>14898.5</v>
      </c>
      <c r="L10" s="281">
        <f>IF(I10/15&lt;=SMG,0,J10/2)</f>
        <v>0</v>
      </c>
      <c r="M10" s="300">
        <f>(I10+L10)/G10*30.4</f>
        <v>30194.293333333331</v>
      </c>
      <c r="N10" s="300">
        <f>VLOOKUP(M10,Tarifa,1)</f>
        <v>15487.72</v>
      </c>
      <c r="O10" s="281">
        <f>M10-N10</f>
        <v>14706.573333333332</v>
      </c>
      <c r="P10" s="282">
        <f>VLOOKUP(M10,Tarifa,3)</f>
        <v>0.21360000000000001</v>
      </c>
      <c r="Q10" s="281">
        <f>O10*P10</f>
        <v>3141.3240639999999</v>
      </c>
      <c r="R10" s="283">
        <f>VLOOKUP(M10,Tarifa,2)</f>
        <v>1640.18</v>
      </c>
      <c r="S10" s="281">
        <f>Q10+R10</f>
        <v>4781.5040639999997</v>
      </c>
      <c r="T10" s="281">
        <f>VLOOKUP(M10,Credito,2)</f>
        <v>0</v>
      </c>
      <c r="U10" s="281">
        <f>ROUND((S10-T10)/30.4*G10,2)</f>
        <v>2359.29</v>
      </c>
      <c r="V10" s="280">
        <f>-IF(U10&gt;0,0,0)</f>
        <v>0</v>
      </c>
      <c r="W10" s="280">
        <f>IF(I10/15&lt;=SMG,0,IF(U10&lt;0,0,U10))</f>
        <v>2359.29</v>
      </c>
      <c r="X10" s="280">
        <f>SUM(W10:W10)</f>
        <v>2359.29</v>
      </c>
      <c r="Y10" s="280">
        <f>K10+V10-X10</f>
        <v>12539.21</v>
      </c>
      <c r="Z10" s="285"/>
    </row>
    <row r="11" spans="1:26" s="286" customFormat="1" ht="265.5" customHeight="1" x14ac:dyDescent="0.2">
      <c r="A11" s="252"/>
      <c r="B11" s="252" t="s">
        <v>101</v>
      </c>
      <c r="C11" s="251" t="s">
        <v>107</v>
      </c>
      <c r="D11" s="253" t="s">
        <v>64</v>
      </c>
      <c r="E11" s="277">
        <v>40026</v>
      </c>
      <c r="F11" s="254" t="s">
        <v>62</v>
      </c>
      <c r="G11" s="271">
        <v>15</v>
      </c>
      <c r="H11" s="287">
        <v>398.53399999999999</v>
      </c>
      <c r="I11" s="278">
        <v>5978</v>
      </c>
      <c r="J11" s="279">
        <v>0</v>
      </c>
      <c r="K11" s="280">
        <f>SUM(I11:J11)</f>
        <v>5978</v>
      </c>
      <c r="L11" s="281">
        <f>IF(I11/15&lt;=SMG,0,J11/2)</f>
        <v>0</v>
      </c>
      <c r="M11" s="300">
        <f>(I11+L11)/G11*30.4</f>
        <v>12115.413333333334</v>
      </c>
      <c r="N11" s="300">
        <f>VLOOKUP(M11,Tarifa,1)</f>
        <v>11128.02</v>
      </c>
      <c r="O11" s="281">
        <f>M11-N11</f>
        <v>987.39333333333343</v>
      </c>
      <c r="P11" s="282">
        <f>VLOOKUP(M11,Tarifa,3)</f>
        <v>0.16</v>
      </c>
      <c r="Q11" s="281">
        <f>O11*P11</f>
        <v>157.98293333333336</v>
      </c>
      <c r="R11" s="283">
        <f>VLOOKUP(M11,Tarifa,2)</f>
        <v>893.63</v>
      </c>
      <c r="S11" s="281">
        <f>Q11+R11</f>
        <v>1051.6129333333333</v>
      </c>
      <c r="T11" s="281">
        <f>VLOOKUP(M11,Credito,2)</f>
        <v>0</v>
      </c>
      <c r="U11" s="281">
        <f>ROUND((S11-T11)/30.4*G11,2)</f>
        <v>518.89</v>
      </c>
      <c r="V11" s="280">
        <f>-IF(U11&gt;0,0,0)</f>
        <v>0</v>
      </c>
      <c r="W11" s="280">
        <f>IF(I11/15&lt;=SMG,0,IF(U11&lt;0,0,U11))</f>
        <v>518.89</v>
      </c>
      <c r="X11" s="280">
        <f>SUM(W11:W11)</f>
        <v>518.89</v>
      </c>
      <c r="Y11" s="280" t="e">
        <f>K11+V11-X11-#REF!</f>
        <v>#REF!</v>
      </c>
      <c r="Z11" s="285"/>
    </row>
    <row r="12" spans="1:26" s="51" customFormat="1" ht="30.75" customHeight="1" x14ac:dyDescent="0.25">
      <c r="A12" s="129"/>
      <c r="B12" s="366" t="s">
        <v>95</v>
      </c>
      <c r="C12" s="366" t="s">
        <v>113</v>
      </c>
      <c r="D12" s="156" t="s">
        <v>110</v>
      </c>
      <c r="E12" s="366" t="s">
        <v>200</v>
      </c>
      <c r="F12" s="152" t="s">
        <v>60</v>
      </c>
      <c r="G12" s="152"/>
      <c r="H12" s="152"/>
      <c r="I12" s="157">
        <f>I13</f>
        <v>5944.5</v>
      </c>
      <c r="J12" s="157">
        <f>J13</f>
        <v>0</v>
      </c>
      <c r="K12" s="157">
        <f>K13</f>
        <v>5944.5</v>
      </c>
      <c r="L12" s="152"/>
      <c r="M12" s="152"/>
      <c r="N12" s="152"/>
      <c r="O12" s="152"/>
      <c r="P12" s="152"/>
      <c r="Q12" s="152"/>
      <c r="R12" s="159"/>
      <c r="S12" s="152"/>
      <c r="T12" s="152"/>
      <c r="U12" s="158"/>
      <c r="V12" s="157">
        <f>V13</f>
        <v>0</v>
      </c>
      <c r="W12" s="157">
        <f>W13</f>
        <v>513.53</v>
      </c>
      <c r="X12" s="157">
        <f>X13</f>
        <v>513.53</v>
      </c>
      <c r="Y12" s="157">
        <f>Y13</f>
        <v>5430.97</v>
      </c>
      <c r="Z12" s="63"/>
    </row>
    <row r="13" spans="1:26" s="286" customFormat="1" ht="266.25" customHeight="1" x14ac:dyDescent="0.2">
      <c r="A13" s="252" t="s">
        <v>85</v>
      </c>
      <c r="B13" s="252" t="s">
        <v>170</v>
      </c>
      <c r="C13" s="252" t="s">
        <v>235</v>
      </c>
      <c r="D13" s="253" t="s">
        <v>172</v>
      </c>
      <c r="E13" s="277">
        <v>44470</v>
      </c>
      <c r="F13" s="270" t="s">
        <v>191</v>
      </c>
      <c r="G13" s="271">
        <v>15</v>
      </c>
      <c r="H13" s="287">
        <v>396.3</v>
      </c>
      <c r="I13" s="278">
        <v>5944.5</v>
      </c>
      <c r="J13" s="279">
        <v>0</v>
      </c>
      <c r="K13" s="280">
        <f>SUM(I13:J13)</f>
        <v>5944.5</v>
      </c>
      <c r="L13" s="281">
        <f>IF(I13/15&lt;=SMG,0,J13/2)</f>
        <v>0</v>
      </c>
      <c r="M13" s="300">
        <f>(I13+L13)/G13*30.4</f>
        <v>12047.52</v>
      </c>
      <c r="N13" s="300">
        <f>VLOOKUP(M13,Tarifa,1)</f>
        <v>11128.02</v>
      </c>
      <c r="O13" s="281">
        <f>M13-N13</f>
        <v>919.5</v>
      </c>
      <c r="P13" s="282">
        <f>VLOOKUP(M13,Tarifa,3)</f>
        <v>0.16</v>
      </c>
      <c r="Q13" s="281">
        <f>O13*P13</f>
        <v>147.12</v>
      </c>
      <c r="R13" s="283">
        <f>VLOOKUP(M13,Tarifa,2)</f>
        <v>893.63</v>
      </c>
      <c r="S13" s="281">
        <f>Q13+R13</f>
        <v>1040.75</v>
      </c>
      <c r="T13" s="281">
        <f>VLOOKUP(M13,Credito,2)</f>
        <v>0</v>
      </c>
      <c r="U13" s="281">
        <f>ROUND((S13-T13)/30.4*G13,2)</f>
        <v>513.53</v>
      </c>
      <c r="V13" s="280">
        <f>-IF(U13&gt;0,0,0)</f>
        <v>0</v>
      </c>
      <c r="W13" s="280">
        <f>IF(I13/15&lt;=SMG,0,IF(U13&lt;0,0,U13))</f>
        <v>513.53</v>
      </c>
      <c r="X13" s="280">
        <f>SUM(W13:W13)</f>
        <v>513.53</v>
      </c>
      <c r="Y13" s="280">
        <f>K13+V13-X13</f>
        <v>5430.97</v>
      </c>
      <c r="Z13" s="285"/>
    </row>
    <row r="14" spans="1:26" s="286" customFormat="1" ht="23.25" customHeight="1" x14ac:dyDescent="0.2">
      <c r="A14" s="373"/>
      <c r="B14" s="353"/>
      <c r="C14" s="353"/>
      <c r="D14" s="368"/>
      <c r="E14" s="374"/>
      <c r="F14" s="375"/>
      <c r="G14" s="376"/>
      <c r="H14" s="377"/>
      <c r="I14" s="378"/>
      <c r="J14" s="379"/>
      <c r="K14" s="380"/>
      <c r="L14" s="369"/>
      <c r="M14" s="370"/>
      <c r="N14" s="370"/>
      <c r="O14" s="369"/>
      <c r="P14" s="371"/>
      <c r="Q14" s="369"/>
      <c r="R14" s="372"/>
      <c r="S14" s="369"/>
      <c r="T14" s="369"/>
      <c r="U14" s="369"/>
      <c r="V14" s="380"/>
      <c r="W14" s="380"/>
      <c r="X14" s="380"/>
      <c r="Y14" s="380"/>
    </row>
    <row r="15" spans="1:26" s="286" customFormat="1" ht="23.25" customHeight="1" x14ac:dyDescent="0.2">
      <c r="A15" s="373"/>
      <c r="B15" s="353"/>
      <c r="C15" s="353"/>
      <c r="D15" s="368"/>
      <c r="E15" s="374"/>
      <c r="F15" s="375"/>
      <c r="G15" s="376"/>
      <c r="H15" s="377"/>
      <c r="I15" s="378"/>
      <c r="J15" s="379"/>
      <c r="K15" s="380"/>
      <c r="L15" s="369"/>
      <c r="M15" s="370"/>
      <c r="N15" s="370"/>
      <c r="O15" s="369"/>
      <c r="P15" s="371"/>
      <c r="Q15" s="369"/>
      <c r="R15" s="372"/>
      <c r="S15" s="369"/>
      <c r="T15" s="369"/>
      <c r="U15" s="369"/>
      <c r="V15" s="380"/>
      <c r="W15" s="380"/>
      <c r="X15" s="380"/>
      <c r="Y15" s="380"/>
    </row>
    <row r="16" spans="1:26" s="286" customFormat="1" ht="23.25" customHeight="1" x14ac:dyDescent="0.2">
      <c r="A16" s="373"/>
      <c r="B16" s="353"/>
      <c r="C16" s="353"/>
      <c r="D16" s="368"/>
      <c r="E16" s="374"/>
      <c r="F16" s="375"/>
      <c r="G16" s="376"/>
      <c r="H16" s="377"/>
      <c r="I16" s="378"/>
      <c r="J16" s="379"/>
      <c r="K16" s="380"/>
      <c r="L16" s="369"/>
      <c r="M16" s="370"/>
      <c r="N16" s="370"/>
      <c r="O16" s="369"/>
      <c r="P16" s="371"/>
      <c r="Q16" s="369"/>
      <c r="R16" s="372"/>
      <c r="S16" s="369"/>
      <c r="T16" s="369"/>
      <c r="U16" s="369"/>
      <c r="V16" s="380"/>
      <c r="W16" s="380"/>
      <c r="X16" s="380"/>
      <c r="Y16" s="380"/>
    </row>
    <row r="17" spans="1:26" s="286" customFormat="1" ht="23.25" customHeight="1" x14ac:dyDescent="0.2">
      <c r="A17" s="373"/>
      <c r="B17" s="353"/>
      <c r="C17" s="353"/>
      <c r="D17" s="368"/>
      <c r="E17" s="374"/>
      <c r="F17" s="375"/>
      <c r="G17" s="376"/>
      <c r="H17" s="377"/>
      <c r="I17" s="378"/>
      <c r="J17" s="379"/>
      <c r="K17" s="380"/>
      <c r="L17" s="369"/>
      <c r="M17" s="370"/>
      <c r="N17" s="370"/>
      <c r="O17" s="369"/>
      <c r="P17" s="371"/>
      <c r="Q17" s="369"/>
      <c r="R17" s="372"/>
      <c r="S17" s="369"/>
      <c r="T17" s="369"/>
      <c r="U17" s="369"/>
      <c r="V17" s="380"/>
      <c r="W17" s="380"/>
      <c r="X17" s="380"/>
      <c r="Y17" s="380"/>
    </row>
    <row r="18" spans="1:26" s="51" customFormat="1" ht="36.75" customHeight="1" x14ac:dyDescent="0.25">
      <c r="A18" s="129"/>
      <c r="B18" s="367" t="s">
        <v>95</v>
      </c>
      <c r="C18" s="367" t="s">
        <v>113</v>
      </c>
      <c r="D18" s="171" t="s">
        <v>111</v>
      </c>
      <c r="E18" s="367" t="s">
        <v>200</v>
      </c>
      <c r="F18" s="171" t="s">
        <v>60</v>
      </c>
      <c r="G18" s="171"/>
      <c r="H18" s="171"/>
      <c r="I18" s="172">
        <f>SUM(I19:I20)</f>
        <v>16971.03</v>
      </c>
      <c r="J18" s="172">
        <f>SUM(J19:J20)</f>
        <v>0</v>
      </c>
      <c r="K18" s="172">
        <f>SUM(K19:K20)</f>
        <v>16971.03</v>
      </c>
      <c r="L18" s="171"/>
      <c r="M18" s="171"/>
      <c r="N18" s="171"/>
      <c r="O18" s="171"/>
      <c r="P18" s="171"/>
      <c r="Q18" s="171"/>
      <c r="R18" s="174"/>
      <c r="S18" s="171"/>
      <c r="T18" s="171"/>
      <c r="U18" s="171"/>
      <c r="V18" s="172">
        <f>SUM(V19:V20)</f>
        <v>0</v>
      </c>
      <c r="W18" s="172">
        <f>SUM(W19:W20)</f>
        <v>2060.5100000000002</v>
      </c>
      <c r="X18" s="172">
        <f>SUM(X19:X20)</f>
        <v>2060.5100000000002</v>
      </c>
      <c r="Y18" s="172">
        <f>SUM(Y19:Y20)</f>
        <v>14910.52</v>
      </c>
      <c r="Z18" s="381"/>
    </row>
    <row r="19" spans="1:26" s="286" customFormat="1" ht="207.75" customHeight="1" x14ac:dyDescent="0.2">
      <c r="A19" s="252" t="s">
        <v>86</v>
      </c>
      <c r="B19" s="251" t="s">
        <v>135</v>
      </c>
      <c r="C19" s="252" t="s">
        <v>107</v>
      </c>
      <c r="D19" s="253" t="s">
        <v>125</v>
      </c>
      <c r="E19" s="277">
        <v>43374</v>
      </c>
      <c r="F19" s="270" t="s">
        <v>80</v>
      </c>
      <c r="G19" s="271">
        <v>15</v>
      </c>
      <c r="H19" s="287">
        <v>753.43399999999997</v>
      </c>
      <c r="I19" s="278">
        <v>11301.5</v>
      </c>
      <c r="J19" s="279">
        <v>0</v>
      </c>
      <c r="K19" s="280">
        <f>I19</f>
        <v>11301.5</v>
      </c>
      <c r="L19" s="281">
        <f>IF(I19/15&lt;=SMG,0,J19/2)</f>
        <v>0</v>
      </c>
      <c r="M19" s="300">
        <f>(I19+L19)/G19*30.4</f>
        <v>22904.373333333329</v>
      </c>
      <c r="N19" s="300">
        <f>VLOOKUP(M19,Tarifa,1)</f>
        <v>15487.72</v>
      </c>
      <c r="O19" s="281">
        <f>M19-N19</f>
        <v>7416.65333333333</v>
      </c>
      <c r="P19" s="282">
        <f>VLOOKUP(M19,Tarifa,3)</f>
        <v>0.21360000000000001</v>
      </c>
      <c r="Q19" s="281">
        <f>O19*P19</f>
        <v>1584.1971519999993</v>
      </c>
      <c r="R19" s="283">
        <f>VLOOKUP(M19,Tarifa,2)</f>
        <v>1640.18</v>
      </c>
      <c r="S19" s="281">
        <f>Q19+R19</f>
        <v>3224.3771519999991</v>
      </c>
      <c r="T19" s="281">
        <f>VLOOKUP(M19,Credito,2)</f>
        <v>0</v>
      </c>
      <c r="U19" s="281">
        <f>ROUND((S19-T19)/30.4*G19,2)</f>
        <v>1590.98</v>
      </c>
      <c r="V19" s="280">
        <f>-IF(U19&gt;0,0,0)</f>
        <v>0</v>
      </c>
      <c r="W19" s="280">
        <f>IF(I19/15&lt;=SMG,0,IF(U19&lt;0,0,U19))</f>
        <v>1590.98</v>
      </c>
      <c r="X19" s="280">
        <f>SUM(W19:W19)</f>
        <v>1590.98</v>
      </c>
      <c r="Y19" s="280">
        <f>K19+V19-X19</f>
        <v>9710.52</v>
      </c>
      <c r="Z19" s="285"/>
    </row>
    <row r="20" spans="1:26" s="286" customFormat="1" ht="207.75" customHeight="1" x14ac:dyDescent="0.2">
      <c r="A20" s="288"/>
      <c r="B20" s="289" t="s">
        <v>201</v>
      </c>
      <c r="C20" s="290" t="s">
        <v>107</v>
      </c>
      <c r="D20" s="291" t="s">
        <v>202</v>
      </c>
      <c r="E20" s="292">
        <v>44991</v>
      </c>
      <c r="F20" s="293" t="s">
        <v>62</v>
      </c>
      <c r="G20" s="294">
        <v>15</v>
      </c>
      <c r="H20" s="287">
        <v>362.4</v>
      </c>
      <c r="I20" s="278">
        <v>5669.53</v>
      </c>
      <c r="J20" s="279">
        <v>0</v>
      </c>
      <c r="K20" s="280">
        <f>SUM(I20:J20)</f>
        <v>5669.53</v>
      </c>
      <c r="L20" s="281">
        <f>IF(I20/15&lt;=SMG,0,J20/2)</f>
        <v>0</v>
      </c>
      <c r="M20" s="300">
        <f>(I20+L20)/G20*30.4</f>
        <v>11490.247466666666</v>
      </c>
      <c r="N20" s="300">
        <f>VLOOKUP(M20,Tarifa,1)</f>
        <v>11128.02</v>
      </c>
      <c r="O20" s="281">
        <f>M20-N20</f>
        <v>362.22746666666535</v>
      </c>
      <c r="P20" s="282">
        <f>VLOOKUP(M20,Tarifa,3)</f>
        <v>0.16</v>
      </c>
      <c r="Q20" s="281">
        <f>O20*P20</f>
        <v>57.956394666666455</v>
      </c>
      <c r="R20" s="283">
        <f>VLOOKUP(M20,Tarifa,2)</f>
        <v>893.63</v>
      </c>
      <c r="S20" s="281">
        <f>Q20+R20</f>
        <v>951.58639466666648</v>
      </c>
      <c r="T20" s="281">
        <f>VLOOKUP(M20,Credito,2)</f>
        <v>0</v>
      </c>
      <c r="U20" s="281">
        <f>ROUND((S20-T20)/30.4*G20,2)</f>
        <v>469.53</v>
      </c>
      <c r="V20" s="280">
        <f>-IF(U20&gt;0,0,0)</f>
        <v>0</v>
      </c>
      <c r="W20" s="280">
        <f>IF(I20/15&lt;=SMG,0,IF(U20&lt;0,0,U20))</f>
        <v>469.53</v>
      </c>
      <c r="X20" s="280">
        <f>SUM(W20:W20)</f>
        <v>469.53</v>
      </c>
      <c r="Y20" s="280">
        <f>K20+V20-X20</f>
        <v>5200</v>
      </c>
      <c r="Z20" s="295"/>
    </row>
    <row r="21" spans="1:26" s="286" customFormat="1" ht="57.75" customHeight="1" x14ac:dyDescent="0.25">
      <c r="A21" s="288"/>
      <c r="B21" s="367" t="s">
        <v>95</v>
      </c>
      <c r="C21" s="367" t="s">
        <v>113</v>
      </c>
      <c r="D21" s="141" t="s">
        <v>354</v>
      </c>
      <c r="E21" s="367" t="s">
        <v>200</v>
      </c>
      <c r="F21" s="171" t="s">
        <v>60</v>
      </c>
      <c r="G21" s="171"/>
      <c r="H21" s="152"/>
      <c r="I21" s="157">
        <f>SUM(I22:I22)</f>
        <v>6693</v>
      </c>
      <c r="J21" s="157">
        <f>SUM(J22:J22)</f>
        <v>0</v>
      </c>
      <c r="K21" s="157">
        <f>SUM(K22:K22)</f>
        <v>6693</v>
      </c>
      <c r="L21" s="152"/>
      <c r="M21" s="152"/>
      <c r="N21" s="152"/>
      <c r="O21" s="152"/>
      <c r="P21" s="152"/>
      <c r="Q21" s="152"/>
      <c r="R21" s="159"/>
      <c r="S21" s="152"/>
      <c r="T21" s="152"/>
      <c r="U21" s="158"/>
      <c r="V21" s="157">
        <f>SUM(V22:V22)</f>
        <v>0</v>
      </c>
      <c r="W21" s="157">
        <f>SUM(W22:W22)</f>
        <v>639.24</v>
      </c>
      <c r="X21" s="157">
        <f>SUM(X22:X22)</f>
        <v>639.24</v>
      </c>
      <c r="Y21" s="157">
        <f>SUM(Y22:Y22)</f>
        <v>6053.76</v>
      </c>
      <c r="Z21" s="63"/>
    </row>
    <row r="22" spans="1:26" s="286" customFormat="1" ht="207.75" customHeight="1" x14ac:dyDescent="0.2">
      <c r="A22" s="288"/>
      <c r="B22" s="252" t="s">
        <v>358</v>
      </c>
      <c r="C22" s="252" t="s">
        <v>310</v>
      </c>
      <c r="D22" s="274" t="s">
        <v>355</v>
      </c>
      <c r="E22" s="277">
        <v>45673</v>
      </c>
      <c r="F22" s="296" t="s">
        <v>356</v>
      </c>
      <c r="G22" s="297">
        <v>15</v>
      </c>
      <c r="H22" s="287">
        <v>208.86700000000002</v>
      </c>
      <c r="I22" s="278">
        <v>6693</v>
      </c>
      <c r="J22" s="279">
        <v>0</v>
      </c>
      <c r="K22" s="280">
        <f>I22</f>
        <v>6693</v>
      </c>
      <c r="L22" s="281">
        <f>IF(I22/15&lt;=SMG,0,J22/2)</f>
        <v>0</v>
      </c>
      <c r="M22" s="300">
        <f>(I22+L22)/G22*30.4</f>
        <v>13564.48</v>
      </c>
      <c r="N22" s="300">
        <f>VLOOKUP(M22,Tarifa,1)</f>
        <v>12935.83</v>
      </c>
      <c r="O22" s="281">
        <f>M22-N22</f>
        <v>628.64999999999964</v>
      </c>
      <c r="P22" s="282">
        <f>VLOOKUP(M22,Tarifa,3)</f>
        <v>0.1792</v>
      </c>
      <c r="Q22" s="281">
        <f>O22*P22</f>
        <v>112.65407999999994</v>
      </c>
      <c r="R22" s="283">
        <f>VLOOKUP(M22,Tarifa,2)</f>
        <v>1182.8800000000001</v>
      </c>
      <c r="S22" s="281">
        <f>Q22+R22</f>
        <v>1295.5340800000001</v>
      </c>
      <c r="T22" s="281">
        <f>VLOOKUP(M22,Credito,2)</f>
        <v>0</v>
      </c>
      <c r="U22" s="281">
        <f>ROUND((S22-T22)/30.4*G22,2)</f>
        <v>639.24</v>
      </c>
      <c r="V22" s="280">
        <f>-IF(U22&gt;0,0,0)</f>
        <v>0</v>
      </c>
      <c r="W22" s="280">
        <f>IF(I22/15&lt;=SMG,0,IF(U22&lt;0,0,U22))</f>
        <v>639.24</v>
      </c>
      <c r="X22" s="280">
        <f>SUM(W22:W22)</f>
        <v>639.24</v>
      </c>
      <c r="Y22" s="280">
        <f>K22+V22-X22</f>
        <v>6053.76</v>
      </c>
      <c r="Z22" s="299"/>
    </row>
    <row r="23" spans="1:26" s="51" customFormat="1" ht="31.5" customHeight="1" x14ac:dyDescent="0.25">
      <c r="A23" s="179"/>
      <c r="B23" s="367" t="s">
        <v>95</v>
      </c>
      <c r="C23" s="367" t="s">
        <v>113</v>
      </c>
      <c r="D23" s="141" t="s">
        <v>250</v>
      </c>
      <c r="E23" s="367" t="s">
        <v>200</v>
      </c>
      <c r="F23" s="171" t="s">
        <v>60</v>
      </c>
      <c r="G23" s="171"/>
      <c r="H23" s="152"/>
      <c r="I23" s="157">
        <f>SUM(I24:I24)</f>
        <v>3133</v>
      </c>
      <c r="J23" s="157">
        <f>SUM(J24:J24)</f>
        <v>0</v>
      </c>
      <c r="K23" s="157">
        <f>SUM(K24:K24)</f>
        <v>3133</v>
      </c>
      <c r="L23" s="152"/>
      <c r="M23" s="152"/>
      <c r="N23" s="152"/>
      <c r="O23" s="152"/>
      <c r="P23" s="152"/>
      <c r="Q23" s="152"/>
      <c r="R23" s="159"/>
      <c r="S23" s="152"/>
      <c r="T23" s="152"/>
      <c r="U23" s="158"/>
      <c r="V23" s="157">
        <f>SUM(V24:V24)</f>
        <v>0</v>
      </c>
      <c r="W23" s="157">
        <f>SUM(W24:W24)</f>
        <v>0</v>
      </c>
      <c r="X23" s="157">
        <f>SUM(X24:X24)</f>
        <v>0</v>
      </c>
      <c r="Y23" s="157">
        <f>SUM(Y24:Y24)</f>
        <v>3133</v>
      </c>
      <c r="Z23" s="63"/>
    </row>
    <row r="24" spans="1:26" s="286" customFormat="1" ht="209.25" customHeight="1" x14ac:dyDescent="0.2">
      <c r="A24" s="288"/>
      <c r="B24" s="252" t="s">
        <v>266</v>
      </c>
      <c r="C24" s="252" t="s">
        <v>107</v>
      </c>
      <c r="D24" s="274" t="s">
        <v>267</v>
      </c>
      <c r="E24" s="277">
        <v>45566</v>
      </c>
      <c r="F24" s="296" t="s">
        <v>251</v>
      </c>
      <c r="G24" s="297">
        <v>15</v>
      </c>
      <c r="H24" s="287">
        <v>208.86700000000002</v>
      </c>
      <c r="I24" s="278">
        <v>3133</v>
      </c>
      <c r="J24" s="279">
        <v>0</v>
      </c>
      <c r="K24" s="280">
        <f t="shared" ref="K24" si="0">SUM(I24:J24)</f>
        <v>3133</v>
      </c>
      <c r="L24" s="281">
        <f>IF(I24/15&lt;=SMG,0,J24/2)</f>
        <v>0</v>
      </c>
      <c r="M24" s="300">
        <f>(I24+L24)/G24*30.4</f>
        <v>6349.5466666666662</v>
      </c>
      <c r="N24" s="300">
        <f>VLOOKUP(M24,Tarifa,1)</f>
        <v>6332.06</v>
      </c>
      <c r="O24" s="281">
        <f>M24-N24</f>
        <v>17.486666666665769</v>
      </c>
      <c r="P24" s="282">
        <f>VLOOKUP(M24,Tarifa,3)</f>
        <v>0.10879999999999999</v>
      </c>
      <c r="Q24" s="281">
        <f>O24*P24</f>
        <v>1.9025493333332355</v>
      </c>
      <c r="R24" s="283">
        <f>VLOOKUP(M24,Tarifa,2)</f>
        <v>371.83</v>
      </c>
      <c r="S24" s="281">
        <f>Q24+R24</f>
        <v>373.73254933333322</v>
      </c>
      <c r="T24" s="281">
        <f>VLOOKUP(M24,Credito,2)</f>
        <v>475</v>
      </c>
      <c r="U24" s="281">
        <f>ROUND((S24-T24)/30.4*G24,2)</f>
        <v>-49.97</v>
      </c>
      <c r="V24" s="280">
        <v>0</v>
      </c>
      <c r="W24" s="298">
        <f>IF(I24/15&lt;=SMG,0,IF(U24&lt;0,0,U24))</f>
        <v>0</v>
      </c>
      <c r="X24" s="280">
        <f>SUM(W24:W24)</f>
        <v>0</v>
      </c>
      <c r="Y24" s="298">
        <f>K24+V24-X24</f>
        <v>3133</v>
      </c>
      <c r="Z24" s="299"/>
    </row>
    <row r="25" spans="1:26" s="51" customFormat="1" ht="21.75" customHeight="1" x14ac:dyDescent="0.25">
      <c r="A25" s="161"/>
      <c r="B25" s="162"/>
      <c r="C25" s="162"/>
      <c r="D25" s="163"/>
      <c r="E25" s="163"/>
      <c r="F25" s="163"/>
      <c r="G25" s="140"/>
      <c r="H25" s="164"/>
      <c r="I25" s="165"/>
      <c r="J25" s="166"/>
      <c r="K25" s="167"/>
      <c r="L25" s="168"/>
      <c r="M25" s="168"/>
      <c r="N25" s="168"/>
      <c r="O25" s="168"/>
      <c r="P25" s="169"/>
      <c r="Q25" s="168"/>
      <c r="R25" s="168"/>
      <c r="S25" s="168"/>
      <c r="T25" s="168"/>
      <c r="U25" s="168"/>
      <c r="V25" s="167"/>
      <c r="W25" s="167"/>
      <c r="X25" s="167"/>
      <c r="Y25" s="167"/>
      <c r="Z25" s="58"/>
    </row>
    <row r="26" spans="1:26" s="51" customFormat="1" ht="41.25" customHeight="1" thickBot="1" x14ac:dyDescent="0.3">
      <c r="A26" s="415" t="s">
        <v>44</v>
      </c>
      <c r="B26" s="416"/>
      <c r="C26" s="416"/>
      <c r="D26" s="416"/>
      <c r="E26" s="416"/>
      <c r="F26" s="416"/>
      <c r="G26" s="416"/>
      <c r="H26" s="417"/>
      <c r="I26" s="130">
        <f>I8+I12+I18+I23+I21</f>
        <v>83010.03</v>
      </c>
      <c r="J26" s="130">
        <f>J8+J12+J18+J23+J21</f>
        <v>0</v>
      </c>
      <c r="K26" s="130">
        <f>K8+K12+K18+K23+K21</f>
        <v>83010.03</v>
      </c>
      <c r="L26" s="131">
        <f>SUM(L9:L24)</f>
        <v>0</v>
      </c>
      <c r="M26" s="131">
        <f t="shared" ref="M26:U26" si="1">SUM(M9:M24)</f>
        <v>168233.66079999998</v>
      </c>
      <c r="N26" s="131">
        <f t="shared" si="1"/>
        <v>132860.40000000002</v>
      </c>
      <c r="O26" s="131">
        <f t="shared" si="1"/>
        <v>35373.260799999989</v>
      </c>
      <c r="P26" s="131">
        <f t="shared" si="1"/>
        <v>1.4952000000000001</v>
      </c>
      <c r="Q26" s="131">
        <f t="shared" si="1"/>
        <v>8303.5701733333317</v>
      </c>
      <c r="R26" s="131">
        <f t="shared" si="1"/>
        <v>16752.849999999999</v>
      </c>
      <c r="S26" s="131">
        <f t="shared" si="1"/>
        <v>25056.420173333328</v>
      </c>
      <c r="T26" s="131">
        <f t="shared" si="1"/>
        <v>475</v>
      </c>
      <c r="U26" s="131">
        <f t="shared" si="1"/>
        <v>12128.98</v>
      </c>
      <c r="V26" s="130">
        <f>V8+V12+V18+V23+V21</f>
        <v>0</v>
      </c>
      <c r="W26" s="130">
        <f>W8+W12+W18+W23+W21</f>
        <v>12178.949999999999</v>
      </c>
      <c r="X26" s="130">
        <f>X8+X12+X18+X23+X21</f>
        <v>12178.949999999999</v>
      </c>
      <c r="Y26" s="130" t="e">
        <f>Y8+Y12+Y18+Y23+Y21</f>
        <v>#REF!</v>
      </c>
    </row>
    <row r="27" spans="1:26" s="51" customFormat="1" ht="12" customHeight="1" thickTop="1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</row>
  </sheetData>
  <mergeCells count="7">
    <mergeCell ref="A26:H26"/>
    <mergeCell ref="A1:Z1"/>
    <mergeCell ref="A2:Z2"/>
    <mergeCell ref="A3:Z3"/>
    <mergeCell ref="I5:K5"/>
    <mergeCell ref="N5:S5"/>
    <mergeCell ref="W5:X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26"/>
  <sheetViews>
    <sheetView topLeftCell="B19" zoomScale="75" zoomScaleNormal="75" workbookViewId="0">
      <selection activeCell="B26" sqref="A26:XFD3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6.42578125" customWidth="1"/>
    <col min="26" max="26" width="58.7109375" customWidth="1"/>
  </cols>
  <sheetData>
    <row r="1" spans="1:27" ht="18" x14ac:dyDescent="0.25">
      <c r="A1" s="428" t="s">
        <v>76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</row>
    <row r="2" spans="1:27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7" ht="19.5" x14ac:dyDescent="0.25">
      <c r="A3" s="142" t="s">
        <v>231</v>
      </c>
      <c r="B3" s="419" t="str">
        <f>PRESIDENCIA!A3</f>
        <v>SUELDO  DEL 01 AL 15 DE MAYO DE 2025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162</v>
      </c>
      <c r="I5" s="429" t="s">
        <v>1</v>
      </c>
      <c r="J5" s="430"/>
      <c r="K5" s="431"/>
      <c r="L5" s="24" t="s">
        <v>25</v>
      </c>
      <c r="M5" s="25"/>
      <c r="N5" s="432" t="s">
        <v>8</v>
      </c>
      <c r="O5" s="433"/>
      <c r="P5" s="433"/>
      <c r="Q5" s="433"/>
      <c r="R5" s="433"/>
      <c r="S5" s="434"/>
      <c r="T5" s="24" t="s">
        <v>29</v>
      </c>
      <c r="U5" s="24" t="s">
        <v>9</v>
      </c>
      <c r="V5" s="23" t="s">
        <v>52</v>
      </c>
      <c r="W5" s="435" t="s">
        <v>2</v>
      </c>
      <c r="X5" s="436"/>
      <c r="Y5" s="23" t="s">
        <v>0</v>
      </c>
      <c r="Z5" s="33"/>
    </row>
    <row r="6" spans="1:27" ht="22.5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51" t="s">
        <v>194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58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 t="s">
        <v>43</v>
      </c>
      <c r="Y7" s="26" t="s">
        <v>4</v>
      </c>
      <c r="Z7" s="34"/>
    </row>
    <row r="8" spans="1:27" ht="56.25" customHeight="1" x14ac:dyDescent="0.25">
      <c r="A8" s="400"/>
      <c r="B8" s="141" t="s">
        <v>95</v>
      </c>
      <c r="C8" s="141" t="s">
        <v>113</v>
      </c>
      <c r="D8" s="170" t="s">
        <v>312</v>
      </c>
      <c r="E8" s="141" t="s">
        <v>200</v>
      </c>
      <c r="F8" s="152" t="s">
        <v>60</v>
      </c>
      <c r="G8" s="171"/>
      <c r="H8" s="37"/>
      <c r="I8" s="172">
        <f>I9</f>
        <v>12305.41</v>
      </c>
      <c r="J8" s="172">
        <f>J9</f>
        <v>0</v>
      </c>
      <c r="K8" s="172">
        <f>K9</f>
        <v>12305.41</v>
      </c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2">
        <f>V9</f>
        <v>0</v>
      </c>
      <c r="W8" s="172">
        <f>W9</f>
        <v>1805.41</v>
      </c>
      <c r="X8" s="172">
        <f>X9</f>
        <v>1805.41</v>
      </c>
      <c r="Y8" s="172">
        <f>Y9</f>
        <v>10500</v>
      </c>
      <c r="Z8" s="173"/>
    </row>
    <row r="9" spans="1:27" ht="167.25" customHeight="1" x14ac:dyDescent="0.2">
      <c r="A9" s="400"/>
      <c r="B9" s="273" t="s">
        <v>321</v>
      </c>
      <c r="C9" s="267" t="s">
        <v>107</v>
      </c>
      <c r="D9" s="253" t="s">
        <v>322</v>
      </c>
      <c r="E9" s="255">
        <v>45601</v>
      </c>
      <c r="F9" s="256" t="s">
        <v>374</v>
      </c>
      <c r="G9" s="257">
        <v>15</v>
      </c>
      <c r="H9" s="258">
        <f>I9/G9</f>
        <v>820.3606666666667</v>
      </c>
      <c r="I9" s="259">
        <v>12305.41</v>
      </c>
      <c r="J9" s="260">
        <v>0</v>
      </c>
      <c r="K9" s="261">
        <f>SUM(I9:J9)</f>
        <v>12305.41</v>
      </c>
      <c r="L9" s="281">
        <f t="shared" ref="L9" si="0">IF(I9/15&lt;=SMG,0,J9/2)</f>
        <v>0</v>
      </c>
      <c r="M9" s="300">
        <f t="shared" ref="M9" si="1">(I9+L9)/G9*30.4</f>
        <v>24938.964266666666</v>
      </c>
      <c r="N9" s="300">
        <f t="shared" ref="N9" si="2">VLOOKUP(M9,Tarifa,1)</f>
        <v>15487.72</v>
      </c>
      <c r="O9" s="281">
        <f t="shared" ref="O9" si="3">M9-N9</f>
        <v>9451.2442666666666</v>
      </c>
      <c r="P9" s="282">
        <f t="shared" ref="P9" si="4">VLOOKUP(M9,Tarifa,3)</f>
        <v>0.21360000000000001</v>
      </c>
      <c r="Q9" s="281">
        <f t="shared" ref="Q9" si="5">O9*P9</f>
        <v>2018.7857753600001</v>
      </c>
      <c r="R9" s="283">
        <f t="shared" ref="R9" si="6">VLOOKUP(M9,Tarifa,2)</f>
        <v>1640.18</v>
      </c>
      <c r="S9" s="281">
        <f t="shared" ref="S9" si="7">Q9+R9</f>
        <v>3658.9657753600004</v>
      </c>
      <c r="T9" s="281">
        <f t="shared" ref="T9" si="8">VLOOKUP(M9,Credito,2)</f>
        <v>0</v>
      </c>
      <c r="U9" s="281">
        <f t="shared" ref="U9" si="9">ROUND((S9-T9)/30.4*G9,2)</f>
        <v>1805.41</v>
      </c>
      <c r="V9" s="261">
        <f>-IF(U9&gt;0,0,0)</f>
        <v>0</v>
      </c>
      <c r="W9" s="261">
        <f t="shared" ref="W9" si="10">IF(I9/15&lt;=SMG,0,IF(U9&lt;0,0,U9))</f>
        <v>1805.41</v>
      </c>
      <c r="X9" s="261">
        <f>SUM(W9:W9)</f>
        <v>1805.41</v>
      </c>
      <c r="Y9" s="261">
        <f>K9+V9-X9</f>
        <v>10500</v>
      </c>
      <c r="Z9" s="262"/>
    </row>
    <row r="10" spans="1:27" ht="56.25" customHeight="1" x14ac:dyDescent="0.25">
      <c r="A10" s="132"/>
      <c r="B10" s="141" t="s">
        <v>95</v>
      </c>
      <c r="C10" s="141" t="s">
        <v>113</v>
      </c>
      <c r="D10" s="170" t="s">
        <v>312</v>
      </c>
      <c r="E10" s="160"/>
      <c r="F10" s="152" t="s">
        <v>60</v>
      </c>
      <c r="G10" s="171"/>
      <c r="H10" s="37"/>
      <c r="I10" s="172">
        <f>I11</f>
        <v>8299</v>
      </c>
      <c r="J10" s="172">
        <f>J11</f>
        <v>0</v>
      </c>
      <c r="K10" s="172">
        <f>K11</f>
        <v>8299</v>
      </c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2">
        <f>V11</f>
        <v>0</v>
      </c>
      <c r="W10" s="172">
        <f>W11</f>
        <v>949.64</v>
      </c>
      <c r="X10" s="172">
        <f>X11</f>
        <v>949.64</v>
      </c>
      <c r="Y10" s="172">
        <f>Y11</f>
        <v>7349.36</v>
      </c>
      <c r="Z10" s="173"/>
    </row>
    <row r="11" spans="1:27" s="304" customFormat="1" ht="166.5" customHeight="1" x14ac:dyDescent="0.2">
      <c r="A11" s="301"/>
      <c r="B11" s="251" t="s">
        <v>319</v>
      </c>
      <c r="C11" s="252" t="s">
        <v>107</v>
      </c>
      <c r="D11" s="253" t="s">
        <v>330</v>
      </c>
      <c r="E11" s="277">
        <v>45581</v>
      </c>
      <c r="F11" s="270" t="s">
        <v>313</v>
      </c>
      <c r="G11" s="271">
        <v>15</v>
      </c>
      <c r="H11" s="303">
        <f>ROUND(I11/G11,2)</f>
        <v>553.27</v>
      </c>
      <c r="I11" s="278">
        <v>8299</v>
      </c>
      <c r="J11" s="279">
        <v>0</v>
      </c>
      <c r="K11" s="280">
        <f t="shared" ref="K11" si="11">SUM(I11:J11)</f>
        <v>8299</v>
      </c>
      <c r="L11" s="281">
        <f>IF(I11/15&lt;=SMG,0,J11/2)</f>
        <v>0</v>
      </c>
      <c r="M11" s="300">
        <f>(I11+L11)/G11*30.4</f>
        <v>16819.306666666664</v>
      </c>
      <c r="N11" s="300">
        <f>VLOOKUP(M11,Tarifa,1)</f>
        <v>15487.72</v>
      </c>
      <c r="O11" s="281">
        <f>M11-N11</f>
        <v>1331.5866666666643</v>
      </c>
      <c r="P11" s="282">
        <f>VLOOKUP(M11,Tarifa,3)</f>
        <v>0.21360000000000001</v>
      </c>
      <c r="Q11" s="281">
        <f>O11*P11</f>
        <v>284.4269119999995</v>
      </c>
      <c r="R11" s="283">
        <f>VLOOKUP(M11,Tarifa,2)</f>
        <v>1640.18</v>
      </c>
      <c r="S11" s="281">
        <f>Q11+R11</f>
        <v>1924.6069119999995</v>
      </c>
      <c r="T11" s="281">
        <f>VLOOKUP(M11,Credito,2)</f>
        <v>0</v>
      </c>
      <c r="U11" s="281">
        <f>ROUND((S11-T11)/30.4*G11,2)</f>
        <v>949.64</v>
      </c>
      <c r="V11" s="280">
        <f>-IF(U11&gt;0,0,0)</f>
        <v>0</v>
      </c>
      <c r="W11" s="280">
        <f t="shared" ref="W11" si="12">IF(I11/15&lt;=SMG,0,IF(U11&lt;0,0,U11))</f>
        <v>949.64</v>
      </c>
      <c r="X11" s="280">
        <f>SUM(W11:W11)</f>
        <v>949.64</v>
      </c>
      <c r="Y11" s="280">
        <f>K11+V11-X11</f>
        <v>7349.36</v>
      </c>
      <c r="Z11" s="262"/>
    </row>
    <row r="12" spans="1:27" ht="53.25" customHeight="1" x14ac:dyDescent="0.25">
      <c r="A12" s="132"/>
      <c r="B12" s="141" t="s">
        <v>95</v>
      </c>
      <c r="C12" s="141" t="s">
        <v>113</v>
      </c>
      <c r="D12" s="156" t="s">
        <v>74</v>
      </c>
      <c r="E12" s="160"/>
      <c r="F12" s="152" t="s">
        <v>60</v>
      </c>
      <c r="G12" s="152"/>
      <c r="H12" s="37"/>
      <c r="I12" s="172">
        <f>SUM(I13)</f>
        <v>12829</v>
      </c>
      <c r="J12" s="172">
        <f>SUM(J13)</f>
        <v>0</v>
      </c>
      <c r="K12" s="172">
        <f>SUM(K13)</f>
        <v>12829</v>
      </c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2">
        <f>SUM(V13)</f>
        <v>0</v>
      </c>
      <c r="W12" s="172">
        <f>SUM(W13)</f>
        <v>1917.25</v>
      </c>
      <c r="X12" s="172">
        <f>SUM(X13)</f>
        <v>1917.25</v>
      </c>
      <c r="Y12" s="172">
        <f>SUM(Y13)</f>
        <v>10911.75</v>
      </c>
      <c r="Z12" s="173"/>
    </row>
    <row r="13" spans="1:27" s="304" customFormat="1" ht="165.75" customHeight="1" x14ac:dyDescent="0.2">
      <c r="A13" s="301"/>
      <c r="B13" s="305">
        <v>160</v>
      </c>
      <c r="C13" s="273" t="s">
        <v>107</v>
      </c>
      <c r="D13" s="253" t="s">
        <v>298</v>
      </c>
      <c r="E13" s="277">
        <v>45566</v>
      </c>
      <c r="F13" s="254" t="s">
        <v>74</v>
      </c>
      <c r="G13" s="302">
        <v>15</v>
      </c>
      <c r="H13" s="303">
        <f>ROUND(I13/G13,2)</f>
        <v>855.27</v>
      </c>
      <c r="I13" s="307">
        <v>12829</v>
      </c>
      <c r="J13" s="308">
        <v>0</v>
      </c>
      <c r="K13" s="309">
        <f>SUM(I13:J13)</f>
        <v>12829</v>
      </c>
      <c r="L13" s="281">
        <f>IF(I13/15&lt;=SMG,0,J13/2)</f>
        <v>0</v>
      </c>
      <c r="M13" s="300">
        <f>(I13+L13)/G13*30.4</f>
        <v>26000.106666666667</v>
      </c>
      <c r="N13" s="300">
        <f>VLOOKUP(M13,Tarifa,1)</f>
        <v>15487.72</v>
      </c>
      <c r="O13" s="281">
        <f>M13-N13</f>
        <v>10512.386666666667</v>
      </c>
      <c r="P13" s="282">
        <f>VLOOKUP(M13,Tarifa,3)</f>
        <v>0.21360000000000001</v>
      </c>
      <c r="Q13" s="281">
        <f>O13*P13</f>
        <v>2245.4457920000004</v>
      </c>
      <c r="R13" s="283">
        <f>VLOOKUP(M13,Tarifa,2)</f>
        <v>1640.18</v>
      </c>
      <c r="S13" s="281">
        <f>Q13+R13</f>
        <v>3885.6257920000007</v>
      </c>
      <c r="T13" s="281">
        <f>VLOOKUP(M13,Credito,2)</f>
        <v>0</v>
      </c>
      <c r="U13" s="281">
        <f>ROUND((S13-T13)/30.4*G13,2)</f>
        <v>1917.25</v>
      </c>
      <c r="V13" s="280">
        <f>-IF(U13&gt;0,0,0)</f>
        <v>0</v>
      </c>
      <c r="W13" s="280">
        <f>IF(I13/15&lt;=SMG,0,IF(U13&lt;0,0,U13))</f>
        <v>1917.25</v>
      </c>
      <c r="X13" s="280">
        <f>SUM(W13:W13)</f>
        <v>1917.25</v>
      </c>
      <c r="Y13" s="280">
        <f>K13+V13-X13</f>
        <v>10911.75</v>
      </c>
      <c r="Z13" s="262"/>
    </row>
    <row r="14" spans="1:27" ht="40.5" customHeight="1" thickBot="1" x14ac:dyDescent="0.3">
      <c r="A14" s="415" t="s">
        <v>44</v>
      </c>
      <c r="B14" s="416"/>
      <c r="C14" s="416"/>
      <c r="D14" s="416"/>
      <c r="E14" s="416"/>
      <c r="F14" s="416"/>
      <c r="G14" s="416"/>
      <c r="H14" s="417"/>
      <c r="I14" s="150">
        <f>I8+I10+I12</f>
        <v>33433.410000000003</v>
      </c>
      <c r="J14" s="150">
        <f>J8+J10+J12</f>
        <v>0</v>
      </c>
      <c r="K14" s="150">
        <f>K8+K10+K12</f>
        <v>33433.410000000003</v>
      </c>
      <c r="L14" s="131" t="e">
        <f>SUM(#REF!)</f>
        <v>#REF!</v>
      </c>
      <c r="M14" s="131" t="e">
        <f>SUM(#REF!)</f>
        <v>#REF!</v>
      </c>
      <c r="N14" s="131" t="e">
        <f>SUM(#REF!)</f>
        <v>#REF!</v>
      </c>
      <c r="O14" s="131" t="e">
        <f>SUM(#REF!)</f>
        <v>#REF!</v>
      </c>
      <c r="P14" s="131" t="e">
        <f>SUM(#REF!)</f>
        <v>#REF!</v>
      </c>
      <c r="Q14" s="131" t="e">
        <f>SUM(#REF!)</f>
        <v>#REF!</v>
      </c>
      <c r="R14" s="131" t="e">
        <f>SUM(#REF!)</f>
        <v>#REF!</v>
      </c>
      <c r="S14" s="131" t="e">
        <f>SUM(#REF!)</f>
        <v>#REF!</v>
      </c>
      <c r="T14" s="131" t="e">
        <f>SUM(#REF!)</f>
        <v>#REF!</v>
      </c>
      <c r="U14" s="131" t="e">
        <f>SUM(#REF!)</f>
        <v>#REF!</v>
      </c>
      <c r="V14" s="150">
        <f>V8+V10+V12</f>
        <v>0</v>
      </c>
      <c r="W14" s="150">
        <f>W8+W10+W12</f>
        <v>4672.3</v>
      </c>
      <c r="X14" s="150">
        <f>X8+X10+X12</f>
        <v>4672.3</v>
      </c>
      <c r="Y14" s="150">
        <f>Y8+Y10+Y12</f>
        <v>28761.11</v>
      </c>
      <c r="Z14" s="104"/>
    </row>
    <row r="15" spans="1:27" ht="13.5" thickTop="1" x14ac:dyDescent="0.2"/>
    <row r="26" spans="4:26" ht="18" x14ac:dyDescent="0.25"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</sheetData>
  <mergeCells count="7">
    <mergeCell ref="A14:H14"/>
    <mergeCell ref="A1:Z1"/>
    <mergeCell ref="A2:Z2"/>
    <mergeCell ref="I5:K5"/>
    <mergeCell ref="N5:S5"/>
    <mergeCell ref="W5:X5"/>
    <mergeCell ref="B3:AA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7"/>
  <sheetViews>
    <sheetView topLeftCell="B38" zoomScale="66" zoomScaleNormal="66" workbookViewId="0">
      <selection activeCell="B48" sqref="A48:XFD5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4" width="15.7109375" customWidth="1"/>
    <col min="25" max="25" width="18.28515625" customWidth="1"/>
    <col min="26" max="26" width="79.28515625" customWidth="1"/>
    <col min="27" max="27" width="1.42578125" customWidth="1"/>
  </cols>
  <sheetData>
    <row r="1" spans="1:32" ht="19.5" x14ac:dyDescent="0.25">
      <c r="A1" s="418" t="s">
        <v>76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</row>
    <row r="2" spans="1:32" ht="19.5" x14ac:dyDescent="0.25">
      <c r="A2" s="418" t="s">
        <v>63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</row>
    <row r="3" spans="1:32" ht="19.5" x14ac:dyDescent="0.25">
      <c r="A3" s="419" t="str">
        <f>PRESIDENCIA!A3</f>
        <v>SUELDO  DEL 01 AL 15 DE MAYO DE 2025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32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2" s="51" customFormat="1" ht="12.75" customHeight="1" x14ac:dyDescent="0.2">
      <c r="A5" s="47"/>
      <c r="B5" s="47"/>
      <c r="C5" s="447" t="s">
        <v>108</v>
      </c>
      <c r="D5" s="47"/>
      <c r="E5" s="47"/>
      <c r="F5" s="47"/>
      <c r="G5" s="48" t="s">
        <v>22</v>
      </c>
      <c r="H5" s="48" t="s">
        <v>5</v>
      </c>
      <c r="I5" s="437" t="s">
        <v>1</v>
      </c>
      <c r="J5" s="438"/>
      <c r="K5" s="439"/>
      <c r="L5" s="49" t="s">
        <v>25</v>
      </c>
      <c r="M5" s="50"/>
      <c r="N5" s="440" t="s">
        <v>8</v>
      </c>
      <c r="O5" s="441"/>
      <c r="P5" s="441"/>
      <c r="Q5" s="441"/>
      <c r="R5" s="441"/>
      <c r="S5" s="442"/>
      <c r="T5" s="49" t="s">
        <v>29</v>
      </c>
      <c r="U5" s="49" t="s">
        <v>9</v>
      </c>
      <c r="V5" s="48" t="s">
        <v>52</v>
      </c>
      <c r="W5" s="443" t="s">
        <v>2</v>
      </c>
      <c r="X5" s="444"/>
      <c r="Y5" s="48" t="s">
        <v>0</v>
      </c>
      <c r="Z5" s="47"/>
    </row>
    <row r="6" spans="1:32" s="51" customFormat="1" ht="24" x14ac:dyDescent="0.2">
      <c r="A6" s="52" t="s">
        <v>20</v>
      </c>
      <c r="B6" s="46" t="s">
        <v>95</v>
      </c>
      <c r="C6" s="448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194</v>
      </c>
      <c r="X6" s="48" t="s">
        <v>6</v>
      </c>
      <c r="Y6" s="52" t="s">
        <v>3</v>
      </c>
      <c r="Z6" s="52" t="s">
        <v>56</v>
      </c>
    </row>
    <row r="7" spans="1:32" s="51" customFormat="1" ht="12" x14ac:dyDescent="0.2">
      <c r="A7" s="60"/>
      <c r="B7" s="60"/>
      <c r="C7" s="449"/>
      <c r="D7" s="60"/>
      <c r="E7" s="60"/>
      <c r="F7" s="60"/>
      <c r="G7" s="60"/>
      <c r="H7" s="60"/>
      <c r="I7" s="60" t="s">
        <v>46</v>
      </c>
      <c r="J7" s="60" t="s">
        <v>58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114</v>
      </c>
      <c r="V7" s="60" t="s">
        <v>51</v>
      </c>
      <c r="W7" s="60"/>
      <c r="X7" s="60" t="s">
        <v>43</v>
      </c>
      <c r="Y7" s="60" t="s">
        <v>4</v>
      </c>
      <c r="Z7" s="57"/>
    </row>
    <row r="8" spans="1:32" s="51" customFormat="1" ht="35.25" customHeight="1" x14ac:dyDescent="0.25">
      <c r="A8" s="62"/>
      <c r="B8" s="123"/>
      <c r="C8" s="123"/>
      <c r="D8" s="122" t="s">
        <v>67</v>
      </c>
      <c r="E8" s="121" t="s">
        <v>200</v>
      </c>
      <c r="F8" s="123" t="s">
        <v>60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63"/>
    </row>
    <row r="9" spans="1:32" s="264" customFormat="1" ht="217.5" customHeight="1" x14ac:dyDescent="0.2">
      <c r="A9" s="250" t="s">
        <v>83</v>
      </c>
      <c r="B9" s="251" t="s">
        <v>297</v>
      </c>
      <c r="C9" s="252" t="s">
        <v>107</v>
      </c>
      <c r="D9" s="253" t="s">
        <v>268</v>
      </c>
      <c r="E9" s="255">
        <v>45566</v>
      </c>
      <c r="F9" s="256" t="s">
        <v>331</v>
      </c>
      <c r="G9" s="257">
        <v>15</v>
      </c>
      <c r="H9" s="258">
        <f t="shared" ref="H9:H12" si="0">I9/G9</f>
        <v>803.4</v>
      </c>
      <c r="I9" s="259">
        <v>12051</v>
      </c>
      <c r="J9" s="260">
        <v>0</v>
      </c>
      <c r="K9" s="261">
        <f>SUM(I9:J9)</f>
        <v>12051</v>
      </c>
      <c r="L9" s="281">
        <f t="shared" ref="L9:L12" si="1">IF(I9/15&lt;=SMG,0,J9/2)</f>
        <v>0</v>
      </c>
      <c r="M9" s="300">
        <f t="shared" ref="M9:M12" si="2">(I9+L9)/G9*30.4</f>
        <v>24423.359999999997</v>
      </c>
      <c r="N9" s="300">
        <f t="shared" ref="N9:N12" si="3">VLOOKUP(M9,Tarifa,1)</f>
        <v>15487.72</v>
      </c>
      <c r="O9" s="281">
        <f t="shared" ref="O9:O12" si="4">M9-N9</f>
        <v>8935.6399999999976</v>
      </c>
      <c r="P9" s="282">
        <f t="shared" ref="P9:P12" si="5">VLOOKUP(M9,Tarifa,3)</f>
        <v>0.21360000000000001</v>
      </c>
      <c r="Q9" s="281">
        <f t="shared" ref="Q9:Q12" si="6">O9*P9</f>
        <v>1908.6527039999996</v>
      </c>
      <c r="R9" s="283">
        <f t="shared" ref="R9:R12" si="7">VLOOKUP(M9,Tarifa,2)</f>
        <v>1640.18</v>
      </c>
      <c r="S9" s="281">
        <f t="shared" ref="S9:S12" si="8">Q9+R9</f>
        <v>3548.8327039999995</v>
      </c>
      <c r="T9" s="281">
        <f t="shared" ref="T9:T12" si="9">VLOOKUP(M9,Credito,2)</f>
        <v>0</v>
      </c>
      <c r="U9" s="281">
        <f t="shared" ref="U9:U12" si="10">ROUND((S9-T9)/30.4*G9,2)</f>
        <v>1751.07</v>
      </c>
      <c r="V9" s="261">
        <f>-IF(U9&gt;0,0,0)</f>
        <v>0</v>
      </c>
      <c r="W9" s="261">
        <f t="shared" ref="W9" si="11">IF(I9/15&lt;=SMG,0,IF(U9&lt;0,0,U9))</f>
        <v>1751.07</v>
      </c>
      <c r="X9" s="261">
        <f>SUM(W9:W9)</f>
        <v>1751.07</v>
      </c>
      <c r="Y9" s="261">
        <f>K9+V9-X9</f>
        <v>10299.93</v>
      </c>
      <c r="Z9" s="262"/>
      <c r="AA9" s="263"/>
      <c r="AF9" s="265"/>
    </row>
    <row r="10" spans="1:32" s="264" customFormat="1" ht="217.5" customHeight="1" x14ac:dyDescent="0.2">
      <c r="A10" s="250"/>
      <c r="B10" s="251" t="s">
        <v>317</v>
      </c>
      <c r="C10" s="252" t="s">
        <v>107</v>
      </c>
      <c r="D10" s="253" t="s">
        <v>318</v>
      </c>
      <c r="E10" s="255">
        <v>45581</v>
      </c>
      <c r="F10" s="256" t="s">
        <v>335</v>
      </c>
      <c r="G10" s="257">
        <v>15</v>
      </c>
      <c r="H10" s="258">
        <f t="shared" si="0"/>
        <v>803.4</v>
      </c>
      <c r="I10" s="259">
        <v>12051</v>
      </c>
      <c r="J10" s="260">
        <v>0</v>
      </c>
      <c r="K10" s="261">
        <f>SUM(I10:J10)</f>
        <v>12051</v>
      </c>
      <c r="L10" s="281">
        <f t="shared" si="1"/>
        <v>0</v>
      </c>
      <c r="M10" s="300">
        <f t="shared" si="2"/>
        <v>24423.359999999997</v>
      </c>
      <c r="N10" s="300">
        <f t="shared" si="3"/>
        <v>15487.72</v>
      </c>
      <c r="O10" s="281">
        <f t="shared" si="4"/>
        <v>8935.6399999999976</v>
      </c>
      <c r="P10" s="282">
        <f t="shared" si="5"/>
        <v>0.21360000000000001</v>
      </c>
      <c r="Q10" s="281">
        <f t="shared" si="6"/>
        <v>1908.6527039999996</v>
      </c>
      <c r="R10" s="283">
        <f t="shared" si="7"/>
        <v>1640.18</v>
      </c>
      <c r="S10" s="281">
        <f t="shared" si="8"/>
        <v>3548.8327039999995</v>
      </c>
      <c r="T10" s="281">
        <f t="shared" si="9"/>
        <v>0</v>
      </c>
      <c r="U10" s="281">
        <f t="shared" si="10"/>
        <v>1751.07</v>
      </c>
      <c r="V10" s="261">
        <f>-IF(U10&gt;0,0,0)</f>
        <v>0</v>
      </c>
      <c r="W10" s="261">
        <f t="shared" ref="W10" si="12">IF(I10/15&lt;=SMG,0,IF(U10&lt;0,0,U10))</f>
        <v>1751.07</v>
      </c>
      <c r="X10" s="261">
        <f>SUM(W10:W10)</f>
        <v>1751.07</v>
      </c>
      <c r="Y10" s="261">
        <f>K10+V10-X10</f>
        <v>10299.93</v>
      </c>
      <c r="Z10" s="262"/>
      <c r="AA10" s="263"/>
      <c r="AF10" s="265"/>
    </row>
    <row r="11" spans="1:32" s="264" customFormat="1" ht="217.5" customHeight="1" x14ac:dyDescent="0.2">
      <c r="A11" s="250"/>
      <c r="B11" s="251" t="s">
        <v>211</v>
      </c>
      <c r="C11" s="252" t="s">
        <v>107</v>
      </c>
      <c r="D11" s="253" t="s">
        <v>218</v>
      </c>
      <c r="E11" s="255">
        <v>45139</v>
      </c>
      <c r="F11" s="256" t="s">
        <v>219</v>
      </c>
      <c r="G11" s="257">
        <v>15</v>
      </c>
      <c r="H11" s="258">
        <f t="shared" si="0"/>
        <v>309.60000000000002</v>
      </c>
      <c r="I11" s="259">
        <v>4644</v>
      </c>
      <c r="J11" s="260">
        <v>0</v>
      </c>
      <c r="K11" s="261">
        <f>SUM(I11:J11)</f>
        <v>4644</v>
      </c>
      <c r="L11" s="281">
        <f t="shared" si="1"/>
        <v>0</v>
      </c>
      <c r="M11" s="300">
        <f t="shared" si="2"/>
        <v>9411.84</v>
      </c>
      <c r="N11" s="300">
        <f t="shared" si="3"/>
        <v>6332.06</v>
      </c>
      <c r="O11" s="281">
        <f t="shared" si="4"/>
        <v>3079.7799999999997</v>
      </c>
      <c r="P11" s="282">
        <f t="shared" si="5"/>
        <v>0.10879999999999999</v>
      </c>
      <c r="Q11" s="281">
        <f t="shared" si="6"/>
        <v>335.08006399999994</v>
      </c>
      <c r="R11" s="283">
        <f t="shared" si="7"/>
        <v>371.83</v>
      </c>
      <c r="S11" s="281">
        <f t="shared" si="8"/>
        <v>706.91006399999992</v>
      </c>
      <c r="T11" s="281">
        <f t="shared" si="9"/>
        <v>475</v>
      </c>
      <c r="U11" s="281">
        <f t="shared" si="10"/>
        <v>114.43</v>
      </c>
      <c r="V11" s="261">
        <f t="shared" ref="V11:V12" si="13">-IF(U11&gt;0,0,0)</f>
        <v>0</v>
      </c>
      <c r="W11" s="261">
        <f>IF(I11/15&lt;=SMG,0,IF(U11&lt;0,0,U11))</f>
        <v>114.43</v>
      </c>
      <c r="X11" s="261">
        <f>SUM(W11:W11)</f>
        <v>114.43</v>
      </c>
      <c r="Y11" s="261">
        <f>K11+V11-X11</f>
        <v>4529.57</v>
      </c>
      <c r="Z11" s="262"/>
      <c r="AA11" s="263"/>
      <c r="AF11" s="265"/>
    </row>
    <row r="12" spans="1:32" s="264" customFormat="1" ht="217.5" customHeight="1" x14ac:dyDescent="0.2">
      <c r="A12" s="250"/>
      <c r="B12" s="252" t="s">
        <v>156</v>
      </c>
      <c r="C12" s="252" t="s">
        <v>107</v>
      </c>
      <c r="D12" s="253" t="s">
        <v>157</v>
      </c>
      <c r="E12" s="255">
        <v>43983</v>
      </c>
      <c r="F12" s="256" t="s">
        <v>332</v>
      </c>
      <c r="G12" s="257">
        <v>15</v>
      </c>
      <c r="H12" s="258">
        <f t="shared" si="0"/>
        <v>803.4</v>
      </c>
      <c r="I12" s="259">
        <v>12051</v>
      </c>
      <c r="J12" s="260">
        <v>0</v>
      </c>
      <c r="K12" s="261">
        <f>SUM(I12:J12)</f>
        <v>12051</v>
      </c>
      <c r="L12" s="281">
        <f t="shared" si="1"/>
        <v>0</v>
      </c>
      <c r="M12" s="300">
        <f t="shared" si="2"/>
        <v>24423.359999999997</v>
      </c>
      <c r="N12" s="300">
        <f t="shared" si="3"/>
        <v>15487.72</v>
      </c>
      <c r="O12" s="281">
        <f t="shared" si="4"/>
        <v>8935.6399999999976</v>
      </c>
      <c r="P12" s="282">
        <f t="shared" si="5"/>
        <v>0.21360000000000001</v>
      </c>
      <c r="Q12" s="281">
        <f t="shared" si="6"/>
        <v>1908.6527039999996</v>
      </c>
      <c r="R12" s="283">
        <f t="shared" si="7"/>
        <v>1640.18</v>
      </c>
      <c r="S12" s="281">
        <f t="shared" si="8"/>
        <v>3548.8327039999995</v>
      </c>
      <c r="T12" s="281">
        <f t="shared" si="9"/>
        <v>0</v>
      </c>
      <c r="U12" s="281">
        <f t="shared" si="10"/>
        <v>1751.07</v>
      </c>
      <c r="V12" s="261">
        <f t="shared" si="13"/>
        <v>0</v>
      </c>
      <c r="W12" s="261">
        <f t="shared" ref="W12" si="14">IF(I12/15&lt;=SMG,0,IF(U12&lt;0,0,U12))</f>
        <v>1751.07</v>
      </c>
      <c r="X12" s="261">
        <f>SUM(W12:W12)</f>
        <v>1751.07</v>
      </c>
      <c r="Y12" s="261">
        <f>K12+V12-X12</f>
        <v>10299.93</v>
      </c>
      <c r="Z12" s="262"/>
      <c r="AA12" s="263"/>
      <c r="AF12" s="265"/>
    </row>
    <row r="13" spans="1:32" s="264" customFormat="1" ht="221.25" customHeight="1" x14ac:dyDescent="0.2">
      <c r="A13" s="250"/>
      <c r="B13" s="273" t="s">
        <v>196</v>
      </c>
      <c r="C13" s="267" t="s">
        <v>107</v>
      </c>
      <c r="D13" s="274" t="s">
        <v>195</v>
      </c>
      <c r="E13" s="276">
        <v>44958</v>
      </c>
      <c r="F13" s="270" t="s">
        <v>128</v>
      </c>
      <c r="G13" s="271">
        <v>15</v>
      </c>
      <c r="H13" s="258">
        <f t="shared" ref="H13:H14" si="15">I13/G13</f>
        <v>380.43333333333334</v>
      </c>
      <c r="I13" s="259">
        <v>5706.5</v>
      </c>
      <c r="J13" s="260">
        <v>0</v>
      </c>
      <c r="K13" s="261">
        <f>SUM(I13:J13)</f>
        <v>5706.5</v>
      </c>
      <c r="L13" s="281">
        <f t="shared" ref="L13:L14" si="16">IF(I13/15&lt;=SMG,0,J13/2)</f>
        <v>0</v>
      </c>
      <c r="M13" s="300">
        <f t="shared" ref="M13:M14" si="17">(I13+L13)/G13*30.4</f>
        <v>11565.173333333332</v>
      </c>
      <c r="N13" s="300">
        <f t="shared" ref="N13:N14" si="18">VLOOKUP(M13,Tarifa,1)</f>
        <v>11128.02</v>
      </c>
      <c r="O13" s="281">
        <f t="shared" ref="O13:O14" si="19">M13-N13</f>
        <v>437.15333333333183</v>
      </c>
      <c r="P13" s="282">
        <f t="shared" ref="P13:P14" si="20">VLOOKUP(M13,Tarifa,3)</f>
        <v>0.16</v>
      </c>
      <c r="Q13" s="281">
        <f t="shared" ref="Q13:Q14" si="21">O13*P13</f>
        <v>69.944533333333098</v>
      </c>
      <c r="R13" s="283">
        <f t="shared" ref="R13:R14" si="22">VLOOKUP(M13,Tarifa,2)</f>
        <v>893.63</v>
      </c>
      <c r="S13" s="281">
        <f t="shared" ref="S13:S14" si="23">Q13+R13</f>
        <v>963.57453333333308</v>
      </c>
      <c r="T13" s="281">
        <f t="shared" ref="T13:T14" si="24">VLOOKUP(M13,Credito,2)</f>
        <v>0</v>
      </c>
      <c r="U13" s="281">
        <f t="shared" ref="U13:U14" si="25">ROUND((S13-T13)/30.4*G13,2)</f>
        <v>475.45</v>
      </c>
      <c r="V13" s="261">
        <f>-IF(U13&gt;0,0,0)</f>
        <v>0</v>
      </c>
      <c r="W13" s="261">
        <f>IF(I13/15&lt;=SMG,0,IF(U13&lt;0,0,U13))</f>
        <v>475.45</v>
      </c>
      <c r="X13" s="261">
        <f>SUM(W13:W13)</f>
        <v>475.45</v>
      </c>
      <c r="Y13" s="261">
        <f>K13+V13-X13</f>
        <v>5231.05</v>
      </c>
      <c r="Z13" s="272"/>
      <c r="AA13" s="263"/>
      <c r="AF13" s="265"/>
    </row>
    <row r="14" spans="1:32" s="264" customFormat="1" ht="223.5" customHeight="1" x14ac:dyDescent="0.2">
      <c r="A14" s="250"/>
      <c r="B14" s="251" t="s">
        <v>359</v>
      </c>
      <c r="C14" s="251" t="s">
        <v>107</v>
      </c>
      <c r="D14" s="274" t="s">
        <v>357</v>
      </c>
      <c r="E14" s="310">
        <v>45698</v>
      </c>
      <c r="F14" s="256" t="s">
        <v>66</v>
      </c>
      <c r="G14" s="271">
        <v>15</v>
      </c>
      <c r="H14" s="258">
        <f t="shared" si="15"/>
        <v>506.81133333333332</v>
      </c>
      <c r="I14" s="259">
        <v>7602.17</v>
      </c>
      <c r="J14" s="260">
        <v>0</v>
      </c>
      <c r="K14" s="261">
        <f t="shared" ref="K14" si="26">SUM(I14:J14)</f>
        <v>7602.17</v>
      </c>
      <c r="L14" s="281">
        <f t="shared" si="16"/>
        <v>0</v>
      </c>
      <c r="M14" s="300">
        <f t="shared" si="17"/>
        <v>15407.064533333332</v>
      </c>
      <c r="N14" s="300">
        <f t="shared" si="18"/>
        <v>12935.83</v>
      </c>
      <c r="O14" s="281">
        <f t="shared" si="19"/>
        <v>2471.2345333333324</v>
      </c>
      <c r="P14" s="282">
        <f t="shared" si="20"/>
        <v>0.1792</v>
      </c>
      <c r="Q14" s="281">
        <f t="shared" si="21"/>
        <v>442.84522837333316</v>
      </c>
      <c r="R14" s="283">
        <f t="shared" si="22"/>
        <v>1182.8800000000001</v>
      </c>
      <c r="S14" s="281">
        <f t="shared" si="23"/>
        <v>1625.7252283733333</v>
      </c>
      <c r="T14" s="281">
        <f t="shared" si="24"/>
        <v>0</v>
      </c>
      <c r="U14" s="281">
        <f t="shared" si="25"/>
        <v>802.17</v>
      </c>
      <c r="V14" s="261">
        <f t="shared" ref="V14" si="27">-IF(U14&gt;0,0,0)</f>
        <v>0</v>
      </c>
      <c r="W14" s="261">
        <f t="shared" ref="W14" si="28">IF(I14/15&lt;=SMG,0,IF(U14&lt;0,0,U14))</f>
        <v>802.17</v>
      </c>
      <c r="X14" s="261">
        <f>SUM(W14:W14)</f>
        <v>802.17</v>
      </c>
      <c r="Y14" s="261">
        <f>K14+V14-X14</f>
        <v>6800</v>
      </c>
      <c r="Z14" s="272"/>
      <c r="AA14" s="263"/>
      <c r="AF14" s="265"/>
    </row>
    <row r="15" spans="1:32" s="88" customFormat="1" ht="42.75" customHeight="1" x14ac:dyDescent="0.3">
      <c r="A15" s="137"/>
      <c r="B15" s="231"/>
      <c r="C15" s="203"/>
      <c r="D15" s="204"/>
      <c r="E15" s="230"/>
      <c r="F15" s="143"/>
      <c r="G15" s="144"/>
      <c r="H15" s="145"/>
      <c r="I15" s="209"/>
      <c r="J15" s="210"/>
      <c r="K15" s="211"/>
      <c r="L15" s="212"/>
      <c r="M15" s="212"/>
      <c r="N15" s="212"/>
      <c r="O15" s="212"/>
      <c r="P15" s="213"/>
      <c r="Q15" s="212"/>
      <c r="R15" s="214"/>
      <c r="S15" s="212"/>
      <c r="T15" s="212"/>
      <c r="U15" s="212"/>
      <c r="V15" s="211"/>
      <c r="W15" s="211"/>
      <c r="X15" s="211"/>
      <c r="Y15" s="211"/>
      <c r="AA15" s="89"/>
      <c r="AF15" s="90"/>
    </row>
    <row r="16" spans="1:32" s="88" customFormat="1" ht="42.75" customHeight="1" x14ac:dyDescent="0.3">
      <c r="A16" s="137"/>
      <c r="B16" s="231"/>
      <c r="C16" s="203"/>
      <c r="D16" s="204"/>
      <c r="E16" s="230"/>
      <c r="F16" s="143"/>
      <c r="G16" s="144"/>
      <c r="H16" s="145"/>
      <c r="I16" s="209"/>
      <c r="J16" s="210"/>
      <c r="K16" s="211"/>
      <c r="L16" s="212"/>
      <c r="M16" s="212"/>
      <c r="N16" s="212"/>
      <c r="O16" s="212"/>
      <c r="P16" s="213"/>
      <c r="Q16" s="212"/>
      <c r="R16" s="214"/>
      <c r="S16" s="212"/>
      <c r="T16" s="212"/>
      <c r="U16" s="212"/>
      <c r="V16" s="211"/>
      <c r="W16" s="211"/>
      <c r="X16" s="211"/>
      <c r="Y16" s="211"/>
      <c r="AA16" s="89"/>
      <c r="AF16" s="90"/>
    </row>
    <row r="17" spans="1:32" s="88" customFormat="1" ht="32.25" customHeight="1" x14ac:dyDescent="0.25">
      <c r="A17" s="137"/>
      <c r="B17" s="418" t="s">
        <v>76</v>
      </c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F17" s="90"/>
    </row>
    <row r="18" spans="1:32" s="88" customFormat="1" ht="24" customHeight="1" x14ac:dyDescent="0.25">
      <c r="A18" s="137"/>
      <c r="B18" s="418" t="s">
        <v>63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F18" s="90"/>
    </row>
    <row r="19" spans="1:32" s="88" customFormat="1" ht="27.75" customHeight="1" x14ac:dyDescent="0.3">
      <c r="A19" s="137"/>
      <c r="B19" s="445" t="str">
        <f>PRESIDENCIA!A3</f>
        <v>SUELDO  DEL 01 AL 15 DE MAYO DE 2025</v>
      </c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89"/>
      <c r="AF19" s="90"/>
    </row>
    <row r="20" spans="1:32" s="88" customFormat="1" ht="26.25" customHeight="1" x14ac:dyDescent="0.3">
      <c r="A20" s="137"/>
      <c r="B20" s="231"/>
      <c r="C20" s="203"/>
      <c r="D20" s="204"/>
      <c r="E20" s="230"/>
      <c r="F20" s="143"/>
      <c r="G20" s="144"/>
      <c r="H20" s="145"/>
      <c r="I20" s="209"/>
      <c r="J20" s="210"/>
      <c r="K20" s="211"/>
      <c r="L20" s="212"/>
      <c r="M20" s="212"/>
      <c r="N20" s="212"/>
      <c r="O20" s="212"/>
      <c r="P20" s="213"/>
      <c r="Q20" s="212"/>
      <c r="R20" s="214"/>
      <c r="S20" s="212"/>
      <c r="T20" s="212"/>
      <c r="U20" s="212"/>
      <c r="V20" s="211"/>
      <c r="W20" s="211"/>
      <c r="X20" s="211"/>
      <c r="Y20" s="211"/>
      <c r="AA20" s="89"/>
      <c r="AF20" s="90"/>
    </row>
    <row r="21" spans="1:32" s="264" customFormat="1" ht="232.5" customHeight="1" x14ac:dyDescent="0.2">
      <c r="A21" s="250"/>
      <c r="B21" s="251" t="s">
        <v>204</v>
      </c>
      <c r="C21" s="251" t="s">
        <v>107</v>
      </c>
      <c r="D21" s="274" t="s">
        <v>203</v>
      </c>
      <c r="E21" s="310">
        <v>45042</v>
      </c>
      <c r="F21" s="256" t="s">
        <v>334</v>
      </c>
      <c r="G21" s="271">
        <v>15</v>
      </c>
      <c r="H21" s="258">
        <f t="shared" ref="H21:H26" si="29">I21/G21</f>
        <v>604.86666666666667</v>
      </c>
      <c r="I21" s="259">
        <v>9073</v>
      </c>
      <c r="J21" s="260">
        <v>604.86</v>
      </c>
      <c r="K21" s="261">
        <f t="shared" ref="K21:K26" si="30">SUM(I21:J21)</f>
        <v>9677.86</v>
      </c>
      <c r="L21" s="281">
        <f t="shared" ref="L21:L26" si="31">IF(I21/15&lt;=SMG,0,J21/2)</f>
        <v>302.43</v>
      </c>
      <c r="M21" s="300">
        <f t="shared" ref="M21:M26" si="32">(I21+L21)/G21*30.4</f>
        <v>19000.871466666667</v>
      </c>
      <c r="N21" s="300">
        <f t="shared" ref="N21:N26" si="33">VLOOKUP(M21,Tarifa,1)</f>
        <v>15487.72</v>
      </c>
      <c r="O21" s="281">
        <f t="shared" ref="O21:O26" si="34">M21-N21</f>
        <v>3513.1514666666681</v>
      </c>
      <c r="P21" s="282">
        <f t="shared" ref="P21:P26" si="35">VLOOKUP(M21,Tarifa,3)</f>
        <v>0.21360000000000001</v>
      </c>
      <c r="Q21" s="281">
        <f t="shared" ref="Q21:Q26" si="36">O21*P21</f>
        <v>750.4091532800004</v>
      </c>
      <c r="R21" s="283">
        <f t="shared" ref="R21:R26" si="37">VLOOKUP(M21,Tarifa,2)</f>
        <v>1640.18</v>
      </c>
      <c r="S21" s="281">
        <f t="shared" ref="S21:S26" si="38">Q21+R21</f>
        <v>2390.5891532800006</v>
      </c>
      <c r="T21" s="281">
        <f t="shared" ref="T21:T26" si="39">VLOOKUP(M21,Credito,2)</f>
        <v>0</v>
      </c>
      <c r="U21" s="281">
        <f t="shared" ref="U21:U26" si="40">ROUND((S21-T21)/30.4*G21,2)</f>
        <v>1179.57</v>
      </c>
      <c r="V21" s="261">
        <f t="shared" ref="V21:V26" si="41">-IF(U21&gt;0,0,0)</f>
        <v>0</v>
      </c>
      <c r="W21" s="261">
        <f t="shared" ref="W21:W26" si="42">IF(I21/15&lt;=SMG,0,IF(U21&lt;0,0,U21))</f>
        <v>1179.57</v>
      </c>
      <c r="X21" s="261">
        <f>SUM(W21:W21)</f>
        <v>1179.57</v>
      </c>
      <c r="Y21" s="261">
        <f>K21+V21-X21</f>
        <v>8498.2900000000009</v>
      </c>
      <c r="Z21" s="262"/>
      <c r="AA21" s="263"/>
      <c r="AF21" s="265"/>
    </row>
    <row r="22" spans="1:32" s="264" customFormat="1" ht="232.5" customHeight="1" x14ac:dyDescent="0.2">
      <c r="A22" s="250"/>
      <c r="B22" s="251" t="s">
        <v>205</v>
      </c>
      <c r="C22" s="251" t="s">
        <v>107</v>
      </c>
      <c r="D22" s="274" t="s">
        <v>206</v>
      </c>
      <c r="E22" s="310">
        <v>45078</v>
      </c>
      <c r="F22" s="256" t="s">
        <v>333</v>
      </c>
      <c r="G22" s="271">
        <v>15</v>
      </c>
      <c r="H22" s="258">
        <f t="shared" si="29"/>
        <v>604.86666666666667</v>
      </c>
      <c r="I22" s="259">
        <v>9073</v>
      </c>
      <c r="J22" s="260">
        <v>0</v>
      </c>
      <c r="K22" s="261">
        <f t="shared" si="30"/>
        <v>9073</v>
      </c>
      <c r="L22" s="281">
        <f t="shared" si="31"/>
        <v>0</v>
      </c>
      <c r="M22" s="300">
        <f t="shared" si="32"/>
        <v>18387.946666666667</v>
      </c>
      <c r="N22" s="300">
        <f t="shared" si="33"/>
        <v>15487.72</v>
      </c>
      <c r="O22" s="281">
        <f t="shared" si="34"/>
        <v>2900.2266666666674</v>
      </c>
      <c r="P22" s="282">
        <f t="shared" si="35"/>
        <v>0.21360000000000001</v>
      </c>
      <c r="Q22" s="281">
        <f t="shared" si="36"/>
        <v>619.48841600000014</v>
      </c>
      <c r="R22" s="283">
        <f t="shared" si="37"/>
        <v>1640.18</v>
      </c>
      <c r="S22" s="281">
        <f t="shared" si="38"/>
        <v>2259.6684160000004</v>
      </c>
      <c r="T22" s="281">
        <f t="shared" si="39"/>
        <v>0</v>
      </c>
      <c r="U22" s="281">
        <f t="shared" si="40"/>
        <v>1114.97</v>
      </c>
      <c r="V22" s="261">
        <f t="shared" si="41"/>
        <v>0</v>
      </c>
      <c r="W22" s="261">
        <f t="shared" si="42"/>
        <v>1114.97</v>
      </c>
      <c r="X22" s="261">
        <f>SUM(W22:W22)</f>
        <v>1114.97</v>
      </c>
      <c r="Y22" s="261">
        <f>K22+V22-X22</f>
        <v>7958.03</v>
      </c>
      <c r="Z22" s="262"/>
      <c r="AA22" s="263"/>
      <c r="AF22" s="265"/>
    </row>
    <row r="23" spans="1:32" s="264" customFormat="1" ht="232.5" customHeight="1" x14ac:dyDescent="0.2">
      <c r="A23" s="250"/>
      <c r="B23" s="252" t="s">
        <v>346</v>
      </c>
      <c r="C23" s="252" t="s">
        <v>107</v>
      </c>
      <c r="D23" s="312" t="s">
        <v>140</v>
      </c>
      <c r="E23" s="199">
        <v>43512</v>
      </c>
      <c r="F23" s="256" t="s">
        <v>334</v>
      </c>
      <c r="G23" s="271">
        <v>15</v>
      </c>
      <c r="H23" s="258">
        <f t="shared" si="29"/>
        <v>604.86666666666667</v>
      </c>
      <c r="I23" s="259">
        <v>9073</v>
      </c>
      <c r="J23" s="260">
        <v>0</v>
      </c>
      <c r="K23" s="261">
        <f t="shared" si="30"/>
        <v>9073</v>
      </c>
      <c r="L23" s="281">
        <f t="shared" si="31"/>
        <v>0</v>
      </c>
      <c r="M23" s="300">
        <f t="shared" si="32"/>
        <v>18387.946666666667</v>
      </c>
      <c r="N23" s="300">
        <f t="shared" si="33"/>
        <v>15487.72</v>
      </c>
      <c r="O23" s="281">
        <f t="shared" si="34"/>
        <v>2900.2266666666674</v>
      </c>
      <c r="P23" s="282">
        <f t="shared" si="35"/>
        <v>0.21360000000000001</v>
      </c>
      <c r="Q23" s="281">
        <f t="shared" si="36"/>
        <v>619.48841600000014</v>
      </c>
      <c r="R23" s="283">
        <f t="shared" si="37"/>
        <v>1640.18</v>
      </c>
      <c r="S23" s="281">
        <f t="shared" si="38"/>
        <v>2259.6684160000004</v>
      </c>
      <c r="T23" s="281">
        <f t="shared" si="39"/>
        <v>0</v>
      </c>
      <c r="U23" s="281">
        <f t="shared" si="40"/>
        <v>1114.97</v>
      </c>
      <c r="V23" s="261">
        <f t="shared" si="41"/>
        <v>0</v>
      </c>
      <c r="W23" s="261">
        <f t="shared" si="42"/>
        <v>1114.97</v>
      </c>
      <c r="X23" s="261">
        <f>SUM(W23:W23)</f>
        <v>1114.97</v>
      </c>
      <c r="Y23" s="261">
        <f>K23+V23-X23</f>
        <v>7958.03</v>
      </c>
      <c r="Z23" s="262"/>
      <c r="AF23" s="265"/>
    </row>
    <row r="24" spans="1:32" s="264" customFormat="1" ht="232.5" customHeight="1" x14ac:dyDescent="0.2">
      <c r="A24" s="311"/>
      <c r="B24" s="252" t="s">
        <v>184</v>
      </c>
      <c r="C24" s="252" t="s">
        <v>107</v>
      </c>
      <c r="D24" s="312" t="s">
        <v>185</v>
      </c>
      <c r="E24" s="199">
        <v>44728</v>
      </c>
      <c r="F24" s="256" t="s">
        <v>334</v>
      </c>
      <c r="G24" s="271">
        <v>15</v>
      </c>
      <c r="H24" s="258">
        <f t="shared" si="29"/>
        <v>604.86666666666667</v>
      </c>
      <c r="I24" s="259">
        <v>9073</v>
      </c>
      <c r="J24" s="260">
        <v>0</v>
      </c>
      <c r="K24" s="261">
        <f t="shared" si="30"/>
        <v>9073</v>
      </c>
      <c r="L24" s="281">
        <f t="shared" si="31"/>
        <v>0</v>
      </c>
      <c r="M24" s="300">
        <f t="shared" si="32"/>
        <v>18387.946666666667</v>
      </c>
      <c r="N24" s="300">
        <f t="shared" si="33"/>
        <v>15487.72</v>
      </c>
      <c r="O24" s="281">
        <f t="shared" si="34"/>
        <v>2900.2266666666674</v>
      </c>
      <c r="P24" s="282">
        <f t="shared" si="35"/>
        <v>0.21360000000000001</v>
      </c>
      <c r="Q24" s="281">
        <f t="shared" si="36"/>
        <v>619.48841600000014</v>
      </c>
      <c r="R24" s="283">
        <f t="shared" si="37"/>
        <v>1640.18</v>
      </c>
      <c r="S24" s="281">
        <f t="shared" si="38"/>
        <v>2259.6684160000004</v>
      </c>
      <c r="T24" s="281">
        <f t="shared" si="39"/>
        <v>0</v>
      </c>
      <c r="U24" s="281">
        <f t="shared" si="40"/>
        <v>1114.97</v>
      </c>
      <c r="V24" s="261">
        <f t="shared" si="41"/>
        <v>0</v>
      </c>
      <c r="W24" s="261">
        <f t="shared" si="42"/>
        <v>1114.97</v>
      </c>
      <c r="X24" s="261">
        <f>SUM(W24:W24)</f>
        <v>1114.97</v>
      </c>
      <c r="Y24" s="261">
        <f>K24+V24-X24</f>
        <v>7958.03</v>
      </c>
      <c r="Z24" s="262"/>
      <c r="AF24" s="265"/>
    </row>
    <row r="25" spans="1:32" s="264" customFormat="1" ht="232.5" customHeight="1" x14ac:dyDescent="0.2">
      <c r="A25" s="311"/>
      <c r="B25" s="252" t="s">
        <v>232</v>
      </c>
      <c r="C25" s="252" t="s">
        <v>107</v>
      </c>
      <c r="D25" s="253" t="s">
        <v>233</v>
      </c>
      <c r="E25" s="314">
        <v>45475</v>
      </c>
      <c r="F25" s="256" t="s">
        <v>334</v>
      </c>
      <c r="G25" s="271">
        <v>15</v>
      </c>
      <c r="H25" s="258">
        <f t="shared" si="29"/>
        <v>483.93333333333334</v>
      </c>
      <c r="I25" s="259">
        <v>7259</v>
      </c>
      <c r="J25" s="260">
        <v>0</v>
      </c>
      <c r="K25" s="261">
        <f t="shared" si="30"/>
        <v>7259</v>
      </c>
      <c r="L25" s="281">
        <f t="shared" si="31"/>
        <v>0</v>
      </c>
      <c r="M25" s="300">
        <f t="shared" si="32"/>
        <v>14711.573333333332</v>
      </c>
      <c r="N25" s="300">
        <f t="shared" si="33"/>
        <v>12935.83</v>
      </c>
      <c r="O25" s="281">
        <f t="shared" si="34"/>
        <v>1775.743333333332</v>
      </c>
      <c r="P25" s="282">
        <f t="shared" si="35"/>
        <v>0.1792</v>
      </c>
      <c r="Q25" s="281">
        <f t="shared" si="36"/>
        <v>318.21320533333306</v>
      </c>
      <c r="R25" s="283">
        <f t="shared" si="37"/>
        <v>1182.8800000000001</v>
      </c>
      <c r="S25" s="281">
        <f t="shared" si="38"/>
        <v>1501.0932053333331</v>
      </c>
      <c r="T25" s="281">
        <f t="shared" si="39"/>
        <v>0</v>
      </c>
      <c r="U25" s="281">
        <f t="shared" si="40"/>
        <v>740.67</v>
      </c>
      <c r="V25" s="261">
        <f t="shared" si="41"/>
        <v>0</v>
      </c>
      <c r="W25" s="261">
        <f t="shared" si="42"/>
        <v>740.67</v>
      </c>
      <c r="X25" s="261">
        <f>SUM(W25:W25)</f>
        <v>740.67</v>
      </c>
      <c r="Y25" s="261">
        <f>K25+V25-X25</f>
        <v>6518.33</v>
      </c>
      <c r="Z25" s="262"/>
      <c r="AA25" s="313"/>
      <c r="AF25" s="265"/>
    </row>
    <row r="26" spans="1:32" s="264" customFormat="1" ht="232.5" customHeight="1" x14ac:dyDescent="0.2">
      <c r="A26" s="311"/>
      <c r="B26" s="252" t="s">
        <v>367</v>
      </c>
      <c r="C26" s="252"/>
      <c r="D26" s="253" t="s">
        <v>364</v>
      </c>
      <c r="E26" s="314">
        <v>45720</v>
      </c>
      <c r="F26" s="256" t="s">
        <v>365</v>
      </c>
      <c r="G26" s="271">
        <v>15</v>
      </c>
      <c r="H26" s="258">
        <f t="shared" si="29"/>
        <v>604.86666666666667</v>
      </c>
      <c r="I26" s="259">
        <v>9073</v>
      </c>
      <c r="J26" s="260">
        <v>0</v>
      </c>
      <c r="K26" s="261">
        <f t="shared" si="30"/>
        <v>9073</v>
      </c>
      <c r="L26" s="281">
        <f t="shared" si="31"/>
        <v>0</v>
      </c>
      <c r="M26" s="300">
        <f t="shared" si="32"/>
        <v>18387.946666666667</v>
      </c>
      <c r="N26" s="300">
        <f t="shared" si="33"/>
        <v>15487.72</v>
      </c>
      <c r="O26" s="281">
        <f t="shared" si="34"/>
        <v>2900.2266666666674</v>
      </c>
      <c r="P26" s="282">
        <f t="shared" si="35"/>
        <v>0.21360000000000001</v>
      </c>
      <c r="Q26" s="281">
        <f t="shared" si="36"/>
        <v>619.48841600000014</v>
      </c>
      <c r="R26" s="283">
        <f t="shared" si="37"/>
        <v>1640.18</v>
      </c>
      <c r="S26" s="281">
        <f t="shared" si="38"/>
        <v>2259.6684160000004</v>
      </c>
      <c r="T26" s="281">
        <f t="shared" si="39"/>
        <v>0</v>
      </c>
      <c r="U26" s="281">
        <f t="shared" si="40"/>
        <v>1114.97</v>
      </c>
      <c r="V26" s="261">
        <f t="shared" si="41"/>
        <v>0</v>
      </c>
      <c r="W26" s="261">
        <f t="shared" si="42"/>
        <v>1114.97</v>
      </c>
      <c r="X26" s="261">
        <f>SUM(W26:W26)</f>
        <v>1114.97</v>
      </c>
      <c r="Y26" s="261">
        <f>K26+V26-X26</f>
        <v>7958.03</v>
      </c>
      <c r="Z26" s="262"/>
      <c r="AA26" s="313"/>
      <c r="AF26" s="265"/>
    </row>
    <row r="27" spans="1:32" s="88" customFormat="1" ht="16.5" customHeight="1" x14ac:dyDescent="0.35">
      <c r="A27" s="137"/>
      <c r="B27" s="139"/>
      <c r="C27" s="139"/>
      <c r="D27" s="233"/>
      <c r="E27" s="234"/>
      <c r="F27" s="196"/>
      <c r="G27" s="207"/>
      <c r="H27" s="208"/>
      <c r="I27" s="209"/>
      <c r="J27" s="210"/>
      <c r="K27" s="211"/>
      <c r="L27" s="212"/>
      <c r="M27" s="212"/>
      <c r="N27" s="212"/>
      <c r="O27" s="212"/>
      <c r="P27" s="213"/>
      <c r="Q27" s="212"/>
      <c r="R27" s="214"/>
      <c r="S27" s="212"/>
      <c r="T27" s="212"/>
      <c r="U27" s="212"/>
      <c r="V27" s="211"/>
      <c r="W27" s="211"/>
      <c r="X27" s="211"/>
      <c r="Y27" s="211"/>
      <c r="Z27" s="104"/>
      <c r="AF27" s="90"/>
    </row>
    <row r="28" spans="1:32" s="88" customFormat="1" ht="16.5" customHeight="1" x14ac:dyDescent="0.35">
      <c r="A28" s="137"/>
      <c r="B28" s="139"/>
      <c r="C28" s="139"/>
      <c r="D28" s="233"/>
      <c r="E28" s="234"/>
      <c r="F28" s="196"/>
      <c r="G28" s="207"/>
      <c r="H28" s="208"/>
      <c r="I28" s="209"/>
      <c r="J28" s="210"/>
      <c r="K28" s="211"/>
      <c r="L28" s="212"/>
      <c r="M28" s="212"/>
      <c r="N28" s="212"/>
      <c r="O28" s="212"/>
      <c r="P28" s="213"/>
      <c r="Q28" s="212"/>
      <c r="R28" s="214"/>
      <c r="S28" s="212"/>
      <c r="T28" s="212"/>
      <c r="U28" s="212"/>
      <c r="V28" s="211"/>
      <c r="W28" s="211"/>
      <c r="X28" s="211"/>
      <c r="Y28" s="211"/>
      <c r="Z28" s="104"/>
      <c r="AF28" s="90"/>
    </row>
    <row r="29" spans="1:32" s="88" customFormat="1" ht="27.75" customHeight="1" x14ac:dyDescent="0.25">
      <c r="A29" s="137"/>
      <c r="B29" s="418" t="s">
        <v>76</v>
      </c>
      <c r="C29" s="418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F29" s="90"/>
    </row>
    <row r="30" spans="1:32" s="88" customFormat="1" ht="27.75" customHeight="1" x14ac:dyDescent="0.25">
      <c r="A30" s="137"/>
      <c r="B30" s="418" t="s">
        <v>63</v>
      </c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F30" s="90"/>
    </row>
    <row r="31" spans="1:32" s="88" customFormat="1" ht="27.75" customHeight="1" x14ac:dyDescent="0.3">
      <c r="A31" s="137"/>
      <c r="B31" s="446" t="str">
        <f>PRESIDENCIA!A3</f>
        <v>SUELDO  DEL 01 AL 15 DE MAYO DE 2025</v>
      </c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F31" s="90"/>
    </row>
    <row r="32" spans="1:32" s="88" customFormat="1" ht="30.75" customHeight="1" x14ac:dyDescent="0.35">
      <c r="A32" s="137"/>
      <c r="B32" s="139"/>
      <c r="C32" s="139"/>
      <c r="D32" s="233"/>
      <c r="E32" s="234"/>
      <c r="F32" s="196"/>
      <c r="G32" s="207"/>
      <c r="H32" s="208"/>
      <c r="I32" s="209"/>
      <c r="J32" s="210"/>
      <c r="K32" s="211"/>
      <c r="L32" s="212"/>
      <c r="M32" s="212"/>
      <c r="N32" s="212"/>
      <c r="O32" s="212"/>
      <c r="P32" s="213"/>
      <c r="Q32" s="212"/>
      <c r="R32" s="214"/>
      <c r="S32" s="212"/>
      <c r="T32" s="212"/>
      <c r="U32" s="212"/>
      <c r="V32" s="211"/>
      <c r="W32" s="211"/>
      <c r="X32" s="211"/>
      <c r="Y32" s="211"/>
      <c r="Z32" s="104"/>
      <c r="AF32" s="90"/>
    </row>
    <row r="33" spans="1:32" s="264" customFormat="1" ht="176.25" customHeight="1" x14ac:dyDescent="0.2">
      <c r="A33" s="250"/>
      <c r="B33" s="252" t="s">
        <v>287</v>
      </c>
      <c r="C33" s="252" t="s">
        <v>107</v>
      </c>
      <c r="D33" s="253" t="s">
        <v>288</v>
      </c>
      <c r="E33" s="314">
        <v>45566</v>
      </c>
      <c r="F33" s="256" t="s">
        <v>336</v>
      </c>
      <c r="G33" s="271">
        <v>15</v>
      </c>
      <c r="H33" s="258">
        <f t="shared" ref="H33:H35" si="43">I33/G33</f>
        <v>455.06666666666666</v>
      </c>
      <c r="I33" s="259">
        <v>6826</v>
      </c>
      <c r="J33" s="260">
        <v>0</v>
      </c>
      <c r="K33" s="261">
        <f t="shared" ref="K33:K35" si="44">SUM(I33:J33)</f>
        <v>6826</v>
      </c>
      <c r="L33" s="281">
        <f t="shared" ref="L33:L35" si="45">IF(I33/15&lt;=SMG,0,J33/2)</f>
        <v>0</v>
      </c>
      <c r="M33" s="300">
        <f t="shared" ref="M33:M35" si="46">(I33+L33)/G33*30.4</f>
        <v>13834.026666666667</v>
      </c>
      <c r="N33" s="300">
        <f t="shared" ref="N33:N35" si="47">VLOOKUP(M33,Tarifa,1)</f>
        <v>12935.83</v>
      </c>
      <c r="O33" s="281">
        <f t="shared" ref="O33:O35" si="48">M33-N33</f>
        <v>898.19666666666672</v>
      </c>
      <c r="P33" s="282">
        <f t="shared" ref="P33:P35" si="49">VLOOKUP(M33,Tarifa,3)</f>
        <v>0.1792</v>
      </c>
      <c r="Q33" s="281">
        <f t="shared" ref="Q33:Q35" si="50">O33*P33</f>
        <v>160.95684266666666</v>
      </c>
      <c r="R33" s="283">
        <f t="shared" ref="R33:R35" si="51">VLOOKUP(M33,Tarifa,2)</f>
        <v>1182.8800000000001</v>
      </c>
      <c r="S33" s="281">
        <f t="shared" ref="S33:S35" si="52">Q33+R33</f>
        <v>1343.8368426666668</v>
      </c>
      <c r="T33" s="281">
        <f t="shared" ref="T33:T35" si="53">VLOOKUP(M33,Credito,2)</f>
        <v>0</v>
      </c>
      <c r="U33" s="281">
        <f t="shared" ref="U33:U35" si="54">ROUND((S33-T33)/30.4*G33,2)</f>
        <v>663.08</v>
      </c>
      <c r="V33" s="261">
        <f t="shared" ref="V33:V36" si="55">-IF(U33&gt;0,0,0)</f>
        <v>0</v>
      </c>
      <c r="W33" s="261">
        <f t="shared" ref="W33:W36" si="56">IF(I33/15&lt;=SMG,0,IF(U33&lt;0,0,U33))</f>
        <v>663.08</v>
      </c>
      <c r="X33" s="261">
        <f>SUM(W33:W33)</f>
        <v>663.08</v>
      </c>
      <c r="Y33" s="261">
        <f>K33+V33-X33</f>
        <v>6162.92</v>
      </c>
      <c r="Z33" s="262"/>
      <c r="AF33" s="265"/>
    </row>
    <row r="34" spans="1:32" s="264" customFormat="1" ht="176.25" customHeight="1" x14ac:dyDescent="0.2">
      <c r="A34" s="250"/>
      <c r="B34" s="273" t="s">
        <v>252</v>
      </c>
      <c r="C34" s="267" t="s">
        <v>107</v>
      </c>
      <c r="D34" s="253" t="s">
        <v>253</v>
      </c>
      <c r="E34" s="255">
        <v>45459</v>
      </c>
      <c r="F34" s="256" t="s">
        <v>337</v>
      </c>
      <c r="G34" s="271">
        <v>15</v>
      </c>
      <c r="H34" s="258">
        <f t="shared" si="43"/>
        <v>373.2</v>
      </c>
      <c r="I34" s="259">
        <v>5598</v>
      </c>
      <c r="J34" s="260">
        <v>0</v>
      </c>
      <c r="K34" s="261">
        <f t="shared" si="44"/>
        <v>5598</v>
      </c>
      <c r="L34" s="281">
        <f t="shared" si="45"/>
        <v>0</v>
      </c>
      <c r="M34" s="300">
        <f t="shared" si="46"/>
        <v>11345.279999999999</v>
      </c>
      <c r="N34" s="300">
        <f t="shared" si="47"/>
        <v>11128.02</v>
      </c>
      <c r="O34" s="281">
        <f t="shared" si="48"/>
        <v>217.2599999999984</v>
      </c>
      <c r="P34" s="282">
        <f t="shared" si="49"/>
        <v>0.16</v>
      </c>
      <c r="Q34" s="281">
        <f t="shared" si="50"/>
        <v>34.761599999999746</v>
      </c>
      <c r="R34" s="283">
        <f t="shared" si="51"/>
        <v>893.63</v>
      </c>
      <c r="S34" s="281">
        <f t="shared" si="52"/>
        <v>928.3915999999997</v>
      </c>
      <c r="T34" s="281">
        <f t="shared" si="53"/>
        <v>0</v>
      </c>
      <c r="U34" s="281">
        <f t="shared" si="54"/>
        <v>458.09</v>
      </c>
      <c r="V34" s="261">
        <f t="shared" si="55"/>
        <v>0</v>
      </c>
      <c r="W34" s="261">
        <f t="shared" si="56"/>
        <v>458.09</v>
      </c>
      <c r="X34" s="261">
        <f>SUM(W34:W34)</f>
        <v>458.09</v>
      </c>
      <c r="Y34" s="261">
        <f>K34+V34-X34</f>
        <v>5139.91</v>
      </c>
      <c r="Z34" s="262"/>
      <c r="AF34" s="265"/>
    </row>
    <row r="35" spans="1:32" s="264" customFormat="1" ht="176.25" customHeight="1" x14ac:dyDescent="0.2">
      <c r="A35" s="250"/>
      <c r="B35" s="267" t="s">
        <v>254</v>
      </c>
      <c r="C35" s="267" t="s">
        <v>107</v>
      </c>
      <c r="D35" s="249" t="s">
        <v>255</v>
      </c>
      <c r="E35" s="153">
        <v>45459</v>
      </c>
      <c r="F35" s="256" t="s">
        <v>337</v>
      </c>
      <c r="G35" s="271">
        <v>15</v>
      </c>
      <c r="H35" s="258">
        <f t="shared" si="43"/>
        <v>373.2</v>
      </c>
      <c r="I35" s="259">
        <v>5598</v>
      </c>
      <c r="J35" s="260">
        <v>0</v>
      </c>
      <c r="K35" s="261">
        <f t="shared" si="44"/>
        <v>5598</v>
      </c>
      <c r="L35" s="281">
        <f t="shared" si="45"/>
        <v>0</v>
      </c>
      <c r="M35" s="300">
        <f t="shared" si="46"/>
        <v>11345.279999999999</v>
      </c>
      <c r="N35" s="300">
        <f t="shared" si="47"/>
        <v>11128.02</v>
      </c>
      <c r="O35" s="281">
        <f t="shared" si="48"/>
        <v>217.2599999999984</v>
      </c>
      <c r="P35" s="282">
        <f t="shared" si="49"/>
        <v>0.16</v>
      </c>
      <c r="Q35" s="281">
        <f t="shared" si="50"/>
        <v>34.761599999999746</v>
      </c>
      <c r="R35" s="283">
        <f t="shared" si="51"/>
        <v>893.63</v>
      </c>
      <c r="S35" s="281">
        <f t="shared" si="52"/>
        <v>928.3915999999997</v>
      </c>
      <c r="T35" s="281">
        <f t="shared" si="53"/>
        <v>0</v>
      </c>
      <c r="U35" s="281">
        <f t="shared" si="54"/>
        <v>458.09</v>
      </c>
      <c r="V35" s="261">
        <f t="shared" si="55"/>
        <v>0</v>
      </c>
      <c r="W35" s="261">
        <f t="shared" si="56"/>
        <v>458.09</v>
      </c>
      <c r="X35" s="261">
        <f>SUM(W35:W35)</f>
        <v>458.09</v>
      </c>
      <c r="Y35" s="261">
        <f>K35+V35-X35</f>
        <v>5139.91</v>
      </c>
      <c r="Z35" s="272"/>
      <c r="AF35" s="265"/>
    </row>
    <row r="36" spans="1:32" s="264" customFormat="1" ht="176.25" customHeight="1" x14ac:dyDescent="0.2">
      <c r="A36" s="250"/>
      <c r="B36" s="252" t="s">
        <v>188</v>
      </c>
      <c r="C36" s="252" t="s">
        <v>107</v>
      </c>
      <c r="D36" s="312" t="s">
        <v>186</v>
      </c>
      <c r="E36" s="255">
        <v>44728</v>
      </c>
      <c r="F36" s="256" t="s">
        <v>187</v>
      </c>
      <c r="G36" s="271">
        <v>15</v>
      </c>
      <c r="H36" s="258">
        <f>I36/G36</f>
        <v>442.26666666666665</v>
      </c>
      <c r="I36" s="259">
        <v>6634</v>
      </c>
      <c r="J36" s="260">
        <v>0</v>
      </c>
      <c r="K36" s="259">
        <f>I36</f>
        <v>6634</v>
      </c>
      <c r="L36" s="281">
        <f>IF(I36/15&lt;=SMG,0,J36/2)</f>
        <v>0</v>
      </c>
      <c r="M36" s="300">
        <f>(I36+L36)/G36*30.4</f>
        <v>13444.906666666666</v>
      </c>
      <c r="N36" s="300">
        <f>VLOOKUP(M36,Tarifa,1)</f>
        <v>12935.83</v>
      </c>
      <c r="O36" s="281">
        <f>M36-N36</f>
        <v>509.07666666666591</v>
      </c>
      <c r="P36" s="282">
        <f>VLOOKUP(M36,Tarifa,3)</f>
        <v>0.1792</v>
      </c>
      <c r="Q36" s="281">
        <f>O36*P36</f>
        <v>91.226538666666528</v>
      </c>
      <c r="R36" s="283">
        <f>VLOOKUP(M36,Tarifa,2)</f>
        <v>1182.8800000000001</v>
      </c>
      <c r="S36" s="281">
        <f>Q36+R36</f>
        <v>1274.1065386666667</v>
      </c>
      <c r="T36" s="281">
        <f>VLOOKUP(M36,Credito,2)</f>
        <v>0</v>
      </c>
      <c r="U36" s="281">
        <f>ROUND((S36-T36)/30.4*G36,2)</f>
        <v>628.66999999999996</v>
      </c>
      <c r="V36" s="261">
        <f t="shared" si="55"/>
        <v>0</v>
      </c>
      <c r="W36" s="261">
        <f t="shared" si="56"/>
        <v>628.66999999999996</v>
      </c>
      <c r="X36" s="261">
        <f>SUM(W36:W36)</f>
        <v>628.66999999999996</v>
      </c>
      <c r="Y36" s="261">
        <f>K36+V36-X36+J36</f>
        <v>6005.33</v>
      </c>
      <c r="Z36" s="269"/>
      <c r="AF36" s="265"/>
    </row>
    <row r="37" spans="1:32" s="264" customFormat="1" ht="176.25" customHeight="1" x14ac:dyDescent="0.2">
      <c r="A37" s="250"/>
      <c r="B37" s="267" t="s">
        <v>208</v>
      </c>
      <c r="C37" s="267" t="s">
        <v>107</v>
      </c>
      <c r="D37" s="274" t="s">
        <v>209</v>
      </c>
      <c r="E37" s="315">
        <v>45078</v>
      </c>
      <c r="F37" s="256" t="s">
        <v>340</v>
      </c>
      <c r="G37" s="271">
        <v>15</v>
      </c>
      <c r="H37" s="258">
        <f>I37/G37</f>
        <v>317.46666666666664</v>
      </c>
      <c r="I37" s="259">
        <v>4762</v>
      </c>
      <c r="J37" s="260">
        <v>0</v>
      </c>
      <c r="K37" s="261">
        <f t="shared" ref="K37" si="57">SUM(I37:J37)</f>
        <v>4762</v>
      </c>
      <c r="L37" s="281">
        <f>IF(I37/15&lt;=SMG,0,J37/2)</f>
        <v>0</v>
      </c>
      <c r="M37" s="300">
        <f>(I37+L37)/G37*30.4</f>
        <v>9650.9866666666658</v>
      </c>
      <c r="N37" s="300">
        <f>VLOOKUP(M37,Tarifa,1)</f>
        <v>6332.06</v>
      </c>
      <c r="O37" s="281">
        <f>M37-N37</f>
        <v>3318.9266666666654</v>
      </c>
      <c r="P37" s="282">
        <f>VLOOKUP(M37,Tarifa,3)</f>
        <v>0.10879999999999999</v>
      </c>
      <c r="Q37" s="281">
        <f>O37*P37</f>
        <v>361.09922133333316</v>
      </c>
      <c r="R37" s="283">
        <f>VLOOKUP(M37,Tarifa,2)</f>
        <v>371.83</v>
      </c>
      <c r="S37" s="281">
        <f>Q37+R37</f>
        <v>732.92922133333309</v>
      </c>
      <c r="T37" s="281">
        <f>VLOOKUP(M37,Credito,2)</f>
        <v>475</v>
      </c>
      <c r="U37" s="281">
        <f>ROUND((S37-T37)/30.4*G37,2)</f>
        <v>127.27</v>
      </c>
      <c r="V37" s="261">
        <f>-IF(U37&gt;0,0,0)</f>
        <v>0</v>
      </c>
      <c r="W37" s="261">
        <f>IF(I37/15&lt;=SMG,0,IF(U37&lt;0,0,U37))</f>
        <v>127.27</v>
      </c>
      <c r="X37" s="261">
        <f>SUM(W37:W37)</f>
        <v>127.27</v>
      </c>
      <c r="Y37" s="261">
        <f>K37+V37-X37</f>
        <v>4634.7299999999996</v>
      </c>
      <c r="Z37" s="269"/>
      <c r="AF37" s="265"/>
    </row>
    <row r="38" spans="1:32" s="51" customFormat="1" ht="39" customHeight="1" thickBot="1" x14ac:dyDescent="0.35">
      <c r="A38" s="415" t="s">
        <v>44</v>
      </c>
      <c r="B38" s="416"/>
      <c r="C38" s="416"/>
      <c r="D38" s="416"/>
      <c r="E38" s="416"/>
      <c r="F38" s="416"/>
      <c r="G38" s="416"/>
      <c r="H38" s="417"/>
      <c r="I38" s="197">
        <f t="shared" ref="I38:Y38" si="58">SUM(I9:I37)</f>
        <v>136147.66999999998</v>
      </c>
      <c r="J38" s="197">
        <f t="shared" si="58"/>
        <v>604.86</v>
      </c>
      <c r="K38" s="197">
        <f t="shared" si="58"/>
        <v>136752.53</v>
      </c>
      <c r="L38" s="198">
        <f t="shared" si="58"/>
        <v>302.43</v>
      </c>
      <c r="M38" s="198">
        <f t="shared" si="58"/>
        <v>276538.86933333334</v>
      </c>
      <c r="N38" s="198">
        <f t="shared" si="58"/>
        <v>221693.25999999995</v>
      </c>
      <c r="O38" s="198">
        <f t="shared" si="58"/>
        <v>54845.609333333319</v>
      </c>
      <c r="P38" s="198">
        <f t="shared" si="58"/>
        <v>3.1231999999999998</v>
      </c>
      <c r="Q38" s="198">
        <f t="shared" si="58"/>
        <v>10803.209762986666</v>
      </c>
      <c r="R38" s="198">
        <f t="shared" si="58"/>
        <v>21277.510000000006</v>
      </c>
      <c r="S38" s="198">
        <f t="shared" si="58"/>
        <v>32080.719762986664</v>
      </c>
      <c r="T38" s="198">
        <f t="shared" si="58"/>
        <v>950</v>
      </c>
      <c r="U38" s="198">
        <f t="shared" si="58"/>
        <v>15360.579999999998</v>
      </c>
      <c r="V38" s="197">
        <f t="shared" si="58"/>
        <v>0</v>
      </c>
      <c r="W38" s="197">
        <f t="shared" si="58"/>
        <v>15360.579999999998</v>
      </c>
      <c r="X38" s="197">
        <f t="shared" si="58"/>
        <v>15360.579999999998</v>
      </c>
      <c r="Y38" s="197">
        <f t="shared" si="58"/>
        <v>121391.95000000001</v>
      </c>
      <c r="Z38" s="104"/>
    </row>
    <row r="39" spans="1:32" s="51" customFormat="1" ht="26.25" customHeight="1" thickTop="1" x14ac:dyDescent="0.25">
      <c r="A39" s="99"/>
      <c r="B39" s="99"/>
      <c r="C39" s="99"/>
      <c r="D39" s="99"/>
      <c r="E39" s="99"/>
      <c r="F39" s="99"/>
      <c r="G39" s="99"/>
      <c r="H39" s="99"/>
      <c r="I39" s="100"/>
      <c r="J39" s="100"/>
      <c r="K39" s="100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0"/>
      <c r="W39" s="100"/>
      <c r="X39" s="100"/>
      <c r="Y39" s="100"/>
    </row>
    <row r="40" spans="1:32" s="51" customFormat="1" ht="26.25" customHeight="1" x14ac:dyDescent="0.25">
      <c r="A40" s="99"/>
      <c r="B40" s="99"/>
      <c r="C40" s="99"/>
      <c r="D40" s="99"/>
      <c r="E40" s="99"/>
      <c r="F40" s="99"/>
      <c r="G40" s="99"/>
      <c r="H40" s="99"/>
      <c r="I40" s="100"/>
      <c r="J40" s="100"/>
      <c r="K40" s="100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0"/>
      <c r="W40" s="100"/>
      <c r="X40" s="100"/>
      <c r="Y40" s="100"/>
    </row>
    <row r="41" spans="1:32" s="51" customFormat="1" ht="26.25" customHeight="1" x14ac:dyDescent="0.25">
      <c r="A41" s="99"/>
      <c r="B41" s="99"/>
      <c r="C41" s="99"/>
      <c r="D41" s="99"/>
      <c r="E41" s="99"/>
      <c r="F41" s="99"/>
      <c r="G41" s="99"/>
      <c r="H41" s="99"/>
      <c r="I41" s="100"/>
      <c r="J41" s="100"/>
      <c r="K41" s="100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0"/>
      <c r="W41" s="100"/>
      <c r="X41" s="100"/>
      <c r="Y41" s="100"/>
    </row>
    <row r="42" spans="1:32" s="51" customFormat="1" ht="26.25" customHeight="1" x14ac:dyDescent="0.25">
      <c r="A42" s="99"/>
      <c r="B42" s="99"/>
      <c r="C42" s="99"/>
      <c r="D42" s="99"/>
      <c r="E42" s="99"/>
      <c r="F42" s="99"/>
      <c r="G42" s="99"/>
      <c r="H42" s="99"/>
      <c r="I42" s="100"/>
      <c r="J42" s="100"/>
      <c r="K42" s="100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0"/>
      <c r="W42" s="100"/>
      <c r="X42" s="100"/>
      <c r="Y42" s="100"/>
    </row>
    <row r="43" spans="1:32" s="51" customFormat="1" ht="26.25" customHeight="1" x14ac:dyDescent="0.25">
      <c r="A43" s="99"/>
      <c r="B43" s="99"/>
      <c r="C43" s="99"/>
      <c r="D43" s="99"/>
      <c r="E43" s="99"/>
      <c r="F43" s="99"/>
      <c r="G43" s="99"/>
      <c r="H43" s="99"/>
      <c r="I43" s="100"/>
      <c r="J43" s="100"/>
      <c r="K43" s="100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0"/>
      <c r="W43" s="100"/>
      <c r="X43" s="100"/>
      <c r="Y43" s="100"/>
    </row>
    <row r="44" spans="1:32" s="51" customFormat="1" ht="26.25" customHeight="1" x14ac:dyDescent="0.25">
      <c r="A44" s="99"/>
      <c r="B44" s="99"/>
      <c r="C44" s="99"/>
      <c r="D44" s="99"/>
      <c r="E44" s="99"/>
      <c r="F44" s="99"/>
      <c r="G44" s="99"/>
      <c r="H44" s="99"/>
      <c r="I44" s="100"/>
      <c r="J44" s="100"/>
      <c r="K44" s="100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0"/>
      <c r="W44" s="100"/>
      <c r="X44" s="100"/>
      <c r="Y44" s="100"/>
    </row>
    <row r="45" spans="1:32" s="51" customFormat="1" ht="26.25" customHeight="1" x14ac:dyDescent="0.25">
      <c r="A45" s="99"/>
      <c r="B45" s="99"/>
      <c r="C45" s="99"/>
      <c r="D45" s="99"/>
      <c r="E45" s="99"/>
      <c r="F45" s="99"/>
      <c r="G45" s="99"/>
      <c r="H45" s="99"/>
      <c r="I45" s="100"/>
      <c r="J45" s="100"/>
      <c r="K45" s="100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0"/>
      <c r="W45" s="100"/>
      <c r="X45" s="100"/>
      <c r="Y45" s="100"/>
    </row>
    <row r="46" spans="1:32" s="51" customFormat="1" ht="26.25" customHeight="1" x14ac:dyDescent="0.25">
      <c r="A46" s="99"/>
      <c r="B46" s="99"/>
      <c r="C46" s="99"/>
      <c r="D46" s="99"/>
      <c r="E46" s="99"/>
      <c r="F46" s="99"/>
      <c r="G46" s="99"/>
      <c r="H46" s="99"/>
      <c r="I46" s="100"/>
      <c r="J46" s="100"/>
      <c r="K46" s="100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0"/>
      <c r="W46" s="100"/>
      <c r="X46" s="100"/>
      <c r="Y46" s="100"/>
    </row>
    <row r="47" spans="1:32" s="51" customFormat="1" ht="26.25" customHeight="1" x14ac:dyDescent="0.25">
      <c r="A47" s="99"/>
      <c r="B47" s="99"/>
      <c r="C47" s="99"/>
      <c r="D47" s="99"/>
      <c r="E47" s="99"/>
      <c r="F47" s="99"/>
      <c r="G47" s="99"/>
      <c r="H47" s="99"/>
      <c r="I47" s="100"/>
      <c r="J47" s="100"/>
      <c r="K47" s="100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0"/>
      <c r="W47" s="100"/>
      <c r="X47" s="100"/>
      <c r="Y47" s="100"/>
    </row>
  </sheetData>
  <mergeCells count="14">
    <mergeCell ref="B18:AA18"/>
    <mergeCell ref="B19:Z19"/>
    <mergeCell ref="B31:Z31"/>
    <mergeCell ref="A38:H38"/>
    <mergeCell ref="C5:C7"/>
    <mergeCell ref="B29:AA29"/>
    <mergeCell ref="B30:AA30"/>
    <mergeCell ref="B17:AA17"/>
    <mergeCell ref="A1:Z1"/>
    <mergeCell ref="A2:Z2"/>
    <mergeCell ref="A3:Z3"/>
    <mergeCell ref="I5:K5"/>
    <mergeCell ref="N5:S5"/>
    <mergeCell ref="W5:X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6:D37 D25:D26 D33:D34 D23:E24 D32:E32 D35:E35 D27:E28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7"/>
  <sheetViews>
    <sheetView topLeftCell="B38" zoomScale="69" zoomScaleNormal="69" workbookViewId="0">
      <selection activeCell="B45" sqref="A45:XFD48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4.7109375" customWidth="1"/>
    <col min="25" max="25" width="16.28515625" customWidth="1"/>
    <col min="26" max="26" width="55.5703125" customWidth="1"/>
  </cols>
  <sheetData>
    <row r="1" spans="1:27" ht="18" x14ac:dyDescent="0.25">
      <c r="A1" s="428" t="s">
        <v>76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</row>
    <row r="2" spans="1:27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7" ht="19.5" x14ac:dyDescent="0.25">
      <c r="A3" s="419" t="str">
        <f>PRESIDENCIA!A3</f>
        <v>SUELDO  DEL 01 AL 15 DE MAYO DE 2025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437" t="s">
        <v>1</v>
      </c>
      <c r="J5" s="438"/>
      <c r="K5" s="439"/>
      <c r="L5" s="49" t="s">
        <v>25</v>
      </c>
      <c r="M5" s="50"/>
      <c r="N5" s="440" t="s">
        <v>8</v>
      </c>
      <c r="O5" s="441"/>
      <c r="P5" s="441"/>
      <c r="Q5" s="441"/>
      <c r="R5" s="441"/>
      <c r="S5" s="442"/>
      <c r="T5" s="49" t="s">
        <v>29</v>
      </c>
      <c r="U5" s="49" t="s">
        <v>9</v>
      </c>
      <c r="V5" s="48" t="s">
        <v>52</v>
      </c>
      <c r="W5" s="443" t="s">
        <v>2</v>
      </c>
      <c r="X5" s="444"/>
      <c r="Y5" s="48" t="s">
        <v>0</v>
      </c>
      <c r="Z5" s="47"/>
    </row>
    <row r="6" spans="1:27" s="51" customFormat="1" ht="24" x14ac:dyDescent="0.2">
      <c r="A6" s="52" t="s">
        <v>100</v>
      </c>
      <c r="B6" s="46" t="s">
        <v>95</v>
      </c>
      <c r="C6" s="46" t="s">
        <v>113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3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194</v>
      </c>
      <c r="X6" s="48" t="s">
        <v>6</v>
      </c>
      <c r="Y6" s="52" t="s">
        <v>3</v>
      </c>
      <c r="Z6" s="52" t="s">
        <v>56</v>
      </c>
    </row>
    <row r="7" spans="1:27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58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4" t="s">
        <v>14</v>
      </c>
      <c r="S7" s="49" t="s">
        <v>38</v>
      </c>
      <c r="T7" s="54" t="s">
        <v>18</v>
      </c>
      <c r="U7" s="55" t="s">
        <v>114</v>
      </c>
      <c r="V7" s="52" t="s">
        <v>51</v>
      </c>
      <c r="W7" s="52"/>
      <c r="X7" s="52" t="s">
        <v>43</v>
      </c>
      <c r="Y7" s="52" t="s">
        <v>4</v>
      </c>
      <c r="Z7" s="56"/>
    </row>
    <row r="8" spans="1:27" s="4" customFormat="1" ht="39.75" customHeight="1" x14ac:dyDescent="0.25">
      <c r="A8" s="91"/>
      <c r="B8" s="108"/>
      <c r="C8" s="108"/>
      <c r="D8" s="171" t="s">
        <v>68</v>
      </c>
      <c r="E8" s="141" t="s">
        <v>200</v>
      </c>
      <c r="F8" s="171" t="s">
        <v>60</v>
      </c>
      <c r="G8" s="171"/>
      <c r="H8" s="171"/>
      <c r="I8" s="172">
        <f>SUM(I9:I26)</f>
        <v>61884</v>
      </c>
      <c r="J8" s="172">
        <f>SUM(J9:J26)</f>
        <v>2253.85</v>
      </c>
      <c r="K8" s="172">
        <f>SUM(K9:K26)</f>
        <v>64137.85</v>
      </c>
      <c r="L8" s="171"/>
      <c r="M8" s="171"/>
      <c r="N8" s="171"/>
      <c r="O8" s="171"/>
      <c r="P8" s="171"/>
      <c r="Q8" s="171"/>
      <c r="R8" s="174"/>
      <c r="S8" s="171"/>
      <c r="T8" s="171"/>
      <c r="U8" s="171"/>
      <c r="V8" s="172">
        <f>SUM(V9:V26)</f>
        <v>0</v>
      </c>
      <c r="W8" s="172">
        <f>SUM(W9:W26)</f>
        <v>4000.6</v>
      </c>
      <c r="X8" s="172">
        <f>SUM(X9:X26)</f>
        <v>4000.6</v>
      </c>
      <c r="Y8" s="172">
        <f>SUM(Y9:Y26)</f>
        <v>60137.250000000007</v>
      </c>
      <c r="Z8" s="92"/>
    </row>
    <row r="9" spans="1:27" s="318" customFormat="1" ht="220.5" customHeight="1" x14ac:dyDescent="0.2">
      <c r="A9" s="316"/>
      <c r="B9" s="267" t="s">
        <v>145</v>
      </c>
      <c r="C9" s="267" t="s">
        <v>107</v>
      </c>
      <c r="D9" s="253" t="s">
        <v>144</v>
      </c>
      <c r="E9" s="255">
        <v>43512</v>
      </c>
      <c r="F9" s="256" t="s">
        <v>143</v>
      </c>
      <c r="G9" s="257">
        <v>15</v>
      </c>
      <c r="H9" s="258">
        <f>I9/G9</f>
        <v>362.33333333333331</v>
      </c>
      <c r="I9" s="259">
        <v>5435</v>
      </c>
      <c r="J9" s="260">
        <v>0</v>
      </c>
      <c r="K9" s="261">
        <f>SUM(I9:J9)</f>
        <v>5435</v>
      </c>
      <c r="L9" s="281">
        <f>IF(I9/15&lt;=SMG,0,J9/2)</f>
        <v>0</v>
      </c>
      <c r="M9" s="300">
        <f>(I9+L9)/G9*30.4</f>
        <v>11014.933333333332</v>
      </c>
      <c r="N9" s="300">
        <f>VLOOKUP(M9,Tarifa,1)</f>
        <v>6332.06</v>
      </c>
      <c r="O9" s="281">
        <f>M9-N9</f>
        <v>4682.8733333333321</v>
      </c>
      <c r="P9" s="282">
        <f>VLOOKUP(M9,Tarifa,3)</f>
        <v>0.10879999999999999</v>
      </c>
      <c r="Q9" s="281">
        <f>O9*P9</f>
        <v>509.49661866666651</v>
      </c>
      <c r="R9" s="283">
        <f>VLOOKUP(M9,Tarifa,2)</f>
        <v>371.83</v>
      </c>
      <c r="S9" s="281">
        <f>Q9+R9</f>
        <v>881.32661866666649</v>
      </c>
      <c r="T9" s="281">
        <f>VLOOKUP(M9,Credito,2)</f>
        <v>0</v>
      </c>
      <c r="U9" s="281">
        <f>ROUND((S9-T9)/30.4*G9,2)</f>
        <v>434.87</v>
      </c>
      <c r="V9" s="261">
        <f>-IF(U9&gt;0,0,0)</f>
        <v>0</v>
      </c>
      <c r="W9" s="261">
        <f>IF(I9/15&lt;=SMG,0,IF(U9&lt;0,0,U9))</f>
        <v>434.87</v>
      </c>
      <c r="X9" s="261">
        <f>SUM(W9:W9)</f>
        <v>434.87</v>
      </c>
      <c r="Y9" s="261">
        <f>K9+V9-X9</f>
        <v>5000.13</v>
      </c>
      <c r="Z9" s="317"/>
    </row>
    <row r="10" spans="1:27" s="318" customFormat="1" ht="220.5" customHeight="1" x14ac:dyDescent="0.2">
      <c r="A10" s="316"/>
      <c r="B10" s="267" t="s">
        <v>189</v>
      </c>
      <c r="C10" s="267" t="s">
        <v>107</v>
      </c>
      <c r="D10" s="253" t="s">
        <v>192</v>
      </c>
      <c r="E10" s="310">
        <v>44743</v>
      </c>
      <c r="F10" s="256" t="s">
        <v>143</v>
      </c>
      <c r="G10" s="257">
        <v>15</v>
      </c>
      <c r="H10" s="258">
        <f>I10/G10</f>
        <v>362.33333333333331</v>
      </c>
      <c r="I10" s="259">
        <v>5435</v>
      </c>
      <c r="J10" s="260">
        <v>362.33</v>
      </c>
      <c r="K10" s="261">
        <f>SUM(I10:J10)</f>
        <v>5797.33</v>
      </c>
      <c r="L10" s="281">
        <f>IF(I10/15&lt;=SMG,0,J10/2)</f>
        <v>181.16499999999999</v>
      </c>
      <c r="M10" s="300">
        <f>(I10+L10)/G10*30.4</f>
        <v>11382.0944</v>
      </c>
      <c r="N10" s="300">
        <f>VLOOKUP(M10,Tarifa,1)</f>
        <v>11128.02</v>
      </c>
      <c r="O10" s="281">
        <f>M10-N10</f>
        <v>254.07439999999951</v>
      </c>
      <c r="P10" s="282">
        <f>VLOOKUP(M10,Tarifa,3)</f>
        <v>0.16</v>
      </c>
      <c r="Q10" s="281">
        <f>O10*P10</f>
        <v>40.651903999999924</v>
      </c>
      <c r="R10" s="283">
        <f>VLOOKUP(M10,Tarifa,2)</f>
        <v>893.63</v>
      </c>
      <c r="S10" s="281">
        <f>Q10+R10</f>
        <v>934.28190399999994</v>
      </c>
      <c r="T10" s="281">
        <f>VLOOKUP(M10,Credito,2)</f>
        <v>0</v>
      </c>
      <c r="U10" s="281">
        <f>ROUND((S10-T10)/30.4*G10,2)</f>
        <v>460.99</v>
      </c>
      <c r="V10" s="261">
        <f t="shared" ref="V10" si="0">-IF(U10&gt;0,0,0)</f>
        <v>0</v>
      </c>
      <c r="W10" s="261">
        <f>IF(I10/15&lt;=SMG,0,IF(U10&lt;0,0,U10))</f>
        <v>460.99</v>
      </c>
      <c r="X10" s="261">
        <f>SUM(W10:W10)</f>
        <v>460.99</v>
      </c>
      <c r="Y10" s="261">
        <f>K10+V10-X10</f>
        <v>5336.34</v>
      </c>
      <c r="Z10" s="317"/>
    </row>
    <row r="11" spans="1:27" s="318" customFormat="1" ht="220.5" customHeight="1" x14ac:dyDescent="0.2">
      <c r="A11" s="316"/>
      <c r="B11" s="267" t="s">
        <v>97</v>
      </c>
      <c r="C11" s="267" t="s">
        <v>107</v>
      </c>
      <c r="D11" s="253" t="s">
        <v>69</v>
      </c>
      <c r="E11" s="255">
        <v>39448</v>
      </c>
      <c r="F11" s="256" t="s">
        <v>338</v>
      </c>
      <c r="G11" s="257">
        <v>15</v>
      </c>
      <c r="H11" s="258">
        <f>I11/G11</f>
        <v>362.33333333333331</v>
      </c>
      <c r="I11" s="259">
        <v>5435</v>
      </c>
      <c r="J11" s="260">
        <v>362.33</v>
      </c>
      <c r="K11" s="261">
        <f>SUM(I11:J11)</f>
        <v>5797.33</v>
      </c>
      <c r="L11" s="281">
        <f>IF(I11/15&lt;=SMG,0,J11/2)</f>
        <v>181.16499999999999</v>
      </c>
      <c r="M11" s="300">
        <f>(I11+L11)/G11*30.4</f>
        <v>11382.0944</v>
      </c>
      <c r="N11" s="300">
        <f>VLOOKUP(M11,Tarifa,1)</f>
        <v>11128.02</v>
      </c>
      <c r="O11" s="281">
        <f>M11-N11</f>
        <v>254.07439999999951</v>
      </c>
      <c r="P11" s="282">
        <f>VLOOKUP(M11,Tarifa,3)</f>
        <v>0.16</v>
      </c>
      <c r="Q11" s="281">
        <f>O11*P11</f>
        <v>40.651903999999924</v>
      </c>
      <c r="R11" s="283">
        <f>VLOOKUP(M11,Tarifa,2)</f>
        <v>893.63</v>
      </c>
      <c r="S11" s="281">
        <f>Q11+R11</f>
        <v>934.28190399999994</v>
      </c>
      <c r="T11" s="281">
        <f>VLOOKUP(M11,Credito,2)</f>
        <v>0</v>
      </c>
      <c r="U11" s="281">
        <f>ROUND((S11-T11)/30.4*G11,2)</f>
        <v>460.99</v>
      </c>
      <c r="V11" s="261">
        <f t="shared" ref="V11:V36" si="1">-IF(U11&gt;0,0,0)</f>
        <v>0</v>
      </c>
      <c r="W11" s="261">
        <f>IF(I11/15&lt;=SMG,0,IF(U11&lt;0,0,U11))</f>
        <v>460.99</v>
      </c>
      <c r="X11" s="261">
        <f>SUM(W11:W11)</f>
        <v>460.99</v>
      </c>
      <c r="Y11" s="261">
        <f>K11+V11-X11</f>
        <v>5336.34</v>
      </c>
      <c r="Z11" s="317"/>
    </row>
    <row r="12" spans="1:27" s="318" customFormat="1" ht="220.5" customHeight="1" x14ac:dyDescent="0.2">
      <c r="A12" s="316"/>
      <c r="B12" s="273" t="s">
        <v>150</v>
      </c>
      <c r="C12" s="267" t="s">
        <v>107</v>
      </c>
      <c r="D12" s="274" t="s">
        <v>149</v>
      </c>
      <c r="E12" s="276">
        <v>43617</v>
      </c>
      <c r="F12" s="256" t="s">
        <v>338</v>
      </c>
      <c r="G12" s="257">
        <v>15</v>
      </c>
      <c r="H12" s="258">
        <f>I12/G12</f>
        <v>362.33333333333331</v>
      </c>
      <c r="I12" s="259">
        <v>5435</v>
      </c>
      <c r="J12" s="260">
        <v>0</v>
      </c>
      <c r="K12" s="261">
        <f>SUM(I12:J12)</f>
        <v>5435</v>
      </c>
      <c r="L12" s="281">
        <f>IF(I12/15&lt;=SMG,0,J12/2)</f>
        <v>0</v>
      </c>
      <c r="M12" s="300">
        <f>(I12+L12)/G12*30.4</f>
        <v>11014.933333333332</v>
      </c>
      <c r="N12" s="300">
        <f>VLOOKUP(M12,Tarifa,1)</f>
        <v>6332.06</v>
      </c>
      <c r="O12" s="281">
        <f>M12-N12</f>
        <v>4682.8733333333321</v>
      </c>
      <c r="P12" s="282">
        <f>VLOOKUP(M12,Tarifa,3)</f>
        <v>0.10879999999999999</v>
      </c>
      <c r="Q12" s="281">
        <f>O12*P12</f>
        <v>509.49661866666651</v>
      </c>
      <c r="R12" s="283">
        <f>VLOOKUP(M12,Tarifa,2)</f>
        <v>371.83</v>
      </c>
      <c r="S12" s="281">
        <f>Q12+R12</f>
        <v>881.32661866666649</v>
      </c>
      <c r="T12" s="281">
        <f>VLOOKUP(M12,Credito,2)</f>
        <v>0</v>
      </c>
      <c r="U12" s="281">
        <f>ROUND((S12-T12)/30.4*G12,2)</f>
        <v>434.87</v>
      </c>
      <c r="V12" s="261">
        <f t="shared" ref="V12" si="2">-IF(U12&gt;0,0,0)</f>
        <v>0</v>
      </c>
      <c r="W12" s="261">
        <f>IF(I12/15&lt;=SMG,0,IF(U12&lt;0,0,U12))</f>
        <v>434.87</v>
      </c>
      <c r="X12" s="261">
        <f>SUM(W12:W12)</f>
        <v>434.87</v>
      </c>
      <c r="Y12" s="261">
        <f>K12+V12-X12</f>
        <v>5000.13</v>
      </c>
      <c r="Z12" s="317"/>
    </row>
    <row r="13" spans="1:27" s="318" customFormat="1" ht="220.5" customHeight="1" x14ac:dyDescent="0.2">
      <c r="A13" s="316"/>
      <c r="B13" s="267" t="s">
        <v>119</v>
      </c>
      <c r="C13" s="267" t="s">
        <v>107</v>
      </c>
      <c r="D13" s="274" t="s">
        <v>118</v>
      </c>
      <c r="E13" s="315">
        <v>42948</v>
      </c>
      <c r="F13" s="256" t="s">
        <v>339</v>
      </c>
      <c r="G13" s="257">
        <v>15</v>
      </c>
      <c r="H13" s="258">
        <f>I13/G13</f>
        <v>373.2</v>
      </c>
      <c r="I13" s="259">
        <v>5598</v>
      </c>
      <c r="J13" s="260">
        <v>0</v>
      </c>
      <c r="K13" s="261">
        <f>SUM(I13:J13)</f>
        <v>5598</v>
      </c>
      <c r="L13" s="281">
        <f>IF(I13/15&lt;=SMG,0,J13/2)</f>
        <v>0</v>
      </c>
      <c r="M13" s="300">
        <f>(I13+L13)/G13*30.4</f>
        <v>11345.279999999999</v>
      </c>
      <c r="N13" s="300">
        <f>VLOOKUP(M13,Tarifa,1)</f>
        <v>11128.02</v>
      </c>
      <c r="O13" s="281">
        <f>M13-N13</f>
        <v>217.2599999999984</v>
      </c>
      <c r="P13" s="282">
        <f>VLOOKUP(M13,Tarifa,3)</f>
        <v>0.16</v>
      </c>
      <c r="Q13" s="281">
        <f>O13*P13</f>
        <v>34.761599999999746</v>
      </c>
      <c r="R13" s="283">
        <f>VLOOKUP(M13,Tarifa,2)</f>
        <v>893.63</v>
      </c>
      <c r="S13" s="281">
        <f>Q13+R13</f>
        <v>928.3915999999997</v>
      </c>
      <c r="T13" s="281">
        <f>VLOOKUP(M13,Credito,2)</f>
        <v>0</v>
      </c>
      <c r="U13" s="281">
        <f>ROUND((S13-T13)/30.4*G13,2)</f>
        <v>458.09</v>
      </c>
      <c r="V13" s="261">
        <f>-IF(U13&gt;0,0,0)</f>
        <v>0</v>
      </c>
      <c r="W13" s="261">
        <f>IF(I13/15&lt;=SMG,0,IF(U13&lt;0,0,U13))</f>
        <v>458.09</v>
      </c>
      <c r="X13" s="261">
        <f>SUM(W13:W13)</f>
        <v>458.09</v>
      </c>
      <c r="Y13" s="261">
        <f>K13+V13-X13</f>
        <v>5139.91</v>
      </c>
      <c r="Z13" s="317"/>
    </row>
    <row r="14" spans="1:27" s="4" customFormat="1" ht="12.75" customHeight="1" x14ac:dyDescent="0.3">
      <c r="A14" s="194"/>
      <c r="B14" s="203"/>
      <c r="C14" s="203"/>
      <c r="D14" s="204"/>
      <c r="E14" s="206"/>
      <c r="F14" s="196"/>
      <c r="G14" s="207"/>
      <c r="H14" s="208"/>
      <c r="I14" s="209"/>
      <c r="J14" s="210"/>
      <c r="K14" s="211"/>
      <c r="L14" s="212"/>
      <c r="M14" s="212"/>
      <c r="N14" s="212"/>
      <c r="O14" s="212"/>
      <c r="P14" s="213"/>
      <c r="Q14" s="212"/>
      <c r="R14" s="214"/>
      <c r="S14" s="212"/>
      <c r="T14" s="212"/>
      <c r="U14" s="212"/>
      <c r="V14" s="211"/>
      <c r="W14" s="211"/>
      <c r="X14" s="211"/>
      <c r="Y14" s="211"/>
    </row>
    <row r="15" spans="1:27" s="4" customFormat="1" ht="12.75" customHeight="1" x14ac:dyDescent="0.3">
      <c r="A15" s="194"/>
      <c r="B15" s="203"/>
      <c r="C15" s="203"/>
      <c r="D15" s="204"/>
      <c r="E15" s="206"/>
      <c r="F15" s="196"/>
      <c r="G15" s="207"/>
      <c r="H15" s="208"/>
      <c r="I15" s="209"/>
      <c r="J15" s="210"/>
      <c r="K15" s="211"/>
      <c r="L15" s="212"/>
      <c r="M15" s="212"/>
      <c r="N15" s="212"/>
      <c r="O15" s="212"/>
      <c r="P15" s="213"/>
      <c r="Q15" s="212"/>
      <c r="R15" s="214"/>
      <c r="S15" s="212"/>
      <c r="T15" s="212"/>
      <c r="U15" s="212"/>
      <c r="V15" s="211"/>
      <c r="W15" s="211"/>
      <c r="X15" s="211"/>
      <c r="Y15" s="211"/>
    </row>
    <row r="16" spans="1:27" s="4" customFormat="1" ht="27" customHeight="1" x14ac:dyDescent="0.25">
      <c r="A16" s="194"/>
      <c r="B16" s="428" t="s">
        <v>76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8"/>
      <c r="AA16" s="428"/>
    </row>
    <row r="17" spans="1:27" s="4" customFormat="1" ht="27" customHeight="1" x14ac:dyDescent="0.25">
      <c r="A17" s="194"/>
      <c r="B17" s="428" t="s">
        <v>63</v>
      </c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8"/>
      <c r="AA17" s="428"/>
    </row>
    <row r="18" spans="1:27" s="4" customFormat="1" ht="27" customHeight="1" x14ac:dyDescent="0.3">
      <c r="A18" s="194"/>
      <c r="B18" s="450" t="str">
        <f>PRESIDENCIA!A3</f>
        <v>SUELDO  DEL 01 AL 15 DE MAYO DE 2025</v>
      </c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</row>
    <row r="19" spans="1:27" s="4" customFormat="1" ht="18.75" customHeight="1" x14ac:dyDescent="0.3">
      <c r="A19" s="194"/>
      <c r="B19" s="203"/>
      <c r="C19" s="203"/>
      <c r="D19" s="204"/>
      <c r="E19" s="206"/>
      <c r="F19" s="196"/>
      <c r="G19" s="207"/>
      <c r="H19" s="208"/>
      <c r="I19" s="209"/>
      <c r="J19" s="210"/>
      <c r="K19" s="211"/>
      <c r="L19" s="212"/>
      <c r="M19" s="212"/>
      <c r="N19" s="212"/>
      <c r="O19" s="212"/>
      <c r="P19" s="213"/>
      <c r="Q19" s="212"/>
      <c r="R19" s="214"/>
      <c r="S19" s="212"/>
      <c r="T19" s="212"/>
      <c r="U19" s="212"/>
      <c r="V19" s="211"/>
      <c r="W19" s="211"/>
      <c r="X19" s="211"/>
      <c r="Y19" s="211"/>
    </row>
    <row r="20" spans="1:27" s="318" customFormat="1" ht="160.5" customHeight="1" x14ac:dyDescent="0.2">
      <c r="A20" s="319"/>
      <c r="B20" s="320" t="s">
        <v>281</v>
      </c>
      <c r="C20" s="320" t="s">
        <v>107</v>
      </c>
      <c r="D20" s="321" t="s">
        <v>275</v>
      </c>
      <c r="E20" s="322">
        <v>45566</v>
      </c>
      <c r="F20" s="323" t="s">
        <v>96</v>
      </c>
      <c r="G20" s="257">
        <v>15</v>
      </c>
      <c r="H20" s="258">
        <f t="shared" ref="H20:H26" si="3">I20/G20</f>
        <v>317.46666666666664</v>
      </c>
      <c r="I20" s="324">
        <v>4762</v>
      </c>
      <c r="J20" s="325">
        <v>0</v>
      </c>
      <c r="K20" s="326">
        <f t="shared" ref="K20" si="4">SUM(I20:J20)</f>
        <v>4762</v>
      </c>
      <c r="L20" s="281">
        <f>IF(I20/15&lt;=SMG,0,J20/2)</f>
        <v>0</v>
      </c>
      <c r="M20" s="300">
        <f>(I20+L20)/G20*30.4</f>
        <v>9650.9866666666658</v>
      </c>
      <c r="N20" s="300">
        <f>VLOOKUP(M20,Tarifa,1)</f>
        <v>6332.06</v>
      </c>
      <c r="O20" s="281">
        <f>M20-N20</f>
        <v>3318.9266666666654</v>
      </c>
      <c r="P20" s="282">
        <f>VLOOKUP(M20,Tarifa,3)</f>
        <v>0.10879999999999999</v>
      </c>
      <c r="Q20" s="281">
        <f>O20*P20</f>
        <v>361.09922133333316</v>
      </c>
      <c r="R20" s="283">
        <f>VLOOKUP(M20,Tarifa,2)</f>
        <v>371.83</v>
      </c>
      <c r="S20" s="281">
        <f>Q20+R20</f>
        <v>732.92922133333309</v>
      </c>
      <c r="T20" s="281">
        <f>VLOOKUP(M20,Credito,2)</f>
        <v>475</v>
      </c>
      <c r="U20" s="281">
        <f>ROUND((S20-T20)/30.4*G20,2)</f>
        <v>127.27</v>
      </c>
      <c r="V20" s="326">
        <f t="shared" ref="V20:V21" si="5">-IF(U20&gt;0,0,0)</f>
        <v>0</v>
      </c>
      <c r="W20" s="326">
        <f t="shared" ref="W20:W21" si="6">IF(I20/15&lt;=SMG,0,IF(U20&lt;0,0,U20))</f>
        <v>127.27</v>
      </c>
      <c r="X20" s="326">
        <f>SUM(W20:W20)</f>
        <v>127.27</v>
      </c>
      <c r="Y20" s="326">
        <f>K20+V20-X20</f>
        <v>4634.7299999999996</v>
      </c>
      <c r="Z20" s="327"/>
    </row>
    <row r="21" spans="1:27" s="318" customFormat="1" ht="160.5" customHeight="1" x14ac:dyDescent="0.2">
      <c r="A21" s="319"/>
      <c r="B21" s="267" t="s">
        <v>217</v>
      </c>
      <c r="C21" s="267" t="s">
        <v>107</v>
      </c>
      <c r="D21" s="274" t="s">
        <v>216</v>
      </c>
      <c r="E21" s="315">
        <v>45123</v>
      </c>
      <c r="F21" s="256" t="s">
        <v>215</v>
      </c>
      <c r="G21" s="257">
        <v>15</v>
      </c>
      <c r="H21" s="258">
        <f t="shared" si="3"/>
        <v>305.06666666666666</v>
      </c>
      <c r="I21" s="259">
        <v>4576</v>
      </c>
      <c r="J21" s="260">
        <v>610.13</v>
      </c>
      <c r="K21" s="261">
        <f>SUM(I21:J21)</f>
        <v>5186.13</v>
      </c>
      <c r="L21" s="281">
        <f>IF(I21/15&lt;=SMG,0,J21/2)</f>
        <v>305.065</v>
      </c>
      <c r="M21" s="300">
        <f>(I21+L21)/G21*30.4</f>
        <v>9892.2917333333316</v>
      </c>
      <c r="N21" s="300">
        <f>VLOOKUP(M21,Tarifa,1)</f>
        <v>6332.06</v>
      </c>
      <c r="O21" s="281">
        <f>M21-N21</f>
        <v>3560.2317333333312</v>
      </c>
      <c r="P21" s="282">
        <f>VLOOKUP(M21,Tarifa,3)</f>
        <v>0.10879999999999999</v>
      </c>
      <c r="Q21" s="281">
        <f>O21*P21</f>
        <v>387.35321258666642</v>
      </c>
      <c r="R21" s="283">
        <f>VLOOKUP(M21,Tarifa,2)</f>
        <v>371.83</v>
      </c>
      <c r="S21" s="281">
        <f>Q21+R21</f>
        <v>759.1832125866664</v>
      </c>
      <c r="T21" s="281">
        <f>VLOOKUP(M21,Credito,2)</f>
        <v>475</v>
      </c>
      <c r="U21" s="281">
        <f>ROUND((S21-T21)/30.4*G21,2)</f>
        <v>140.22</v>
      </c>
      <c r="V21" s="261">
        <f t="shared" si="5"/>
        <v>0</v>
      </c>
      <c r="W21" s="261">
        <f t="shared" si="6"/>
        <v>140.22</v>
      </c>
      <c r="X21" s="261">
        <f>SUM(W21:W21)</f>
        <v>140.22</v>
      </c>
      <c r="Y21" s="261">
        <f>K21+V21-X21</f>
        <v>5045.91</v>
      </c>
      <c r="Z21" s="327"/>
    </row>
    <row r="22" spans="1:27" s="318" customFormat="1" ht="160.5" customHeight="1" x14ac:dyDescent="0.2">
      <c r="A22" s="316"/>
      <c r="B22" s="267" t="s">
        <v>151</v>
      </c>
      <c r="C22" s="267" t="s">
        <v>107</v>
      </c>
      <c r="D22" s="274" t="s">
        <v>152</v>
      </c>
      <c r="E22" s="315">
        <v>43709</v>
      </c>
      <c r="F22" s="256" t="s">
        <v>177</v>
      </c>
      <c r="G22" s="257">
        <v>15</v>
      </c>
      <c r="H22" s="258">
        <f t="shared" si="3"/>
        <v>288</v>
      </c>
      <c r="I22" s="259">
        <v>4320</v>
      </c>
      <c r="J22" s="260">
        <v>0</v>
      </c>
      <c r="K22" s="261">
        <f>SUM(I22:J22)</f>
        <v>4320</v>
      </c>
      <c r="L22" s="281">
        <f>IF(I22/15&lt;=SMG,0,J22/2)</f>
        <v>0</v>
      </c>
      <c r="M22" s="300">
        <f>(I22+L22)/G22*30.4</f>
        <v>8755.1999999999989</v>
      </c>
      <c r="N22" s="300">
        <f>VLOOKUP(M22,Tarifa,1)</f>
        <v>6332.06</v>
      </c>
      <c r="O22" s="281">
        <f>M22-N22</f>
        <v>2423.1399999999985</v>
      </c>
      <c r="P22" s="282">
        <f>VLOOKUP(M22,Tarifa,3)</f>
        <v>0.10879999999999999</v>
      </c>
      <c r="Q22" s="281">
        <f>O22*P22</f>
        <v>263.63763199999983</v>
      </c>
      <c r="R22" s="283">
        <f>VLOOKUP(M22,Tarifa,2)</f>
        <v>371.83</v>
      </c>
      <c r="S22" s="281">
        <f>Q22+R22</f>
        <v>635.46763199999987</v>
      </c>
      <c r="T22" s="281">
        <f>VLOOKUP(M22,Credito,2)</f>
        <v>475</v>
      </c>
      <c r="U22" s="281">
        <f>ROUND((S22-T22)/30.4*G22,2)</f>
        <v>79.180000000000007</v>
      </c>
      <c r="V22" s="261">
        <f t="shared" si="1"/>
        <v>0</v>
      </c>
      <c r="W22" s="261">
        <f>IF(I22/15&lt;=SMG,0,IF(U22&lt;0,0,U22))</f>
        <v>79.180000000000007</v>
      </c>
      <c r="X22" s="261">
        <f>SUM(W22:W22)</f>
        <v>79.180000000000007</v>
      </c>
      <c r="Y22" s="261">
        <f>K22+V22-X22</f>
        <v>4240.82</v>
      </c>
      <c r="Z22" s="317"/>
    </row>
    <row r="23" spans="1:27" s="318" customFormat="1" ht="160.5" customHeight="1" x14ac:dyDescent="0.2">
      <c r="A23" s="316"/>
      <c r="B23" s="273" t="s">
        <v>178</v>
      </c>
      <c r="C23" s="267" t="s">
        <v>107</v>
      </c>
      <c r="D23" s="253" t="s">
        <v>173</v>
      </c>
      <c r="E23" s="255">
        <v>44473</v>
      </c>
      <c r="F23" s="256" t="s">
        <v>274</v>
      </c>
      <c r="G23" s="257">
        <v>15</v>
      </c>
      <c r="H23" s="258">
        <f t="shared" si="3"/>
        <v>272.93333333333334</v>
      </c>
      <c r="I23" s="259">
        <v>4094</v>
      </c>
      <c r="J23" s="260">
        <v>545.86</v>
      </c>
      <c r="K23" s="261">
        <f>SUM(I23:J23)</f>
        <v>4639.8599999999997</v>
      </c>
      <c r="L23" s="281">
        <f>IF(I23/15&lt;=SMG,0,J23/2)</f>
        <v>0</v>
      </c>
      <c r="M23" s="300">
        <f>(I23+L23)/G23*30.4</f>
        <v>8297.1733333333323</v>
      </c>
      <c r="N23" s="300">
        <f>VLOOKUP(M23,Tarifa,1)</f>
        <v>6332.06</v>
      </c>
      <c r="O23" s="281">
        <f>M23-N23</f>
        <v>1965.1133333333319</v>
      </c>
      <c r="P23" s="282">
        <f>VLOOKUP(M23,Tarifa,3)</f>
        <v>0.10879999999999999</v>
      </c>
      <c r="Q23" s="281">
        <f>O23*P23</f>
        <v>213.80433066666649</v>
      </c>
      <c r="R23" s="283">
        <f>VLOOKUP(M23,Tarifa,2)</f>
        <v>371.83</v>
      </c>
      <c r="S23" s="281">
        <f>Q23+R23</f>
        <v>585.63433066666653</v>
      </c>
      <c r="T23" s="281">
        <f>VLOOKUP(M23,Credito,2)</f>
        <v>475</v>
      </c>
      <c r="U23" s="281">
        <f>ROUND((S23-T23)/30.4*G23,2)</f>
        <v>54.59</v>
      </c>
      <c r="V23" s="261">
        <f>-IF(U23&gt;0,0,0)</f>
        <v>0</v>
      </c>
      <c r="W23" s="261">
        <f t="shared" ref="W23:W24" si="7">IF(I23/15&lt;=SMG,0,IF(U23&lt;0,0,U23))</f>
        <v>0</v>
      </c>
      <c r="X23" s="261">
        <f>SUM(W23:W23)</f>
        <v>0</v>
      </c>
      <c r="Y23" s="261">
        <f>K23+V23-X23</f>
        <v>4639.8599999999997</v>
      </c>
      <c r="Z23" s="317"/>
    </row>
    <row r="24" spans="1:27" s="318" customFormat="1" ht="160.5" customHeight="1" x14ac:dyDescent="0.2">
      <c r="A24" s="316"/>
      <c r="B24" s="273" t="s">
        <v>348</v>
      </c>
      <c r="C24" s="267" t="s">
        <v>107</v>
      </c>
      <c r="D24" s="253" t="s">
        <v>350</v>
      </c>
      <c r="E24" s="255">
        <v>45673</v>
      </c>
      <c r="F24" s="256" t="s">
        <v>256</v>
      </c>
      <c r="G24" s="257">
        <v>15</v>
      </c>
      <c r="H24" s="258">
        <f t="shared" si="3"/>
        <v>373.2</v>
      </c>
      <c r="I24" s="259">
        <v>5598</v>
      </c>
      <c r="J24" s="260">
        <v>0</v>
      </c>
      <c r="K24" s="261">
        <f t="shared" ref="K24" si="8">SUM(I24:J24)</f>
        <v>5598</v>
      </c>
      <c r="L24" s="281">
        <f t="shared" ref="L24" si="9">IF(I24/15&lt;=SMG,0,J24/2)</f>
        <v>0</v>
      </c>
      <c r="M24" s="300">
        <f t="shared" ref="M24" si="10">(I24+L24)/G24*30.4</f>
        <v>11345.279999999999</v>
      </c>
      <c r="N24" s="300">
        <f t="shared" ref="N24" si="11">VLOOKUP(M24,Tarifa,1)</f>
        <v>11128.02</v>
      </c>
      <c r="O24" s="281">
        <f t="shared" ref="O24" si="12">M24-N24</f>
        <v>217.2599999999984</v>
      </c>
      <c r="P24" s="282">
        <f t="shared" ref="P24" si="13">VLOOKUP(M24,Tarifa,3)</f>
        <v>0.16</v>
      </c>
      <c r="Q24" s="281">
        <f t="shared" ref="Q24" si="14">O24*P24</f>
        <v>34.761599999999746</v>
      </c>
      <c r="R24" s="283">
        <f t="shared" ref="R24" si="15">VLOOKUP(M24,Tarifa,2)</f>
        <v>893.63</v>
      </c>
      <c r="S24" s="281">
        <f t="shared" ref="S24" si="16">Q24+R24</f>
        <v>928.3915999999997</v>
      </c>
      <c r="T24" s="281">
        <f t="shared" ref="T24" si="17">VLOOKUP(M24,Credito,2)</f>
        <v>0</v>
      </c>
      <c r="U24" s="281">
        <f t="shared" ref="U24" si="18">ROUND((S24-T24)/30.4*G24,2)</f>
        <v>458.09</v>
      </c>
      <c r="V24" s="261">
        <f t="shared" ref="V24" si="19">-IF(U24&gt;0,0,0)</f>
        <v>0</v>
      </c>
      <c r="W24" s="261">
        <f t="shared" si="7"/>
        <v>458.09</v>
      </c>
      <c r="X24" s="261">
        <f>SUM(W24:W24)</f>
        <v>458.09</v>
      </c>
      <c r="Y24" s="261">
        <f>K24+V24-X24</f>
        <v>5139.91</v>
      </c>
      <c r="Z24" s="317"/>
    </row>
    <row r="25" spans="1:27" s="318" customFormat="1" ht="160.5" customHeight="1" x14ac:dyDescent="0.2">
      <c r="A25" s="316"/>
      <c r="B25" s="273" t="s">
        <v>349</v>
      </c>
      <c r="C25" s="267" t="s">
        <v>107</v>
      </c>
      <c r="D25" s="253" t="s">
        <v>351</v>
      </c>
      <c r="E25" s="255">
        <v>45673</v>
      </c>
      <c r="F25" s="256" t="s">
        <v>256</v>
      </c>
      <c r="G25" s="257">
        <v>15</v>
      </c>
      <c r="H25" s="258">
        <f t="shared" ref="H25" si="20">I25/G25</f>
        <v>373.2</v>
      </c>
      <c r="I25" s="259">
        <v>5598</v>
      </c>
      <c r="J25" s="260">
        <v>0</v>
      </c>
      <c r="K25" s="261">
        <f t="shared" ref="K25" si="21">SUM(I25:J25)</f>
        <v>5598</v>
      </c>
      <c r="L25" s="281">
        <f t="shared" ref="L25" si="22">IF(I25/15&lt;=SMG,0,J25/2)</f>
        <v>0</v>
      </c>
      <c r="M25" s="300">
        <f t="shared" ref="M25" si="23">(I25+L25)/G25*30.4</f>
        <v>11345.279999999999</v>
      </c>
      <c r="N25" s="300">
        <f t="shared" ref="N25" si="24">VLOOKUP(M25,Tarifa,1)</f>
        <v>11128.02</v>
      </c>
      <c r="O25" s="281">
        <f t="shared" ref="O25" si="25">M25-N25</f>
        <v>217.2599999999984</v>
      </c>
      <c r="P25" s="282">
        <f t="shared" ref="P25" si="26">VLOOKUP(M25,Tarifa,3)</f>
        <v>0.16</v>
      </c>
      <c r="Q25" s="281">
        <f t="shared" ref="Q25" si="27">O25*P25</f>
        <v>34.761599999999746</v>
      </c>
      <c r="R25" s="283">
        <f t="shared" ref="R25" si="28">VLOOKUP(M25,Tarifa,2)</f>
        <v>893.63</v>
      </c>
      <c r="S25" s="281">
        <f t="shared" ref="S25" si="29">Q25+R25</f>
        <v>928.3915999999997</v>
      </c>
      <c r="T25" s="281">
        <f t="shared" ref="T25" si="30">VLOOKUP(M25,Credito,2)</f>
        <v>0</v>
      </c>
      <c r="U25" s="281">
        <f t="shared" ref="U25" si="31">ROUND((S25-T25)/30.4*G25,2)</f>
        <v>458.09</v>
      </c>
      <c r="V25" s="261">
        <f t="shared" ref="V25" si="32">-IF(U25&gt;0,0,0)</f>
        <v>0</v>
      </c>
      <c r="W25" s="261">
        <f t="shared" ref="W25" si="33">IF(I25/15&lt;=SMG,0,IF(U25&lt;0,0,U25))</f>
        <v>458.09</v>
      </c>
      <c r="X25" s="261">
        <f>SUM(W25:W25)</f>
        <v>458.09</v>
      </c>
      <c r="Y25" s="261">
        <f>K25+V25-X25</f>
        <v>5139.91</v>
      </c>
      <c r="Z25" s="317"/>
    </row>
    <row r="26" spans="1:27" s="318" customFormat="1" ht="160.5" customHeight="1" x14ac:dyDescent="0.2">
      <c r="A26" s="316"/>
      <c r="B26" s="273" t="s">
        <v>388</v>
      </c>
      <c r="C26" s="267" t="s">
        <v>107</v>
      </c>
      <c r="D26" s="253" t="s">
        <v>389</v>
      </c>
      <c r="E26" s="255">
        <v>45754</v>
      </c>
      <c r="F26" s="256" t="s">
        <v>256</v>
      </c>
      <c r="G26" s="257">
        <v>15</v>
      </c>
      <c r="H26" s="258">
        <f t="shared" si="3"/>
        <v>373.2</v>
      </c>
      <c r="I26" s="259">
        <v>5598</v>
      </c>
      <c r="J26" s="260">
        <v>373.2</v>
      </c>
      <c r="K26" s="261">
        <f t="shared" ref="K26" si="34">SUM(I26:J26)</f>
        <v>5971.2</v>
      </c>
      <c r="L26" s="281">
        <f t="shared" ref="L26" si="35">IF(I26/15&lt;=SMG,0,J26/2)</f>
        <v>186.6</v>
      </c>
      <c r="M26" s="300">
        <f t="shared" ref="M26" si="36">(I26+L26)/G26*30.4</f>
        <v>11723.456</v>
      </c>
      <c r="N26" s="300">
        <f t="shared" ref="N26" si="37">VLOOKUP(M26,Tarifa,1)</f>
        <v>11128.02</v>
      </c>
      <c r="O26" s="281">
        <f t="shared" ref="O26" si="38">M26-N26</f>
        <v>595.43599999999969</v>
      </c>
      <c r="P26" s="282">
        <f t="shared" ref="P26" si="39">VLOOKUP(M26,Tarifa,3)</f>
        <v>0.16</v>
      </c>
      <c r="Q26" s="281">
        <f t="shared" ref="Q26" si="40">O26*P26</f>
        <v>95.269759999999948</v>
      </c>
      <c r="R26" s="283">
        <f t="shared" ref="R26" si="41">VLOOKUP(M26,Tarifa,2)</f>
        <v>893.63</v>
      </c>
      <c r="S26" s="281">
        <f t="shared" ref="S26" si="42">Q26+R26</f>
        <v>988.8997599999999</v>
      </c>
      <c r="T26" s="281">
        <f t="shared" ref="T26" si="43">VLOOKUP(M26,Credito,2)</f>
        <v>0</v>
      </c>
      <c r="U26" s="281">
        <f t="shared" ref="U26" si="44">ROUND((S26-T26)/30.4*G26,2)</f>
        <v>487.94</v>
      </c>
      <c r="V26" s="261">
        <f t="shared" ref="V26" si="45">-IF(U26&gt;0,0,0)</f>
        <v>0</v>
      </c>
      <c r="W26" s="261">
        <f t="shared" ref="W26" si="46">IF(I26/15&lt;=SMG,0,IF(U26&lt;0,0,U26))</f>
        <v>487.94</v>
      </c>
      <c r="X26" s="261">
        <f>SUM(W26:W26)</f>
        <v>487.94</v>
      </c>
      <c r="Y26" s="261">
        <f>K26+V26-X26</f>
        <v>5483.26</v>
      </c>
      <c r="Z26" s="317"/>
    </row>
    <row r="27" spans="1:27" s="318" customFormat="1" ht="56.25" customHeight="1" x14ac:dyDescent="0.2">
      <c r="A27" s="397"/>
      <c r="B27" s="386"/>
      <c r="C27" s="387"/>
      <c r="D27" s="388"/>
      <c r="E27" s="389"/>
      <c r="F27" s="390"/>
      <c r="G27" s="391"/>
      <c r="H27" s="392"/>
      <c r="I27" s="393"/>
      <c r="J27" s="394"/>
      <c r="K27" s="395"/>
      <c r="L27" s="369"/>
      <c r="M27" s="370"/>
      <c r="N27" s="370"/>
      <c r="O27" s="369"/>
      <c r="P27" s="371"/>
      <c r="Q27" s="369"/>
      <c r="R27" s="372"/>
      <c r="S27" s="369"/>
      <c r="T27" s="369"/>
      <c r="U27" s="369"/>
      <c r="V27" s="395"/>
      <c r="W27" s="395"/>
      <c r="X27" s="395"/>
      <c r="Y27" s="395"/>
      <c r="Z27" s="398"/>
    </row>
    <row r="28" spans="1:27" s="4" customFormat="1" ht="29.25" customHeight="1" x14ac:dyDescent="0.25">
      <c r="A28" s="235"/>
      <c r="B28" s="428" t="s">
        <v>76</v>
      </c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  <c r="AA28" s="428"/>
    </row>
    <row r="29" spans="1:27" s="4" customFormat="1" ht="27" customHeight="1" x14ac:dyDescent="0.25">
      <c r="A29" s="235"/>
      <c r="B29" s="428" t="s">
        <v>63</v>
      </c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</row>
    <row r="30" spans="1:27" s="4" customFormat="1" ht="24" customHeight="1" x14ac:dyDescent="0.25">
      <c r="A30" s="235"/>
      <c r="B30" s="419" t="str">
        <f>PRESIDENCIA!A3</f>
        <v>SUELDO  DEL 01 AL 15 DE MAYO DE 2025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</row>
    <row r="31" spans="1:27" s="4" customFormat="1" ht="23.25" customHeight="1" x14ac:dyDescent="0.3">
      <c r="A31" s="235"/>
      <c r="B31" s="231"/>
      <c r="C31" s="203"/>
      <c r="D31" s="196"/>
      <c r="E31" s="239"/>
      <c r="F31" s="196"/>
      <c r="G31" s="207"/>
      <c r="H31" s="208"/>
      <c r="I31" s="209"/>
      <c r="J31" s="210"/>
      <c r="K31" s="211"/>
      <c r="L31" s="212"/>
      <c r="M31" s="212"/>
      <c r="N31" s="212"/>
      <c r="O31" s="212"/>
      <c r="P31" s="213"/>
      <c r="Q31" s="212"/>
      <c r="R31" s="214"/>
      <c r="S31" s="212"/>
      <c r="T31" s="212"/>
      <c r="U31" s="212"/>
      <c r="V31" s="211"/>
      <c r="W31" s="211"/>
      <c r="X31" s="211"/>
      <c r="Y31" s="211"/>
    </row>
    <row r="32" spans="1:27" s="4" customFormat="1" ht="48.75" customHeight="1" x14ac:dyDescent="0.25">
      <c r="A32" s="235"/>
      <c r="B32" s="107" t="s">
        <v>95</v>
      </c>
      <c r="C32" s="107" t="s">
        <v>113</v>
      </c>
      <c r="D32" s="171" t="s">
        <v>112</v>
      </c>
      <c r="E32" s="141" t="s">
        <v>200</v>
      </c>
      <c r="F32" s="171" t="s">
        <v>60</v>
      </c>
      <c r="G32" s="171"/>
      <c r="H32" s="171"/>
      <c r="I32" s="172">
        <f>SUM(I33:I33)</f>
        <v>7078</v>
      </c>
      <c r="J32" s="172">
        <f>SUM(J33:J33)</f>
        <v>0</v>
      </c>
      <c r="K32" s="172">
        <f>SUM(K33:K33)</f>
        <v>7078</v>
      </c>
      <c r="L32" s="171"/>
      <c r="M32" s="171"/>
      <c r="N32" s="171"/>
      <c r="O32" s="171"/>
      <c r="P32" s="171"/>
      <c r="Q32" s="171"/>
      <c r="R32" s="174"/>
      <c r="S32" s="171"/>
      <c r="T32" s="171"/>
      <c r="U32" s="171"/>
      <c r="V32" s="172">
        <f>SUM(V33:V33)</f>
        <v>0</v>
      </c>
      <c r="W32" s="172">
        <f>SUM(W33:W33)</f>
        <v>708.24</v>
      </c>
      <c r="X32" s="172">
        <f>SUM(X33:X33)</f>
        <v>708.24</v>
      </c>
      <c r="Y32" s="172">
        <f>SUM(Y33:Y33)</f>
        <v>6369.76</v>
      </c>
      <c r="Z32" s="92"/>
    </row>
    <row r="33" spans="1:32" s="4" customFormat="1" ht="209.25" customHeight="1" x14ac:dyDescent="0.2">
      <c r="A33" s="235"/>
      <c r="B33" s="273" t="s">
        <v>146</v>
      </c>
      <c r="C33" s="267" t="s">
        <v>107</v>
      </c>
      <c r="D33" s="253" t="s">
        <v>141</v>
      </c>
      <c r="E33" s="255">
        <v>43512</v>
      </c>
      <c r="F33" s="256" t="s">
        <v>341</v>
      </c>
      <c r="G33" s="257">
        <v>15</v>
      </c>
      <c r="H33" s="258">
        <f>I33/G33</f>
        <v>471.86666666666667</v>
      </c>
      <c r="I33" s="259">
        <v>7078</v>
      </c>
      <c r="J33" s="260">
        <v>0</v>
      </c>
      <c r="K33" s="261">
        <f>SUM(I33:J33)</f>
        <v>7078</v>
      </c>
      <c r="L33" s="281">
        <f>IF(I33/15&lt;=SMG,0,J33/2)</f>
        <v>0</v>
      </c>
      <c r="M33" s="300">
        <f>(I33+L33)/G33*30.4</f>
        <v>14344.746666666666</v>
      </c>
      <c r="N33" s="300">
        <f>VLOOKUP(M33,Tarifa,1)</f>
        <v>12935.83</v>
      </c>
      <c r="O33" s="281">
        <f>M33-N33</f>
        <v>1408.9166666666661</v>
      </c>
      <c r="P33" s="282">
        <f>VLOOKUP(M33,Tarifa,3)</f>
        <v>0.1792</v>
      </c>
      <c r="Q33" s="281">
        <f>O33*P33</f>
        <v>252.47786666666656</v>
      </c>
      <c r="R33" s="283">
        <f>VLOOKUP(M33,Tarifa,2)</f>
        <v>1182.8800000000001</v>
      </c>
      <c r="S33" s="281">
        <f>Q33+R33</f>
        <v>1435.3578666666667</v>
      </c>
      <c r="T33" s="281">
        <f>VLOOKUP(M33,Credito,2)</f>
        <v>0</v>
      </c>
      <c r="U33" s="281">
        <f>ROUND((S33-T33)/30.4*G33,2)</f>
        <v>708.24</v>
      </c>
      <c r="V33" s="261">
        <f>-IF(U33&gt;0,0,0)</f>
        <v>0</v>
      </c>
      <c r="W33" s="261">
        <f>IF(I33/15&lt;=SMG,0,IF(U33&lt;0,0,U33))</f>
        <v>708.24</v>
      </c>
      <c r="X33" s="261">
        <f>SUM(W33:W33)</f>
        <v>708.24</v>
      </c>
      <c r="Y33" s="261">
        <f>K33+V33-X33</f>
        <v>6369.76</v>
      </c>
      <c r="Z33" s="317"/>
    </row>
    <row r="34" spans="1:32" s="4" customFormat="1" ht="48.75" customHeight="1" x14ac:dyDescent="0.25">
      <c r="A34" s="43"/>
      <c r="B34" s="107" t="s">
        <v>95</v>
      </c>
      <c r="C34" s="107" t="s">
        <v>113</v>
      </c>
      <c r="D34" s="171" t="s">
        <v>68</v>
      </c>
      <c r="E34" s="141" t="s">
        <v>200</v>
      </c>
      <c r="F34" s="171" t="s">
        <v>60</v>
      </c>
      <c r="G34" s="171"/>
      <c r="H34" s="171"/>
      <c r="I34" s="172">
        <f>SUM(I35:I36)</f>
        <v>13353.5</v>
      </c>
      <c r="J34" s="172">
        <f>SUM(J35:J36)</f>
        <v>362.33</v>
      </c>
      <c r="K34" s="172">
        <f>SUM(K35:K36)</f>
        <v>13715.83</v>
      </c>
      <c r="L34" s="171"/>
      <c r="M34" s="171"/>
      <c r="N34" s="171"/>
      <c r="O34" s="171"/>
      <c r="P34" s="171"/>
      <c r="Q34" s="171"/>
      <c r="R34" s="174"/>
      <c r="S34" s="171"/>
      <c r="T34" s="171"/>
      <c r="U34" s="171"/>
      <c r="V34" s="172">
        <f>SUM(V35:V36)</f>
        <v>0</v>
      </c>
      <c r="W34" s="172">
        <f>SUM(W35:W36)</f>
        <v>1329.3600000000001</v>
      </c>
      <c r="X34" s="172">
        <f>SUM(X35:X36)</f>
        <v>1329.3600000000001</v>
      </c>
      <c r="Y34" s="172">
        <f>SUM(Y35:Y36)</f>
        <v>12386.470000000001</v>
      </c>
      <c r="Z34" s="92"/>
    </row>
    <row r="35" spans="1:32" s="318" customFormat="1" ht="210" customHeight="1" x14ac:dyDescent="0.2">
      <c r="A35" s="316"/>
      <c r="B35" s="273" t="s">
        <v>171</v>
      </c>
      <c r="C35" s="267" t="s">
        <v>107</v>
      </c>
      <c r="D35" s="253" t="s">
        <v>174</v>
      </c>
      <c r="E35" s="255">
        <v>44470</v>
      </c>
      <c r="F35" s="306" t="s">
        <v>70</v>
      </c>
      <c r="G35" s="257">
        <v>15</v>
      </c>
      <c r="H35" s="258">
        <f>I35/G35</f>
        <v>527.9</v>
      </c>
      <c r="I35" s="259">
        <v>7918.5</v>
      </c>
      <c r="J35" s="260">
        <v>0</v>
      </c>
      <c r="K35" s="261">
        <f t="shared" ref="K35" si="47">SUM(I35:J35)</f>
        <v>7918.5</v>
      </c>
      <c r="L35" s="281">
        <f>IF(I35/15&lt;=SMG,0,J35/2)</f>
        <v>0</v>
      </c>
      <c r="M35" s="300">
        <f>(I35+L35)/G35*30.4</f>
        <v>16048.159999999998</v>
      </c>
      <c r="N35" s="300">
        <f>VLOOKUP(M35,Tarifa,1)</f>
        <v>15487.72</v>
      </c>
      <c r="O35" s="281">
        <f>M35-N35</f>
        <v>560.43999999999869</v>
      </c>
      <c r="P35" s="282">
        <f>VLOOKUP(M35,Tarifa,3)</f>
        <v>0.21360000000000001</v>
      </c>
      <c r="Q35" s="281">
        <f>O35*P35</f>
        <v>119.70998399999972</v>
      </c>
      <c r="R35" s="283">
        <f>VLOOKUP(M35,Tarifa,2)</f>
        <v>1640.18</v>
      </c>
      <c r="S35" s="281">
        <f>Q35+R35</f>
        <v>1759.8899839999997</v>
      </c>
      <c r="T35" s="281">
        <f>VLOOKUP(M35,Credito,2)</f>
        <v>0</v>
      </c>
      <c r="U35" s="281">
        <f>ROUND((S35-T35)/30.4*G35,2)</f>
        <v>868.37</v>
      </c>
      <c r="V35" s="261">
        <f t="shared" si="1"/>
        <v>0</v>
      </c>
      <c r="W35" s="261">
        <f t="shared" ref="W35" si="48">IF(I35/15&lt;=SMG,0,IF(U35&lt;0,0,U35))</f>
        <v>868.37</v>
      </c>
      <c r="X35" s="261">
        <f>SUM(W35:W35)</f>
        <v>868.37</v>
      </c>
      <c r="Y35" s="261">
        <f>K35+V35-X35</f>
        <v>7050.13</v>
      </c>
      <c r="Z35" s="317"/>
    </row>
    <row r="36" spans="1:32" s="318" customFormat="1" ht="210" customHeight="1" x14ac:dyDescent="0.2">
      <c r="A36" s="316"/>
      <c r="B36" s="273" t="s">
        <v>221</v>
      </c>
      <c r="C36" s="267" t="s">
        <v>107</v>
      </c>
      <c r="D36" s="253" t="s">
        <v>222</v>
      </c>
      <c r="E36" s="255">
        <v>45173</v>
      </c>
      <c r="F36" s="256" t="s">
        <v>142</v>
      </c>
      <c r="G36" s="257">
        <v>15</v>
      </c>
      <c r="H36" s="258">
        <f>I36/G36</f>
        <v>362.33333333333331</v>
      </c>
      <c r="I36" s="259">
        <v>5435</v>
      </c>
      <c r="J36" s="260">
        <v>362.33</v>
      </c>
      <c r="K36" s="261">
        <f>SUM(I36:J36)</f>
        <v>5797.33</v>
      </c>
      <c r="L36" s="281">
        <f>IF(I36/15&lt;=SMG,0,J36/2)</f>
        <v>181.16499999999999</v>
      </c>
      <c r="M36" s="300">
        <f>(I36+L36)/G36*30.4</f>
        <v>11382.0944</v>
      </c>
      <c r="N36" s="300">
        <f>VLOOKUP(M36,Tarifa,1)</f>
        <v>11128.02</v>
      </c>
      <c r="O36" s="281">
        <f>M36-N36</f>
        <v>254.07439999999951</v>
      </c>
      <c r="P36" s="282">
        <f>VLOOKUP(M36,Tarifa,3)</f>
        <v>0.16</v>
      </c>
      <c r="Q36" s="281">
        <f>O36*P36</f>
        <v>40.651903999999924</v>
      </c>
      <c r="R36" s="283">
        <f>VLOOKUP(M36,Tarifa,2)</f>
        <v>893.63</v>
      </c>
      <c r="S36" s="281">
        <f>Q36+R36</f>
        <v>934.28190399999994</v>
      </c>
      <c r="T36" s="281">
        <f>VLOOKUP(M36,Credito,2)</f>
        <v>0</v>
      </c>
      <c r="U36" s="281">
        <f>ROUND((S36-T36)/30.4*G36,2)</f>
        <v>460.99</v>
      </c>
      <c r="V36" s="261">
        <f t="shared" si="1"/>
        <v>0</v>
      </c>
      <c r="W36" s="261">
        <f t="shared" ref="W36" si="49">IF(I36/15&lt;=SMG,0,IF(U36&lt;0,0,U36))</f>
        <v>460.99</v>
      </c>
      <c r="X36" s="261">
        <f>SUM(W36:W36)</f>
        <v>460.99</v>
      </c>
      <c r="Y36" s="261">
        <f>K36+V36-X36</f>
        <v>5336.34</v>
      </c>
      <c r="Z36" s="317"/>
    </row>
    <row r="37" spans="1:32" s="4" customFormat="1" ht="50.25" customHeight="1" x14ac:dyDescent="0.25">
      <c r="A37" s="102"/>
      <c r="B37" s="107" t="s">
        <v>95</v>
      </c>
      <c r="C37" s="107" t="s">
        <v>113</v>
      </c>
      <c r="D37" s="171" t="s">
        <v>112</v>
      </c>
      <c r="E37" s="141" t="s">
        <v>200</v>
      </c>
      <c r="F37" s="171" t="s">
        <v>60</v>
      </c>
      <c r="G37" s="171"/>
      <c r="H37" s="171"/>
      <c r="I37" s="172">
        <f>SUM(I38:I38)</f>
        <v>6826.5</v>
      </c>
      <c r="J37" s="172">
        <f>SUM(J38:J38)</f>
        <v>910.2</v>
      </c>
      <c r="K37" s="172">
        <f>SUM(K38:K38)</f>
        <v>7736.7</v>
      </c>
      <c r="L37" s="171"/>
      <c r="M37" s="171"/>
      <c r="N37" s="171"/>
      <c r="O37" s="171"/>
      <c r="P37" s="171"/>
      <c r="Q37" s="171"/>
      <c r="R37" s="174"/>
      <c r="S37" s="171"/>
      <c r="T37" s="171"/>
      <c r="U37" s="171"/>
      <c r="V37" s="172">
        <f>SUM(V38:V38)</f>
        <v>0</v>
      </c>
      <c r="W37" s="172">
        <f>SUM(W38:W38)</f>
        <v>744.72</v>
      </c>
      <c r="X37" s="172">
        <f>SUM(X38:X38)</f>
        <v>744.72</v>
      </c>
      <c r="Y37" s="172">
        <f>SUM(Y38:Y38)</f>
        <v>6991.98</v>
      </c>
      <c r="Z37" s="92"/>
    </row>
    <row r="38" spans="1:32" s="318" customFormat="1" ht="192.75" customHeight="1" x14ac:dyDescent="0.2">
      <c r="A38" s="250" t="s">
        <v>82</v>
      </c>
      <c r="B38" s="273" t="s">
        <v>136</v>
      </c>
      <c r="C38" s="267" t="s">
        <v>107</v>
      </c>
      <c r="D38" s="253" t="s">
        <v>127</v>
      </c>
      <c r="E38" s="255">
        <v>43374</v>
      </c>
      <c r="F38" s="256" t="s">
        <v>126</v>
      </c>
      <c r="G38" s="257">
        <v>15</v>
      </c>
      <c r="H38" s="258">
        <f>I38/G38</f>
        <v>455.1</v>
      </c>
      <c r="I38" s="259">
        <v>6826.5</v>
      </c>
      <c r="J38" s="260">
        <v>910.2</v>
      </c>
      <c r="K38" s="261">
        <f>SUM(I38:J38)</f>
        <v>7736.7</v>
      </c>
      <c r="L38" s="281">
        <f>IF(I38/15&lt;=SMG,0,J38/2)</f>
        <v>455.1</v>
      </c>
      <c r="M38" s="300">
        <f>(I38+L38)/G38*30.4</f>
        <v>14757.375999999998</v>
      </c>
      <c r="N38" s="300">
        <f>VLOOKUP(M38,Tarifa,1)</f>
        <v>12935.83</v>
      </c>
      <c r="O38" s="281">
        <f>M38-N38</f>
        <v>1821.5459999999985</v>
      </c>
      <c r="P38" s="282">
        <f>VLOOKUP(M38,Tarifa,3)</f>
        <v>0.1792</v>
      </c>
      <c r="Q38" s="281">
        <f>O38*P38</f>
        <v>326.4210431999997</v>
      </c>
      <c r="R38" s="283">
        <f>VLOOKUP(M38,Tarifa,2)</f>
        <v>1182.8800000000001</v>
      </c>
      <c r="S38" s="281">
        <f>Q38+R38</f>
        <v>1509.3010431999999</v>
      </c>
      <c r="T38" s="281">
        <f>VLOOKUP(M38,Credito,2)</f>
        <v>0</v>
      </c>
      <c r="U38" s="281">
        <f>ROUND((S38-T38)/30.4*G38,2)</f>
        <v>744.72</v>
      </c>
      <c r="V38" s="261">
        <f>-IF(U38&gt;0,0,0)</f>
        <v>0</v>
      </c>
      <c r="W38" s="261">
        <f>IF(I38/15&lt;=SMG,0,IF(U38&lt;0,0,U38))</f>
        <v>744.72</v>
      </c>
      <c r="X38" s="261">
        <f>SUM(W38:W38)</f>
        <v>744.72</v>
      </c>
      <c r="Y38" s="261">
        <f>K38+V38-X38</f>
        <v>6991.98</v>
      </c>
      <c r="Z38" s="317"/>
      <c r="AF38" s="328"/>
    </row>
    <row r="39" spans="1:32" s="4" customFormat="1" ht="27.75" customHeight="1" x14ac:dyDescent="0.25">
      <c r="A39" s="132"/>
      <c r="B39" s="132"/>
      <c r="C39" s="132"/>
      <c r="D39" s="132"/>
      <c r="E39" s="132"/>
      <c r="F39" s="132"/>
      <c r="G39" s="132"/>
      <c r="H39" s="132"/>
      <c r="I39" s="138"/>
      <c r="J39" s="138"/>
      <c r="K39" s="138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</row>
    <row r="40" spans="1:32" s="4" customFormat="1" ht="39.75" customHeight="1" thickBot="1" x14ac:dyDescent="0.35">
      <c r="A40" s="415" t="s">
        <v>44</v>
      </c>
      <c r="B40" s="416"/>
      <c r="C40" s="416"/>
      <c r="D40" s="416"/>
      <c r="E40" s="416"/>
      <c r="F40" s="416"/>
      <c r="G40" s="416"/>
      <c r="H40" s="417"/>
      <c r="I40" s="197">
        <f>I8+I32+I34+I37</f>
        <v>89142</v>
      </c>
      <c r="J40" s="197">
        <f>J8+J32+J34+J37</f>
        <v>3526.38</v>
      </c>
      <c r="K40" s="197">
        <f>K8+K32+K34+K37</f>
        <v>92668.38</v>
      </c>
      <c r="L40" s="198">
        <f t="shared" ref="L40:U40" si="50">SUM(L9:L39)</f>
        <v>1490.2600000000002</v>
      </c>
      <c r="M40" s="198">
        <f t="shared" si="50"/>
        <v>183681.38026666667</v>
      </c>
      <c r="N40" s="198">
        <f t="shared" si="50"/>
        <v>157247.87999999998</v>
      </c>
      <c r="O40" s="198">
        <f t="shared" si="50"/>
        <v>26433.500266666644</v>
      </c>
      <c r="P40" s="198">
        <f t="shared" si="50"/>
        <v>2.3447999999999998</v>
      </c>
      <c r="Q40" s="198">
        <f t="shared" si="50"/>
        <v>3265.0067997866636</v>
      </c>
      <c r="R40" s="198">
        <f t="shared" si="50"/>
        <v>12492.329999999998</v>
      </c>
      <c r="S40" s="198">
        <f t="shared" si="50"/>
        <v>15757.336799786663</v>
      </c>
      <c r="T40" s="198">
        <f t="shared" si="50"/>
        <v>1900</v>
      </c>
      <c r="U40" s="198">
        <f t="shared" si="50"/>
        <v>6837.51</v>
      </c>
      <c r="V40" s="197">
        <f>V8+V32+V34+V37</f>
        <v>0</v>
      </c>
      <c r="W40" s="197">
        <f>W8+W32+W34+W37</f>
        <v>6782.920000000001</v>
      </c>
      <c r="X40" s="197">
        <f>X8+X32+X34+X37</f>
        <v>6782.920000000001</v>
      </c>
      <c r="Y40" s="197">
        <f>Y8+Y32+Y34+Y37</f>
        <v>85885.46</v>
      </c>
    </row>
    <row r="41" spans="1:32" s="4" customFormat="1" ht="18" customHeight="1" thickTop="1" x14ac:dyDescent="0.25">
      <c r="A41" s="126"/>
      <c r="B41" s="126"/>
      <c r="C41" s="126"/>
      <c r="D41" s="126"/>
      <c r="E41" s="126"/>
      <c r="F41" s="126"/>
      <c r="G41" s="126"/>
      <c r="H41" s="126"/>
      <c r="I41" s="127"/>
      <c r="J41" s="127"/>
      <c r="K41" s="127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7"/>
      <c r="W41" s="127"/>
      <c r="X41" s="127"/>
      <c r="Y41" s="127"/>
    </row>
    <row r="42" spans="1:32" s="4" customFormat="1" ht="18" customHeight="1" x14ac:dyDescent="0.25">
      <c r="A42" s="126"/>
      <c r="B42" s="126"/>
      <c r="C42" s="126"/>
      <c r="D42" s="126"/>
      <c r="E42" s="126"/>
      <c r="F42" s="126"/>
      <c r="G42" s="126"/>
      <c r="H42" s="126"/>
      <c r="I42" s="127"/>
      <c r="J42" s="127"/>
      <c r="K42" s="127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7"/>
      <c r="W42" s="127"/>
      <c r="X42" s="127"/>
      <c r="Y42" s="127"/>
    </row>
    <row r="43" spans="1:32" s="4" customFormat="1" ht="18" customHeight="1" x14ac:dyDescent="0.25">
      <c r="A43" s="126"/>
      <c r="B43" s="126"/>
      <c r="C43" s="126"/>
      <c r="D43" s="126"/>
      <c r="E43" s="126"/>
      <c r="F43" s="126"/>
      <c r="G43" s="126"/>
      <c r="H43" s="126"/>
      <c r="I43" s="127"/>
      <c r="J43" s="127"/>
      <c r="K43" s="127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7"/>
      <c r="W43" s="127"/>
      <c r="X43" s="127"/>
      <c r="Y43" s="127"/>
    </row>
    <row r="44" spans="1:32" s="4" customFormat="1" ht="18" customHeight="1" x14ac:dyDescent="0.25">
      <c r="A44" s="126"/>
      <c r="B44" s="126"/>
      <c r="C44" s="126"/>
      <c r="D44" s="126"/>
      <c r="E44" s="126"/>
      <c r="F44" s="126"/>
      <c r="G44" s="126"/>
      <c r="H44" s="126"/>
      <c r="I44" s="127"/>
      <c r="J44" s="127"/>
      <c r="K44" s="127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7"/>
      <c r="W44" s="127"/>
      <c r="X44" s="127"/>
      <c r="Y44" s="127"/>
    </row>
    <row r="45" spans="1:32" s="4" customFormat="1" ht="20.25" x14ac:dyDescent="0.3"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</row>
    <row r="46" spans="1:32" s="4" customFormat="1" x14ac:dyDescent="0.2"/>
    <row r="47" spans="1:32" s="4" customFormat="1" x14ac:dyDescent="0.2"/>
  </sheetData>
  <mergeCells count="13">
    <mergeCell ref="A40:H40"/>
    <mergeCell ref="A1:Z1"/>
    <mergeCell ref="A2:Z2"/>
    <mergeCell ref="A3:Z3"/>
    <mergeCell ref="I5:K5"/>
    <mergeCell ref="N5:S5"/>
    <mergeCell ref="W5:X5"/>
    <mergeCell ref="B16:AA16"/>
    <mergeCell ref="B17:AA17"/>
    <mergeCell ref="B18:Z18"/>
    <mergeCell ref="B28:AA28"/>
    <mergeCell ref="B29:AA29"/>
    <mergeCell ref="B30:AA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0"/>
  <sheetViews>
    <sheetView topLeftCell="B67" zoomScale="55" zoomScaleNormal="55" workbookViewId="0">
      <selection activeCell="B68" sqref="A68:XFD7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20.2851562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8.42578125" customWidth="1"/>
    <col min="25" max="25" width="19" customWidth="1"/>
    <col min="26" max="26" width="65.28515625" customWidth="1"/>
  </cols>
  <sheetData>
    <row r="1" spans="1:30" ht="19.5" x14ac:dyDescent="0.25">
      <c r="A1" s="418" t="s">
        <v>76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</row>
    <row r="2" spans="1:30" ht="19.5" x14ac:dyDescent="0.25">
      <c r="A2" s="418" t="s">
        <v>63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</row>
    <row r="3" spans="1:30" ht="19.5" x14ac:dyDescent="0.25">
      <c r="A3" s="419" t="str">
        <f>PRESIDENCIA!A3</f>
        <v>SUELDO  DEL 01 AL 15 DE MAYO DE 2025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0" s="51" customFormat="1" ht="21" customHeight="1" x14ac:dyDescent="0.25">
      <c r="A5" s="47"/>
      <c r="B5" s="47"/>
      <c r="C5" s="454" t="s">
        <v>113</v>
      </c>
      <c r="D5" s="47"/>
      <c r="E5" s="47"/>
      <c r="F5" s="47"/>
      <c r="G5" s="48" t="s">
        <v>22</v>
      </c>
      <c r="H5" s="48" t="s">
        <v>5</v>
      </c>
      <c r="I5" s="420" t="s">
        <v>1</v>
      </c>
      <c r="J5" s="421"/>
      <c r="K5" s="422"/>
      <c r="L5" s="112" t="s">
        <v>25</v>
      </c>
      <c r="M5" s="113"/>
      <c r="N5" s="423" t="s">
        <v>8</v>
      </c>
      <c r="O5" s="424"/>
      <c r="P5" s="424"/>
      <c r="Q5" s="424"/>
      <c r="R5" s="424"/>
      <c r="S5" s="425"/>
      <c r="T5" s="112" t="s">
        <v>29</v>
      </c>
      <c r="U5" s="112" t="s">
        <v>9</v>
      </c>
      <c r="V5" s="111" t="s">
        <v>52</v>
      </c>
      <c r="W5" s="426" t="s">
        <v>2</v>
      </c>
      <c r="X5" s="427"/>
      <c r="Y5" s="111" t="s">
        <v>0</v>
      </c>
      <c r="Z5" s="47"/>
    </row>
    <row r="6" spans="1:30" s="51" customFormat="1" ht="31.5" x14ac:dyDescent="0.25">
      <c r="A6" s="52" t="s">
        <v>20</v>
      </c>
      <c r="B6" s="114" t="s">
        <v>95</v>
      </c>
      <c r="C6" s="455"/>
      <c r="D6" s="115" t="s">
        <v>21</v>
      </c>
      <c r="E6" s="52"/>
      <c r="F6" s="52"/>
      <c r="G6" s="53" t="s">
        <v>23</v>
      </c>
      <c r="H6" s="52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09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194</v>
      </c>
      <c r="X6" s="111" t="s">
        <v>6</v>
      </c>
      <c r="Y6" s="115" t="s">
        <v>3</v>
      </c>
      <c r="Z6" s="115" t="s">
        <v>56</v>
      </c>
    </row>
    <row r="7" spans="1:30" s="51" customFormat="1" ht="15.75" x14ac:dyDescent="0.25">
      <c r="A7" s="52"/>
      <c r="B7" s="52"/>
      <c r="C7" s="456"/>
      <c r="D7" s="52"/>
      <c r="E7" s="52"/>
      <c r="F7" s="52"/>
      <c r="G7" s="52"/>
      <c r="H7" s="52"/>
      <c r="I7" s="115" t="s">
        <v>46</v>
      </c>
      <c r="J7" s="115" t="s">
        <v>58</v>
      </c>
      <c r="K7" s="115" t="s">
        <v>28</v>
      </c>
      <c r="L7" s="116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78" t="s">
        <v>14</v>
      </c>
      <c r="S7" s="112" t="s">
        <v>38</v>
      </c>
      <c r="T7" s="116" t="s">
        <v>18</v>
      </c>
      <c r="U7" s="120" t="s">
        <v>167</v>
      </c>
      <c r="V7" s="115" t="s">
        <v>51</v>
      </c>
      <c r="W7" s="115"/>
      <c r="X7" s="115" t="s">
        <v>43</v>
      </c>
      <c r="Y7" s="115" t="s">
        <v>4</v>
      </c>
      <c r="Z7" s="56"/>
    </row>
    <row r="8" spans="1:30" s="51" customFormat="1" ht="64.5" customHeight="1" x14ac:dyDescent="0.3">
      <c r="A8" s="36"/>
      <c r="B8" s="141" t="s">
        <v>95</v>
      </c>
      <c r="C8" s="141" t="s">
        <v>113</v>
      </c>
      <c r="D8" s="215" t="s">
        <v>130</v>
      </c>
      <c r="E8" s="215" t="s">
        <v>200</v>
      </c>
      <c r="F8" s="216" t="s">
        <v>60</v>
      </c>
      <c r="G8" s="216"/>
      <c r="H8" s="216"/>
      <c r="I8" s="217">
        <f>SUM(I9:I10)</f>
        <v>13165</v>
      </c>
      <c r="J8" s="217">
        <f>SUM(J9:J10)</f>
        <v>0</v>
      </c>
      <c r="K8" s="217">
        <f>SUM(K9:K10)</f>
        <v>13165</v>
      </c>
      <c r="L8" s="217">
        <f t="shared" ref="L8:U8" si="0">SUM(L9:L10)</f>
        <v>0</v>
      </c>
      <c r="M8" s="217">
        <f t="shared" si="0"/>
        <v>26681.066666666666</v>
      </c>
      <c r="N8" s="217">
        <f t="shared" si="0"/>
        <v>21819.78</v>
      </c>
      <c r="O8" s="217">
        <f t="shared" si="0"/>
        <v>4861.286666666666</v>
      </c>
      <c r="P8" s="217">
        <f t="shared" si="0"/>
        <v>0.32240000000000002</v>
      </c>
      <c r="Q8" s="217">
        <f t="shared" si="0"/>
        <v>547.60570666666661</v>
      </c>
      <c r="R8" s="217">
        <f t="shared" si="0"/>
        <v>2012.01</v>
      </c>
      <c r="S8" s="217">
        <f t="shared" si="0"/>
        <v>2559.6157066666665</v>
      </c>
      <c r="T8" s="217">
        <f t="shared" si="0"/>
        <v>0</v>
      </c>
      <c r="U8" s="217">
        <f t="shared" si="0"/>
        <v>1262.97</v>
      </c>
      <c r="V8" s="217">
        <f>SUM(V9:V10)</f>
        <v>0</v>
      </c>
      <c r="W8" s="217">
        <f>SUM(W9:W10)</f>
        <v>1262.97</v>
      </c>
      <c r="X8" s="217">
        <f>SUM(X9:X10)</f>
        <v>1262.97</v>
      </c>
      <c r="Y8" s="217">
        <f>SUM(Y9:Y10)</f>
        <v>11902.029999999999</v>
      </c>
      <c r="Z8" s="93"/>
    </row>
    <row r="9" spans="1:30" s="286" customFormat="1" ht="231" customHeight="1" x14ac:dyDescent="0.2">
      <c r="A9" s="329"/>
      <c r="B9" s="330">
        <v>377</v>
      </c>
      <c r="C9" s="331" t="s">
        <v>107</v>
      </c>
      <c r="D9" s="332" t="s">
        <v>271</v>
      </c>
      <c r="E9" s="334">
        <v>45566</v>
      </c>
      <c r="F9" s="335" t="s">
        <v>230</v>
      </c>
      <c r="G9" s="257">
        <v>15</v>
      </c>
      <c r="H9" s="258">
        <f>I9/G9</f>
        <v>515.33333333333337</v>
      </c>
      <c r="I9" s="259">
        <v>7730</v>
      </c>
      <c r="J9" s="260">
        <v>0</v>
      </c>
      <c r="K9" s="261">
        <f>SUM(I9:J9)</f>
        <v>7730</v>
      </c>
      <c r="L9" s="281">
        <f>IF(I9/15&lt;=SMG,0,J9/2)</f>
        <v>0</v>
      </c>
      <c r="M9" s="300">
        <f>(I9+L9)/G9*30.4</f>
        <v>15666.133333333333</v>
      </c>
      <c r="N9" s="300">
        <f>VLOOKUP(M9,Tarifa,1)</f>
        <v>15487.72</v>
      </c>
      <c r="O9" s="281">
        <f>M9-N9</f>
        <v>178.41333333333387</v>
      </c>
      <c r="P9" s="282">
        <f>VLOOKUP(M9,Tarifa,3)</f>
        <v>0.21360000000000001</v>
      </c>
      <c r="Q9" s="281">
        <f>O9*P9</f>
        <v>38.109088000000114</v>
      </c>
      <c r="R9" s="283">
        <f>VLOOKUP(M9,Tarifa,2)</f>
        <v>1640.18</v>
      </c>
      <c r="S9" s="281">
        <f>Q9+R9</f>
        <v>1678.2890880000002</v>
      </c>
      <c r="T9" s="281">
        <f>VLOOKUP(M9,Credito,2)</f>
        <v>0</v>
      </c>
      <c r="U9" s="281">
        <f>ROUND((S9-T9)/30.4*G9,2)</f>
        <v>828.1</v>
      </c>
      <c r="V9" s="261">
        <f>-IF(U9&gt;0,0,0)</f>
        <v>0</v>
      </c>
      <c r="W9" s="261">
        <f>IF(I9/15&lt;=SMG,0,IF(U9&lt;0,0,U9))</f>
        <v>828.1</v>
      </c>
      <c r="X9" s="261">
        <f>SUM(W9:W9)</f>
        <v>828.1</v>
      </c>
      <c r="Y9" s="261">
        <f>K9+V9-X9</f>
        <v>6901.9</v>
      </c>
      <c r="Z9" s="336"/>
    </row>
    <row r="10" spans="1:30" s="286" customFormat="1" ht="231" customHeight="1" x14ac:dyDescent="0.2">
      <c r="A10" s="329"/>
      <c r="B10" s="273" t="s">
        <v>273</v>
      </c>
      <c r="C10" s="267" t="s">
        <v>107</v>
      </c>
      <c r="D10" s="249" t="s">
        <v>272</v>
      </c>
      <c r="E10" s="255">
        <v>45566</v>
      </c>
      <c r="F10" s="256" t="s">
        <v>190</v>
      </c>
      <c r="G10" s="257">
        <v>15</v>
      </c>
      <c r="H10" s="258">
        <f>I10/G10</f>
        <v>362.33333333333331</v>
      </c>
      <c r="I10" s="259">
        <v>5435</v>
      </c>
      <c r="J10" s="260">
        <v>0</v>
      </c>
      <c r="K10" s="261">
        <f>SUM(I10:J10)</f>
        <v>5435</v>
      </c>
      <c r="L10" s="281">
        <f>IF(I10/15&lt;=SMG,0,J10/2)</f>
        <v>0</v>
      </c>
      <c r="M10" s="300">
        <f>(I10+L10)/G10*30.4</f>
        <v>11014.933333333332</v>
      </c>
      <c r="N10" s="300">
        <f>VLOOKUP(M10,Tarifa,1)</f>
        <v>6332.06</v>
      </c>
      <c r="O10" s="281">
        <f>M10-N10</f>
        <v>4682.8733333333321</v>
      </c>
      <c r="P10" s="282">
        <f>VLOOKUP(M10,Tarifa,3)</f>
        <v>0.10879999999999999</v>
      </c>
      <c r="Q10" s="281">
        <f>O10*P10</f>
        <v>509.49661866666651</v>
      </c>
      <c r="R10" s="283">
        <f>VLOOKUP(M10,Tarifa,2)</f>
        <v>371.83</v>
      </c>
      <c r="S10" s="281">
        <f>Q10+R10</f>
        <v>881.32661866666649</v>
      </c>
      <c r="T10" s="281">
        <f>VLOOKUP(M10,Credito,2)</f>
        <v>0</v>
      </c>
      <c r="U10" s="281">
        <f>ROUND((S10-T10)/30.4*G10,2)</f>
        <v>434.87</v>
      </c>
      <c r="V10" s="261">
        <f>-IF(U10&gt;0,0,0)</f>
        <v>0</v>
      </c>
      <c r="W10" s="261">
        <f>IF(I10/15&lt;=SMG,0,IF(U10&lt;0,0,U10))</f>
        <v>434.87</v>
      </c>
      <c r="X10" s="261">
        <f>SUM(W10:W10)</f>
        <v>434.87</v>
      </c>
      <c r="Y10" s="261">
        <f>K10+V10-X10</f>
        <v>5000.13</v>
      </c>
      <c r="Z10" s="336"/>
    </row>
    <row r="11" spans="1:30" s="51" customFormat="1" ht="53.25" customHeight="1" x14ac:dyDescent="0.3">
      <c r="A11" s="45"/>
      <c r="B11" s="141" t="s">
        <v>95</v>
      </c>
      <c r="C11" s="141" t="s">
        <v>113</v>
      </c>
      <c r="D11" s="216" t="s">
        <v>115</v>
      </c>
      <c r="E11" s="215" t="s">
        <v>200</v>
      </c>
      <c r="F11" s="216" t="s">
        <v>60</v>
      </c>
      <c r="G11" s="216"/>
      <c r="H11" s="216"/>
      <c r="I11" s="217">
        <f>SUM(I12:I13)</f>
        <v>11850</v>
      </c>
      <c r="J11" s="217">
        <f>SUM(J12:J13)</f>
        <v>0</v>
      </c>
      <c r="K11" s="217">
        <f>SUM(K12:K13)</f>
        <v>11850</v>
      </c>
      <c r="L11" s="216"/>
      <c r="M11" s="216"/>
      <c r="N11" s="216"/>
      <c r="O11" s="216"/>
      <c r="P11" s="216"/>
      <c r="Q11" s="216"/>
      <c r="R11" s="218"/>
      <c r="S11" s="216"/>
      <c r="T11" s="216"/>
      <c r="U11" s="216"/>
      <c r="V11" s="217">
        <f>SUM(V12:V13)</f>
        <v>0</v>
      </c>
      <c r="W11" s="217">
        <f>SUM(W12:W13)</f>
        <v>828.1</v>
      </c>
      <c r="X11" s="217">
        <f>SUM(X12:X13)</f>
        <v>828.1</v>
      </c>
      <c r="Y11" s="217">
        <f>SUM(Y12:Y13)</f>
        <v>11021.9</v>
      </c>
      <c r="Z11" s="93"/>
      <c r="AD11" s="59"/>
    </row>
    <row r="12" spans="1:30" s="286" customFormat="1" ht="231" customHeight="1" x14ac:dyDescent="0.2">
      <c r="A12" s="337" t="s">
        <v>85</v>
      </c>
      <c r="B12" s="267" t="s">
        <v>105</v>
      </c>
      <c r="C12" s="267" t="s">
        <v>107</v>
      </c>
      <c r="D12" s="249" t="s">
        <v>90</v>
      </c>
      <c r="E12" s="153">
        <v>42278</v>
      </c>
      <c r="F12" s="270" t="s">
        <v>91</v>
      </c>
      <c r="G12" s="257">
        <v>15</v>
      </c>
      <c r="H12" s="258">
        <f>I12/G12</f>
        <v>515.33333333333337</v>
      </c>
      <c r="I12" s="259">
        <v>7730</v>
      </c>
      <c r="J12" s="260">
        <v>0</v>
      </c>
      <c r="K12" s="261">
        <f>SUM(I12:J12)</f>
        <v>7730</v>
      </c>
      <c r="L12" s="281">
        <f>IF(I12/15&lt;=SMG,0,J12/2)</f>
        <v>0</v>
      </c>
      <c r="M12" s="300">
        <f>(I12+L12)/G12*30.4</f>
        <v>15666.133333333333</v>
      </c>
      <c r="N12" s="300">
        <f>VLOOKUP(M12,Tarifa,1)</f>
        <v>15487.72</v>
      </c>
      <c r="O12" s="281">
        <f>M12-N12</f>
        <v>178.41333333333387</v>
      </c>
      <c r="P12" s="282">
        <f>VLOOKUP(M12,Tarifa,3)</f>
        <v>0.21360000000000001</v>
      </c>
      <c r="Q12" s="281">
        <f>O12*P12</f>
        <v>38.109088000000114</v>
      </c>
      <c r="R12" s="283">
        <f>VLOOKUP(M12,Tarifa,2)</f>
        <v>1640.18</v>
      </c>
      <c r="S12" s="281">
        <f>Q12+R12</f>
        <v>1678.2890880000002</v>
      </c>
      <c r="T12" s="281">
        <f>VLOOKUP(M12,Credito,2)</f>
        <v>0</v>
      </c>
      <c r="U12" s="281">
        <f>ROUND((S12-T12)/30.4*G12,2)</f>
        <v>828.1</v>
      </c>
      <c r="V12" s="261">
        <f>-IF(U12&gt;0,0,0)</f>
        <v>0</v>
      </c>
      <c r="W12" s="261">
        <f>IF(I12/15&lt;=SMG,0,IF(U12&lt;0,0,U12))</f>
        <v>828.1</v>
      </c>
      <c r="X12" s="261">
        <f>SUM(W12:W12)</f>
        <v>828.1</v>
      </c>
      <c r="Y12" s="261">
        <f>K12+V12-X12</f>
        <v>6901.9</v>
      </c>
      <c r="Z12" s="272"/>
      <c r="AD12" s="338"/>
    </row>
    <row r="13" spans="1:30" s="286" customFormat="1" ht="231" customHeight="1" x14ac:dyDescent="0.2">
      <c r="A13" s="337"/>
      <c r="B13" s="267" t="s">
        <v>324</v>
      </c>
      <c r="C13" s="267" t="s">
        <v>107</v>
      </c>
      <c r="D13" s="249" t="s">
        <v>323</v>
      </c>
      <c r="E13" s="153">
        <v>45459</v>
      </c>
      <c r="F13" s="270" t="s">
        <v>256</v>
      </c>
      <c r="G13" s="257">
        <v>15</v>
      </c>
      <c r="H13" s="258">
        <f>I13/G13</f>
        <v>274.66666666666669</v>
      </c>
      <c r="I13" s="259">
        <v>4120</v>
      </c>
      <c r="J13" s="260">
        <v>0</v>
      </c>
      <c r="K13" s="261">
        <f>SUM(I13:J13)</f>
        <v>4120</v>
      </c>
      <c r="L13" s="281">
        <f>IF(I13/15&lt;=SMG,0,J13/2)</f>
        <v>0</v>
      </c>
      <c r="M13" s="300">
        <f>(I13+L13)/G13*30.4</f>
        <v>8349.8666666666668</v>
      </c>
      <c r="N13" s="300">
        <f>VLOOKUP(M13,Tarifa,1)</f>
        <v>6332.06</v>
      </c>
      <c r="O13" s="281">
        <f>M13-N13</f>
        <v>2017.8066666666664</v>
      </c>
      <c r="P13" s="282">
        <f>VLOOKUP(M13,Tarifa,3)</f>
        <v>0.10879999999999999</v>
      </c>
      <c r="Q13" s="281">
        <f>O13*P13</f>
        <v>219.5373653333333</v>
      </c>
      <c r="R13" s="283">
        <f>VLOOKUP(M13,Tarifa,2)</f>
        <v>371.83</v>
      </c>
      <c r="S13" s="281">
        <f>Q13+R13</f>
        <v>591.36736533333328</v>
      </c>
      <c r="T13" s="281">
        <f>VLOOKUP(M13,Credito,2)</f>
        <v>475</v>
      </c>
      <c r="U13" s="281">
        <f>ROUND((S13-T13)/30.4*G13,2)</f>
        <v>57.42</v>
      </c>
      <c r="V13" s="261">
        <f>-IF(U13&gt;0,0,0)</f>
        <v>0</v>
      </c>
      <c r="W13" s="261">
        <f>IF(I13/15&lt;=SMG,0,IF(U13&lt;0,0,U13))</f>
        <v>0</v>
      </c>
      <c r="X13" s="261">
        <f>SUM(W13:W13)</f>
        <v>0</v>
      </c>
      <c r="Y13" s="261">
        <f>K13+V13-X13</f>
        <v>4120</v>
      </c>
      <c r="Z13" s="272"/>
      <c r="AD13" s="339"/>
    </row>
    <row r="14" spans="1:30" s="51" customFormat="1" ht="57.75" customHeight="1" x14ac:dyDescent="0.3">
      <c r="A14" s="149"/>
      <c r="B14" s="141" t="s">
        <v>95</v>
      </c>
      <c r="C14" s="141" t="s">
        <v>113</v>
      </c>
      <c r="D14" s="216" t="s">
        <v>193</v>
      </c>
      <c r="E14" s="215" t="s">
        <v>200</v>
      </c>
      <c r="F14" s="216" t="s">
        <v>60</v>
      </c>
      <c r="G14" s="216"/>
      <c r="H14" s="216"/>
      <c r="I14" s="217">
        <f>SUM(I15:I22)</f>
        <v>20447.91</v>
      </c>
      <c r="J14" s="217">
        <f>SUM(J15:J22)</f>
        <v>600</v>
      </c>
      <c r="K14" s="217">
        <f>SUM(K15:K22)</f>
        <v>21047.91</v>
      </c>
      <c r="L14" s="217">
        <f t="shared" ref="L14:U14" si="1">SUM(L16)</f>
        <v>0</v>
      </c>
      <c r="M14" s="217">
        <f t="shared" si="1"/>
        <v>7749.9733333333334</v>
      </c>
      <c r="N14" s="217">
        <f t="shared" si="1"/>
        <v>6332.06</v>
      </c>
      <c r="O14" s="217">
        <f t="shared" si="1"/>
        <v>1417.913333333333</v>
      </c>
      <c r="P14" s="217">
        <f t="shared" si="1"/>
        <v>0.10879999999999999</v>
      </c>
      <c r="Q14" s="217">
        <f t="shared" si="1"/>
        <v>154.2689706666666</v>
      </c>
      <c r="R14" s="217">
        <f t="shared" si="1"/>
        <v>371.83</v>
      </c>
      <c r="S14" s="217">
        <f t="shared" si="1"/>
        <v>526.09897066666656</v>
      </c>
      <c r="T14" s="217">
        <f t="shared" si="1"/>
        <v>475</v>
      </c>
      <c r="U14" s="217">
        <f t="shared" si="1"/>
        <v>25.21</v>
      </c>
      <c r="V14" s="217">
        <f>SUM(V15:V22)</f>
        <v>0</v>
      </c>
      <c r="W14" s="217">
        <f>SUM(W15:W22)</f>
        <v>1884.42</v>
      </c>
      <c r="X14" s="217">
        <f>SUM(X15:X22)</f>
        <v>1884.42</v>
      </c>
      <c r="Y14" s="217">
        <f>SUM(Y15:Y22)</f>
        <v>19163.489999999998</v>
      </c>
      <c r="Z14" s="93"/>
      <c r="AD14" s="64"/>
    </row>
    <row r="15" spans="1:30" s="51" customFormat="1" ht="126" customHeight="1" x14ac:dyDescent="0.2">
      <c r="A15" s="149"/>
      <c r="B15" s="267" t="s">
        <v>394</v>
      </c>
      <c r="C15" s="267" t="s">
        <v>107</v>
      </c>
      <c r="D15" s="249" t="s">
        <v>393</v>
      </c>
      <c r="E15" s="153">
        <v>45778</v>
      </c>
      <c r="F15" s="270" t="s">
        <v>392</v>
      </c>
      <c r="G15" s="257">
        <v>15</v>
      </c>
      <c r="H15" s="258">
        <f>I15/G15</f>
        <v>820.3606666666667</v>
      </c>
      <c r="I15" s="259">
        <v>12305.41</v>
      </c>
      <c r="J15" s="260">
        <v>0</v>
      </c>
      <c r="K15" s="261">
        <f>SUM(I15:J15)</f>
        <v>12305.41</v>
      </c>
      <c r="L15" s="281">
        <f t="shared" ref="L15" si="2">IF(I15/15&lt;=SMG,0,J15/2)</f>
        <v>0</v>
      </c>
      <c r="M15" s="300">
        <f t="shared" ref="M15" si="3">(I15+L15)/G15*30.4</f>
        <v>24938.964266666666</v>
      </c>
      <c r="N15" s="300">
        <f t="shared" ref="N15" si="4">VLOOKUP(M15,Tarifa,1)</f>
        <v>15487.72</v>
      </c>
      <c r="O15" s="281">
        <f t="shared" ref="O15" si="5">M15-N15</f>
        <v>9451.2442666666666</v>
      </c>
      <c r="P15" s="282">
        <f t="shared" ref="P15" si="6">VLOOKUP(M15,Tarifa,3)</f>
        <v>0.21360000000000001</v>
      </c>
      <c r="Q15" s="281">
        <f t="shared" ref="Q15" si="7">O15*P15</f>
        <v>2018.7857753600001</v>
      </c>
      <c r="R15" s="283">
        <f t="shared" ref="R15" si="8">VLOOKUP(M15,Tarifa,2)</f>
        <v>1640.18</v>
      </c>
      <c r="S15" s="281">
        <f t="shared" ref="S15" si="9">Q15+R15</f>
        <v>3658.9657753600004</v>
      </c>
      <c r="T15" s="281">
        <f t="shared" ref="T15" si="10">VLOOKUP(M15,Credito,2)</f>
        <v>0</v>
      </c>
      <c r="U15" s="281">
        <f t="shared" ref="U15" si="11">ROUND((S15-T15)/30.4*G15,2)</f>
        <v>1805.41</v>
      </c>
      <c r="V15" s="261">
        <f>-IF(U15&gt;0,0,0)</f>
        <v>0</v>
      </c>
      <c r="W15" s="261">
        <f t="shared" ref="W15" si="12">IF(I15/15&lt;=SMG,0,IF(U15&lt;0,0,U15))</f>
        <v>1805.41</v>
      </c>
      <c r="X15" s="261">
        <f>SUM(W15:W15)</f>
        <v>1805.41</v>
      </c>
      <c r="Y15" s="261">
        <f>K15+V15-X15</f>
        <v>10500</v>
      </c>
      <c r="Z15" s="405"/>
      <c r="AD15" s="64"/>
    </row>
    <row r="16" spans="1:30" s="286" customFormat="1" ht="234.75" customHeight="1" x14ac:dyDescent="0.2">
      <c r="A16" s="340"/>
      <c r="B16" s="273" t="s">
        <v>223</v>
      </c>
      <c r="C16" s="267" t="s">
        <v>107</v>
      </c>
      <c r="D16" s="253" t="s">
        <v>224</v>
      </c>
      <c r="E16" s="255">
        <v>45154</v>
      </c>
      <c r="F16" s="256" t="s">
        <v>225</v>
      </c>
      <c r="G16" s="257">
        <v>15</v>
      </c>
      <c r="H16" s="258">
        <f>I16/G16</f>
        <v>254.93333333333334</v>
      </c>
      <c r="I16" s="259">
        <v>3824</v>
      </c>
      <c r="J16" s="260">
        <v>600</v>
      </c>
      <c r="K16" s="261">
        <f t="shared" ref="K16" si="13">SUM(I16:J16)</f>
        <v>4424</v>
      </c>
      <c r="L16" s="281">
        <f>IF(I16/15&lt;=SMG,0,J16/2)</f>
        <v>0</v>
      </c>
      <c r="M16" s="300">
        <f>(I16+L16)/G16*30.4</f>
        <v>7749.9733333333334</v>
      </c>
      <c r="N16" s="300">
        <f>VLOOKUP(M16,Tarifa,1)</f>
        <v>6332.06</v>
      </c>
      <c r="O16" s="281">
        <f>M16-N16</f>
        <v>1417.913333333333</v>
      </c>
      <c r="P16" s="282">
        <f>VLOOKUP(M16,Tarifa,3)</f>
        <v>0.10879999999999999</v>
      </c>
      <c r="Q16" s="281">
        <f>O16*P16</f>
        <v>154.2689706666666</v>
      </c>
      <c r="R16" s="283">
        <f>VLOOKUP(M16,Tarifa,2)</f>
        <v>371.83</v>
      </c>
      <c r="S16" s="281">
        <f>Q16+R16</f>
        <v>526.09897066666656</v>
      </c>
      <c r="T16" s="281">
        <f>VLOOKUP(M16,Credito,2)</f>
        <v>475</v>
      </c>
      <c r="U16" s="281">
        <f>ROUND((S16-T16)/30.4*G16,2)</f>
        <v>25.21</v>
      </c>
      <c r="V16" s="261">
        <f>-IF(U16&gt;0,0,0)</f>
        <v>0</v>
      </c>
      <c r="W16" s="261">
        <f t="shared" ref="W16" si="14">IF(I16/15&lt;=SMG,0,IF(U16&lt;0,0,U16))</f>
        <v>0</v>
      </c>
      <c r="X16" s="261">
        <f>SUM(W16:W16)</f>
        <v>0</v>
      </c>
      <c r="Y16" s="261">
        <f>K16+V16-X16</f>
        <v>4424</v>
      </c>
      <c r="Z16" s="272"/>
      <c r="AD16" s="338"/>
    </row>
    <row r="17" spans="1:30" s="51" customFormat="1" ht="24.75" customHeight="1" x14ac:dyDescent="0.3">
      <c r="A17" s="149"/>
      <c r="B17" s="231"/>
      <c r="C17" s="203"/>
      <c r="D17" s="204"/>
      <c r="E17" s="206"/>
      <c r="F17" s="196"/>
      <c r="G17" s="207"/>
      <c r="H17" s="208"/>
      <c r="I17" s="209"/>
      <c r="J17" s="210"/>
      <c r="K17" s="211"/>
      <c r="L17" s="212"/>
      <c r="M17" s="212"/>
      <c r="N17" s="212"/>
      <c r="O17" s="212"/>
      <c r="P17" s="213"/>
      <c r="Q17" s="212"/>
      <c r="R17" s="214"/>
      <c r="S17" s="212"/>
      <c r="T17" s="212"/>
      <c r="U17" s="212"/>
      <c r="V17" s="211"/>
      <c r="W17" s="211"/>
      <c r="X17" s="211"/>
      <c r="Y17" s="211"/>
      <c r="Z17" s="88"/>
      <c r="AD17" s="64"/>
    </row>
    <row r="18" spans="1:30" s="51" customFormat="1" ht="34.5" customHeight="1" x14ac:dyDescent="0.25">
      <c r="A18" s="149"/>
      <c r="B18" s="418" t="s">
        <v>76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D18" s="64"/>
    </row>
    <row r="19" spans="1:30" s="51" customFormat="1" ht="36.75" customHeight="1" x14ac:dyDescent="0.25">
      <c r="A19" s="149"/>
      <c r="B19" s="418" t="s">
        <v>63</v>
      </c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D19" s="64"/>
    </row>
    <row r="20" spans="1:30" s="51" customFormat="1" ht="31.5" customHeight="1" x14ac:dyDescent="0.25">
      <c r="A20" s="149"/>
      <c r="B20" s="419" t="str">
        <f>PRESIDENCIA!A3</f>
        <v>SUELDO  DEL 01 AL 15 DE MAYO DE 2025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D20" s="64"/>
    </row>
    <row r="21" spans="1:30" s="51" customFormat="1" ht="26.25" customHeight="1" x14ac:dyDescent="0.3">
      <c r="A21" s="149"/>
      <c r="B21" s="231"/>
      <c r="C21" s="203"/>
      <c r="D21" s="204"/>
      <c r="E21" s="206"/>
      <c r="F21" s="196"/>
      <c r="G21" s="207"/>
      <c r="H21" s="208"/>
      <c r="I21" s="209"/>
      <c r="J21" s="210"/>
      <c r="K21" s="211"/>
      <c r="L21" s="212"/>
      <c r="M21" s="212"/>
      <c r="N21" s="212"/>
      <c r="O21" s="212"/>
      <c r="P21" s="213"/>
      <c r="Q21" s="212"/>
      <c r="R21" s="214"/>
      <c r="S21" s="212"/>
      <c r="T21" s="212"/>
      <c r="U21" s="212"/>
      <c r="V21" s="211"/>
      <c r="W21" s="211"/>
      <c r="X21" s="211"/>
      <c r="Y21" s="211"/>
      <c r="Z21" s="88"/>
      <c r="AD21" s="64"/>
    </row>
    <row r="22" spans="1:30" s="286" customFormat="1" ht="230.25" customHeight="1" x14ac:dyDescent="0.2">
      <c r="A22" s="340"/>
      <c r="B22" s="273" t="s">
        <v>269</v>
      </c>
      <c r="C22" s="267" t="s">
        <v>107</v>
      </c>
      <c r="D22" s="274" t="s">
        <v>328</v>
      </c>
      <c r="E22" s="315">
        <v>45612</v>
      </c>
      <c r="F22" s="256" t="s">
        <v>270</v>
      </c>
      <c r="G22" s="257">
        <v>15</v>
      </c>
      <c r="H22" s="258">
        <f>I22/G22</f>
        <v>287.89999999999998</v>
      </c>
      <c r="I22" s="259">
        <v>4318.5</v>
      </c>
      <c r="J22" s="260">
        <v>0</v>
      </c>
      <c r="K22" s="261">
        <f t="shared" ref="K22" si="15">SUM(I22:J22)</f>
        <v>4318.5</v>
      </c>
      <c r="L22" s="281">
        <f>IF(I22/15&lt;=SMG,0,J22/2)</f>
        <v>0</v>
      </c>
      <c r="M22" s="300">
        <f>(I22+L22)/G22*30.4</f>
        <v>8752.159999999998</v>
      </c>
      <c r="N22" s="300">
        <f>VLOOKUP(M22,Tarifa,1)</f>
        <v>6332.06</v>
      </c>
      <c r="O22" s="281">
        <f>M22-N22</f>
        <v>2420.0999999999976</v>
      </c>
      <c r="P22" s="282">
        <f>VLOOKUP(M22,Tarifa,3)</f>
        <v>0.10879999999999999</v>
      </c>
      <c r="Q22" s="281">
        <f>O22*P22</f>
        <v>263.30687999999975</v>
      </c>
      <c r="R22" s="283">
        <f>VLOOKUP(M22,Tarifa,2)</f>
        <v>371.83</v>
      </c>
      <c r="S22" s="281">
        <f>Q22+R22</f>
        <v>635.13687999999979</v>
      </c>
      <c r="T22" s="281">
        <f>VLOOKUP(M22,Credito,2)</f>
        <v>475</v>
      </c>
      <c r="U22" s="281">
        <f>ROUND((S22-T22)/30.4*G22,2)</f>
        <v>79.010000000000005</v>
      </c>
      <c r="V22" s="261">
        <f>-IF(U22&gt;0,0,0)</f>
        <v>0</v>
      </c>
      <c r="W22" s="261">
        <f t="shared" ref="W22" si="16">IF(I22/15&lt;=SMG,0,IF(U22&lt;0,0,U22))</f>
        <v>79.010000000000005</v>
      </c>
      <c r="X22" s="261">
        <f>SUM(W22:W22)</f>
        <v>79.010000000000005</v>
      </c>
      <c r="Y22" s="261">
        <f>K22+V22-X22</f>
        <v>4239.49</v>
      </c>
      <c r="Z22" s="272"/>
      <c r="AD22" s="338"/>
    </row>
    <row r="23" spans="1:30" s="51" customFormat="1" ht="60.75" customHeight="1" x14ac:dyDescent="0.3">
      <c r="A23" s="149"/>
      <c r="B23" s="141" t="s">
        <v>95</v>
      </c>
      <c r="C23" s="141" t="s">
        <v>113</v>
      </c>
      <c r="D23" s="216" t="s">
        <v>212</v>
      </c>
      <c r="E23" s="215" t="s">
        <v>200</v>
      </c>
      <c r="F23" s="216" t="s">
        <v>60</v>
      </c>
      <c r="G23" s="216"/>
      <c r="H23" s="216"/>
      <c r="I23" s="217">
        <f>SUM(I24:I25)</f>
        <v>13133.5</v>
      </c>
      <c r="J23" s="217">
        <f>SUM(J24:J25)</f>
        <v>0</v>
      </c>
      <c r="K23" s="217">
        <f>SUM(K24:K25)</f>
        <v>13133.5</v>
      </c>
      <c r="L23" s="217" t="e">
        <f>#REF!+L24+L25</f>
        <v>#REF!</v>
      </c>
      <c r="M23" s="217" t="e">
        <f>#REF!+M24+M25</f>
        <v>#REF!</v>
      </c>
      <c r="N23" s="217" t="e">
        <f>#REF!+N24+N25</f>
        <v>#REF!</v>
      </c>
      <c r="O23" s="217" t="e">
        <f>#REF!+O24+O25</f>
        <v>#REF!</v>
      </c>
      <c r="P23" s="217" t="e">
        <f>#REF!+P24+P25</f>
        <v>#REF!</v>
      </c>
      <c r="Q23" s="217" t="e">
        <f>#REF!+Q24+Q25</f>
        <v>#REF!</v>
      </c>
      <c r="R23" s="217" t="e">
        <f>#REF!+R24+R25</f>
        <v>#REF!</v>
      </c>
      <c r="S23" s="217" t="e">
        <f>#REF!+S24+S25</f>
        <v>#REF!</v>
      </c>
      <c r="T23" s="217" t="e">
        <f>#REF!+T24+T25</f>
        <v>#REF!</v>
      </c>
      <c r="U23" s="217" t="e">
        <f>#REF!+U24+U25</f>
        <v>#REF!</v>
      </c>
      <c r="V23" s="217">
        <f>SUM(V24:V25)</f>
        <v>0</v>
      </c>
      <c r="W23" s="217">
        <f>SUM(W24:W25)</f>
        <v>1100.98</v>
      </c>
      <c r="X23" s="217">
        <f>SUM(X24:X25)</f>
        <v>1100.98</v>
      </c>
      <c r="Y23" s="217">
        <f>SUM(Y24:Y25)</f>
        <v>12032.52</v>
      </c>
      <c r="Z23" s="93"/>
      <c r="AD23" s="64"/>
    </row>
    <row r="24" spans="1:30" s="286" customFormat="1" ht="230.25" customHeight="1" x14ac:dyDescent="0.2">
      <c r="A24" s="340"/>
      <c r="B24" s="273" t="s">
        <v>220</v>
      </c>
      <c r="C24" s="267" t="s">
        <v>107</v>
      </c>
      <c r="D24" s="274" t="s">
        <v>213</v>
      </c>
      <c r="E24" s="315">
        <v>45108</v>
      </c>
      <c r="F24" s="256" t="s">
        <v>214</v>
      </c>
      <c r="G24" s="257">
        <v>15</v>
      </c>
      <c r="H24" s="258">
        <f>I24/G24</f>
        <v>600.5</v>
      </c>
      <c r="I24" s="259">
        <v>9007.5</v>
      </c>
      <c r="J24" s="260">
        <v>0</v>
      </c>
      <c r="K24" s="261">
        <f t="shared" ref="K24" si="17">SUM(I24:J24)</f>
        <v>9007.5</v>
      </c>
      <c r="L24" s="281">
        <f>IF(I24/15&lt;=SMG,0,J24/2)</f>
        <v>0</v>
      </c>
      <c r="M24" s="300">
        <f>(I24+L24)/G24*30.4</f>
        <v>18255.2</v>
      </c>
      <c r="N24" s="300">
        <f>VLOOKUP(M24,Tarifa,1)</f>
        <v>15487.72</v>
      </c>
      <c r="O24" s="281">
        <f>M24-N24</f>
        <v>2767.4800000000014</v>
      </c>
      <c r="P24" s="282">
        <f>VLOOKUP(M24,Tarifa,3)</f>
        <v>0.21360000000000001</v>
      </c>
      <c r="Q24" s="281">
        <f>O24*P24</f>
        <v>591.13372800000036</v>
      </c>
      <c r="R24" s="283">
        <f>VLOOKUP(M24,Tarifa,2)</f>
        <v>1640.18</v>
      </c>
      <c r="S24" s="281">
        <f>Q24+R24</f>
        <v>2231.3137280000005</v>
      </c>
      <c r="T24" s="281">
        <f>VLOOKUP(M24,Credito,2)</f>
        <v>0</v>
      </c>
      <c r="U24" s="281">
        <f>ROUND((S24-T24)/30.4*G24,2)</f>
        <v>1100.98</v>
      </c>
      <c r="V24" s="261">
        <f>-IF(U24&gt;0,0,0)</f>
        <v>0</v>
      </c>
      <c r="W24" s="261">
        <f t="shared" ref="W24" si="18">IF(I24/15&lt;=SMG,0,IF(U24&lt;0,0,U24))</f>
        <v>1100.98</v>
      </c>
      <c r="X24" s="261">
        <f>SUM(W24:W24)</f>
        <v>1100.98</v>
      </c>
      <c r="Y24" s="261">
        <f>K24+V24-X24</f>
        <v>7906.52</v>
      </c>
      <c r="Z24" s="272"/>
      <c r="AD24" s="338"/>
    </row>
    <row r="25" spans="1:30" s="286" customFormat="1" ht="230.25" customHeight="1" x14ac:dyDescent="0.2">
      <c r="A25" s="340"/>
      <c r="B25" s="273" t="s">
        <v>226</v>
      </c>
      <c r="C25" s="267" t="s">
        <v>107</v>
      </c>
      <c r="D25" s="274" t="s">
        <v>228</v>
      </c>
      <c r="E25" s="315">
        <v>45200</v>
      </c>
      <c r="F25" s="256" t="s">
        <v>229</v>
      </c>
      <c r="G25" s="257">
        <v>15</v>
      </c>
      <c r="H25" s="258">
        <f>I25/G25</f>
        <v>275.06666666666666</v>
      </c>
      <c r="I25" s="259">
        <v>4126</v>
      </c>
      <c r="J25" s="260">
        <v>0</v>
      </c>
      <c r="K25" s="261">
        <f>SUM(I25:J25)</f>
        <v>4126</v>
      </c>
      <c r="L25" s="281">
        <f>IF(I25/15&lt;=SMG,0,J25/2)</f>
        <v>0</v>
      </c>
      <c r="M25" s="300">
        <f>(I25+L25)/G25*30.4</f>
        <v>8362.0266666666666</v>
      </c>
      <c r="N25" s="300">
        <f>VLOOKUP(M25,Tarifa,1)</f>
        <v>6332.06</v>
      </c>
      <c r="O25" s="281">
        <f>M25-N25</f>
        <v>2029.9666666666662</v>
      </c>
      <c r="P25" s="282">
        <f>VLOOKUP(M25,Tarifa,3)</f>
        <v>0.10879999999999999</v>
      </c>
      <c r="Q25" s="281">
        <f>O25*P25</f>
        <v>220.86037333333329</v>
      </c>
      <c r="R25" s="283">
        <f>VLOOKUP(M25,Tarifa,2)</f>
        <v>371.83</v>
      </c>
      <c r="S25" s="281">
        <f>Q25+R25</f>
        <v>592.69037333333324</v>
      </c>
      <c r="T25" s="281">
        <f>VLOOKUP(M25,Credito,2)</f>
        <v>475</v>
      </c>
      <c r="U25" s="281">
        <f>ROUND((S25-T25)/30.4*G25,2)</f>
        <v>58.07</v>
      </c>
      <c r="V25" s="261">
        <f>-IF(U25&gt;0,0,0)</f>
        <v>0</v>
      </c>
      <c r="W25" s="261">
        <f>IF(I25/15&lt;=SMG,0,IF(U25&lt;0,0,U25))</f>
        <v>0</v>
      </c>
      <c r="X25" s="261">
        <f>SUM(W25:W25)</f>
        <v>0</v>
      </c>
      <c r="Y25" s="261">
        <f>K25+V25-X25</f>
        <v>4126</v>
      </c>
      <c r="Z25" s="272"/>
      <c r="AD25" s="338"/>
    </row>
    <row r="26" spans="1:30" s="51" customFormat="1" ht="47.25" customHeight="1" x14ac:dyDescent="0.25">
      <c r="A26" s="149"/>
      <c r="B26" s="195" t="s">
        <v>95</v>
      </c>
      <c r="C26" s="195" t="s">
        <v>113</v>
      </c>
      <c r="D26" s="195" t="s">
        <v>282</v>
      </c>
      <c r="E26" s="195" t="s">
        <v>200</v>
      </c>
      <c r="F26" s="236" t="s">
        <v>60</v>
      </c>
      <c r="G26" s="236"/>
      <c r="H26" s="236"/>
      <c r="I26" s="237">
        <f>SUM(I27)</f>
        <v>6207.5</v>
      </c>
      <c r="J26" s="237">
        <f>SUM(J27)</f>
        <v>0</v>
      </c>
      <c r="K26" s="237">
        <f>SUM(K27)</f>
        <v>6207.5</v>
      </c>
      <c r="L26" s="236"/>
      <c r="M26" s="236"/>
      <c r="N26" s="236"/>
      <c r="O26" s="236"/>
      <c r="P26" s="236"/>
      <c r="Q26" s="236"/>
      <c r="R26" s="238"/>
      <c r="S26" s="236"/>
      <c r="T26" s="236"/>
      <c r="U26" s="236"/>
      <c r="V26" s="237">
        <f>SUM(V27)</f>
        <v>0</v>
      </c>
      <c r="W26" s="237">
        <f>SUM(W27)</f>
        <v>555.61</v>
      </c>
      <c r="X26" s="237">
        <f>SUM(X27)</f>
        <v>555.61</v>
      </c>
      <c r="Y26" s="237">
        <f>SUM(Y27)</f>
        <v>5651.89</v>
      </c>
      <c r="Z26" s="173"/>
      <c r="AD26" s="64"/>
    </row>
    <row r="27" spans="1:30" s="286" customFormat="1" ht="230.25" customHeight="1" x14ac:dyDescent="0.2">
      <c r="A27" s="340"/>
      <c r="B27" s="273" t="s">
        <v>283</v>
      </c>
      <c r="C27" s="267" t="s">
        <v>107</v>
      </c>
      <c r="D27" s="253" t="s">
        <v>284</v>
      </c>
      <c r="E27" s="255">
        <v>45566</v>
      </c>
      <c r="F27" s="256" t="s">
        <v>285</v>
      </c>
      <c r="G27" s="257">
        <v>15</v>
      </c>
      <c r="H27" s="258">
        <f>I27/G27</f>
        <v>413.83333333333331</v>
      </c>
      <c r="I27" s="259">
        <v>6207.5</v>
      </c>
      <c r="J27" s="260">
        <v>0</v>
      </c>
      <c r="K27" s="261">
        <f>SUM(I27:J27)</f>
        <v>6207.5</v>
      </c>
      <c r="L27" s="281">
        <f>IF(I27/15&lt;=SMG,0,J27/2)</f>
        <v>0</v>
      </c>
      <c r="M27" s="300">
        <f>(I27+L27)/G27*30.4</f>
        <v>12580.533333333333</v>
      </c>
      <c r="N27" s="300">
        <f>VLOOKUP(M27,Tarifa,1)</f>
        <v>11128.02</v>
      </c>
      <c r="O27" s="281">
        <f>M27-N27</f>
        <v>1452.5133333333324</v>
      </c>
      <c r="P27" s="282">
        <f>VLOOKUP(M27,Tarifa,3)</f>
        <v>0.16</v>
      </c>
      <c r="Q27" s="281">
        <f>O27*P27</f>
        <v>232.40213333333318</v>
      </c>
      <c r="R27" s="283">
        <f>VLOOKUP(M27,Tarifa,2)</f>
        <v>893.63</v>
      </c>
      <c r="S27" s="281">
        <f>Q27+R27</f>
        <v>1126.0321333333331</v>
      </c>
      <c r="T27" s="281">
        <f>VLOOKUP(M27,Credito,2)</f>
        <v>0</v>
      </c>
      <c r="U27" s="281">
        <f>ROUND((S27-T27)/30.4*G27,2)</f>
        <v>555.61</v>
      </c>
      <c r="V27" s="261">
        <f>-IF(U27&gt;0,0,0)</f>
        <v>0</v>
      </c>
      <c r="W27" s="261">
        <f>IF(I27/15&lt;=SMG,0,IF(U27&lt;0,0,U27))</f>
        <v>555.61</v>
      </c>
      <c r="X27" s="261">
        <f>SUM(W27:W27)</f>
        <v>555.61</v>
      </c>
      <c r="Y27" s="261">
        <f>K27+V27-X27</f>
        <v>5651.89</v>
      </c>
      <c r="Z27" s="262"/>
      <c r="AD27" s="338"/>
    </row>
    <row r="28" spans="1:30" s="286" customFormat="1" ht="118.5" customHeight="1" x14ac:dyDescent="0.3">
      <c r="A28" s="340"/>
      <c r="B28" s="195" t="s">
        <v>95</v>
      </c>
      <c r="C28" s="195" t="s">
        <v>113</v>
      </c>
      <c r="D28" s="219" t="s">
        <v>116</v>
      </c>
      <c r="E28" s="219" t="s">
        <v>200</v>
      </c>
      <c r="F28" s="220" t="s">
        <v>60</v>
      </c>
      <c r="G28" s="220"/>
      <c r="H28" s="220"/>
      <c r="I28" s="221">
        <f>SUM(I29)</f>
        <v>7730</v>
      </c>
      <c r="J28" s="221">
        <f>SUM(J29)</f>
        <v>0</v>
      </c>
      <c r="K28" s="221">
        <f>SUM(K29)</f>
        <v>7730</v>
      </c>
      <c r="L28" s="220"/>
      <c r="M28" s="220"/>
      <c r="N28" s="220"/>
      <c r="O28" s="220"/>
      <c r="P28" s="220"/>
      <c r="Q28" s="220"/>
      <c r="R28" s="222"/>
      <c r="S28" s="220"/>
      <c r="T28" s="220"/>
      <c r="U28" s="220"/>
      <c r="V28" s="221">
        <f>SUM(V29)</f>
        <v>0</v>
      </c>
      <c r="W28" s="221">
        <f>SUM(W29)</f>
        <v>828.1</v>
      </c>
      <c r="X28" s="221">
        <f>SUM(X29)</f>
        <v>828.1</v>
      </c>
      <c r="Y28" s="221">
        <f>SUM(Y29)</f>
        <v>6901.9</v>
      </c>
      <c r="Z28" s="173"/>
      <c r="AD28" s="338"/>
    </row>
    <row r="29" spans="1:30" s="286" customFormat="1" ht="234" customHeight="1" x14ac:dyDescent="0.2">
      <c r="A29" s="340"/>
      <c r="B29" s="273" t="s">
        <v>278</v>
      </c>
      <c r="C29" s="267" t="s">
        <v>107</v>
      </c>
      <c r="D29" s="253" t="s">
        <v>277</v>
      </c>
      <c r="E29" s="255">
        <v>45566</v>
      </c>
      <c r="F29" s="256" t="s">
        <v>94</v>
      </c>
      <c r="G29" s="257">
        <v>15</v>
      </c>
      <c r="H29" s="258">
        <f>I29/G29</f>
        <v>515.33333333333337</v>
      </c>
      <c r="I29" s="259">
        <v>7730</v>
      </c>
      <c r="J29" s="260">
        <v>0</v>
      </c>
      <c r="K29" s="261">
        <f>SUM(I29:J29)</f>
        <v>7730</v>
      </c>
      <c r="L29" s="281">
        <f>IF(I29/15&lt;=SMG,0,J29/2)</f>
        <v>0</v>
      </c>
      <c r="M29" s="300">
        <f>(I29+L29)/G29*30.4</f>
        <v>15666.133333333333</v>
      </c>
      <c r="N29" s="300">
        <f>VLOOKUP(M29,Tarifa,1)</f>
        <v>15487.72</v>
      </c>
      <c r="O29" s="281">
        <f>M29-N29</f>
        <v>178.41333333333387</v>
      </c>
      <c r="P29" s="282">
        <f>VLOOKUP(M29,Tarifa,3)</f>
        <v>0.21360000000000001</v>
      </c>
      <c r="Q29" s="281">
        <f>O29*P29</f>
        <v>38.109088000000114</v>
      </c>
      <c r="R29" s="283">
        <f>VLOOKUP(M29,Tarifa,2)</f>
        <v>1640.18</v>
      </c>
      <c r="S29" s="281">
        <f>Q29+R29</f>
        <v>1678.2890880000002</v>
      </c>
      <c r="T29" s="281">
        <f>VLOOKUP(M29,Credito,2)</f>
        <v>0</v>
      </c>
      <c r="U29" s="281">
        <f>ROUND((S29-T29)/30.4*G29,2)</f>
        <v>828.1</v>
      </c>
      <c r="V29" s="261">
        <f>-IF(U29&gt;0,0,0)</f>
        <v>0</v>
      </c>
      <c r="W29" s="261">
        <f>IF(I29/15&lt;=SMG,0,IF(U29&lt;0,0,U29))</f>
        <v>828.1</v>
      </c>
      <c r="X29" s="261">
        <f>SUM(W29:W29)</f>
        <v>828.1</v>
      </c>
      <c r="Y29" s="261">
        <f>K29+V29-X29</f>
        <v>6901.9</v>
      </c>
      <c r="Z29" s="262"/>
      <c r="AD29" s="338"/>
    </row>
    <row r="30" spans="1:30" s="286" customFormat="1" ht="35.25" customHeight="1" x14ac:dyDescent="0.2">
      <c r="A30" s="340"/>
      <c r="B30" s="386"/>
      <c r="C30" s="387"/>
      <c r="D30" s="388"/>
      <c r="E30" s="389"/>
      <c r="F30" s="390"/>
      <c r="G30" s="391"/>
      <c r="H30" s="392"/>
      <c r="I30" s="393"/>
      <c r="J30" s="394"/>
      <c r="K30" s="395"/>
      <c r="L30" s="369"/>
      <c r="M30" s="370"/>
      <c r="N30" s="370"/>
      <c r="O30" s="369"/>
      <c r="P30" s="371"/>
      <c r="Q30" s="369"/>
      <c r="R30" s="372"/>
      <c r="S30" s="369"/>
      <c r="T30" s="369"/>
      <c r="U30" s="369"/>
      <c r="V30" s="395"/>
      <c r="W30" s="395"/>
      <c r="X30" s="395"/>
      <c r="Y30" s="395"/>
      <c r="Z30" s="396"/>
      <c r="AD30" s="338"/>
    </row>
    <row r="31" spans="1:30" s="286" customFormat="1" ht="35.25" customHeight="1" x14ac:dyDescent="0.2">
      <c r="A31" s="340"/>
      <c r="B31" s="386"/>
      <c r="C31" s="387"/>
      <c r="D31" s="388"/>
      <c r="E31" s="389"/>
      <c r="F31" s="390"/>
      <c r="G31" s="391"/>
      <c r="H31" s="392"/>
      <c r="I31" s="393"/>
      <c r="J31" s="394"/>
      <c r="K31" s="395"/>
      <c r="L31" s="369"/>
      <c r="M31" s="370"/>
      <c r="N31" s="370"/>
      <c r="O31" s="369"/>
      <c r="P31" s="371"/>
      <c r="Q31" s="369"/>
      <c r="R31" s="372"/>
      <c r="S31" s="369"/>
      <c r="T31" s="369"/>
      <c r="U31" s="369"/>
      <c r="V31" s="395"/>
      <c r="W31" s="395"/>
      <c r="X31" s="395"/>
      <c r="Y31" s="395"/>
      <c r="Z31" s="396"/>
      <c r="AD31" s="338"/>
    </row>
    <row r="32" spans="1:30" s="51" customFormat="1" ht="45" customHeight="1" x14ac:dyDescent="0.25">
      <c r="A32" s="149"/>
      <c r="B32" s="418" t="s">
        <v>76</v>
      </c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D32" s="64"/>
    </row>
    <row r="33" spans="1:30" s="51" customFormat="1" ht="33.75" customHeight="1" x14ac:dyDescent="0.25">
      <c r="A33" s="149"/>
      <c r="B33" s="418" t="s">
        <v>63</v>
      </c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D33" s="64"/>
    </row>
    <row r="34" spans="1:30" s="51" customFormat="1" ht="42" customHeight="1" x14ac:dyDescent="0.25">
      <c r="A34" s="149"/>
      <c r="B34" s="451" t="str">
        <f>PRESIDENCIA!A3</f>
        <v>SUELDO  DEL 01 AL 15 DE MAYO DE 2025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D34" s="64"/>
    </row>
    <row r="35" spans="1:30" s="51" customFormat="1" ht="25.5" customHeight="1" x14ac:dyDescent="0.3">
      <c r="A35" s="149"/>
      <c r="B35" s="231"/>
      <c r="C35" s="203"/>
      <c r="D35" s="204"/>
      <c r="E35" s="206"/>
      <c r="F35" s="196"/>
      <c r="G35" s="207"/>
      <c r="H35" s="208"/>
      <c r="I35" s="209"/>
      <c r="J35" s="210"/>
      <c r="K35" s="211"/>
      <c r="L35" s="212"/>
      <c r="M35" s="212"/>
      <c r="N35" s="212"/>
      <c r="O35" s="212"/>
      <c r="P35" s="213"/>
      <c r="Q35" s="212"/>
      <c r="R35" s="214"/>
      <c r="S35" s="212"/>
      <c r="T35" s="212"/>
      <c r="U35" s="212"/>
      <c r="V35" s="211"/>
      <c r="W35" s="211"/>
      <c r="X35" s="211"/>
      <c r="Y35" s="211"/>
      <c r="Z35" s="88"/>
      <c r="AD35" s="64"/>
    </row>
    <row r="36" spans="1:30" s="104" customFormat="1" ht="57.75" customHeight="1" x14ac:dyDescent="0.3">
      <c r="A36" s="154"/>
      <c r="B36" s="141" t="s">
        <v>95</v>
      </c>
      <c r="C36" s="141" t="s">
        <v>113</v>
      </c>
      <c r="D36" s="216" t="s">
        <v>129</v>
      </c>
      <c r="E36" s="215" t="s">
        <v>200</v>
      </c>
      <c r="F36" s="216" t="s">
        <v>60</v>
      </c>
      <c r="G36" s="216"/>
      <c r="H36" s="216"/>
      <c r="I36" s="217">
        <f>SUM(I37:I52)</f>
        <v>81843.919999999984</v>
      </c>
      <c r="J36" s="217">
        <f>SUM(J37:J52)</f>
        <v>0</v>
      </c>
      <c r="K36" s="217">
        <f>SUM(K37:K52)</f>
        <v>81843.919999999984</v>
      </c>
      <c r="L36" s="216"/>
      <c r="M36" s="216"/>
      <c r="N36" s="216"/>
      <c r="O36" s="216"/>
      <c r="P36" s="216"/>
      <c r="Q36" s="216"/>
      <c r="R36" s="218"/>
      <c r="S36" s="216"/>
      <c r="T36" s="216"/>
      <c r="U36" s="216"/>
      <c r="V36" s="217">
        <f>SUM(V37:V52)</f>
        <v>0</v>
      </c>
      <c r="W36" s="217">
        <f>SUM(W37:W52)</f>
        <v>8540.1200000000008</v>
      </c>
      <c r="X36" s="217">
        <f>SUM(X37:X52)</f>
        <v>8540.1200000000008</v>
      </c>
      <c r="Y36" s="217">
        <f>SUM(Y37:Y52)</f>
        <v>73303.8</v>
      </c>
      <c r="Z36" s="175"/>
    </row>
    <row r="37" spans="1:30" s="341" customFormat="1" ht="230.25" customHeight="1" x14ac:dyDescent="0.2">
      <c r="A37" s="342"/>
      <c r="B37" s="273" t="s">
        <v>137</v>
      </c>
      <c r="C37" s="267" t="s">
        <v>107</v>
      </c>
      <c r="D37" s="253" t="s">
        <v>131</v>
      </c>
      <c r="E37" s="315">
        <v>43101</v>
      </c>
      <c r="F37" s="256" t="s">
        <v>276</v>
      </c>
      <c r="G37" s="257">
        <v>15</v>
      </c>
      <c r="H37" s="258">
        <f>I37/G37</f>
        <v>515.33333333333337</v>
      </c>
      <c r="I37" s="259">
        <v>7730</v>
      </c>
      <c r="J37" s="260">
        <v>0</v>
      </c>
      <c r="K37" s="261">
        <f>SUM(I37:J37)</f>
        <v>7730</v>
      </c>
      <c r="L37" s="281">
        <f>IF(I37/15&lt;=SMG,0,J37/2)</f>
        <v>0</v>
      </c>
      <c r="M37" s="300">
        <f>(I37+L37)/G37*30.4</f>
        <v>15666.133333333333</v>
      </c>
      <c r="N37" s="300">
        <f>VLOOKUP(M37,Tarifa,1)</f>
        <v>15487.72</v>
      </c>
      <c r="O37" s="281">
        <f>M37-N37</f>
        <v>178.41333333333387</v>
      </c>
      <c r="P37" s="282">
        <f>VLOOKUP(M37,Tarifa,3)</f>
        <v>0.21360000000000001</v>
      </c>
      <c r="Q37" s="281">
        <f>O37*P37</f>
        <v>38.109088000000114</v>
      </c>
      <c r="R37" s="283">
        <f>VLOOKUP(M37,Tarifa,2)</f>
        <v>1640.18</v>
      </c>
      <c r="S37" s="281">
        <f>Q37+R37</f>
        <v>1678.2890880000002</v>
      </c>
      <c r="T37" s="281">
        <f>VLOOKUP(M37,Credito,2)</f>
        <v>0</v>
      </c>
      <c r="U37" s="281">
        <f>ROUND((S37-T37)/30.4*G37,2)</f>
        <v>828.1</v>
      </c>
      <c r="V37" s="261">
        <f>-IF(U37&gt;0,0,0)</f>
        <v>0</v>
      </c>
      <c r="W37" s="261">
        <f>IF(I37/15&lt;=SMG,0,IF(U37&lt;0,0,U37))</f>
        <v>828.1</v>
      </c>
      <c r="X37" s="261">
        <f>SUM(W37:W37)</f>
        <v>828.1</v>
      </c>
      <c r="Y37" s="261">
        <f>K37+V37-X37</f>
        <v>6901.9</v>
      </c>
      <c r="Z37" s="343"/>
    </row>
    <row r="38" spans="1:30" s="341" customFormat="1" ht="230.25" customHeight="1" x14ac:dyDescent="0.2">
      <c r="A38" s="342"/>
      <c r="B38" s="273" t="s">
        <v>280</v>
      </c>
      <c r="C38" s="267" t="s">
        <v>107</v>
      </c>
      <c r="D38" s="253" t="s">
        <v>279</v>
      </c>
      <c r="E38" s="315">
        <v>45292</v>
      </c>
      <c r="F38" s="256" t="s">
        <v>132</v>
      </c>
      <c r="G38" s="257">
        <v>15</v>
      </c>
      <c r="H38" s="258">
        <f>I38/G38</f>
        <v>515.33333333333337</v>
      </c>
      <c r="I38" s="259">
        <v>7730</v>
      </c>
      <c r="J38" s="260">
        <v>0</v>
      </c>
      <c r="K38" s="261">
        <f>SUM(I38:J38)</f>
        <v>7730</v>
      </c>
      <c r="L38" s="281">
        <f>IF(I38/15&lt;=SMG,0,J38/2)</f>
        <v>0</v>
      </c>
      <c r="M38" s="300">
        <f>(I38+L38)/G38*30.4</f>
        <v>15666.133333333333</v>
      </c>
      <c r="N38" s="300">
        <f>VLOOKUP(M38,Tarifa,1)</f>
        <v>15487.72</v>
      </c>
      <c r="O38" s="281">
        <f>M38-N38</f>
        <v>178.41333333333387</v>
      </c>
      <c r="P38" s="282">
        <f>VLOOKUP(M38,Tarifa,3)</f>
        <v>0.21360000000000001</v>
      </c>
      <c r="Q38" s="281">
        <f>O38*P38</f>
        <v>38.109088000000114</v>
      </c>
      <c r="R38" s="283">
        <f>VLOOKUP(M38,Tarifa,2)</f>
        <v>1640.18</v>
      </c>
      <c r="S38" s="281">
        <f>Q38+R38</f>
        <v>1678.2890880000002</v>
      </c>
      <c r="T38" s="281">
        <f>VLOOKUP(M38,Credito,2)</f>
        <v>0</v>
      </c>
      <c r="U38" s="281">
        <f>ROUND((S38-T38)/30.4*G38,2)</f>
        <v>828.1</v>
      </c>
      <c r="V38" s="261">
        <f>-IF(U38&gt;0,0,0)</f>
        <v>0</v>
      </c>
      <c r="W38" s="261">
        <f>IF(I38/15&lt;=SMG,0,IF(U38&lt;0,0,U38))</f>
        <v>828.1</v>
      </c>
      <c r="X38" s="261">
        <f>SUM(W38:W38)</f>
        <v>828.1</v>
      </c>
      <c r="Y38" s="261">
        <f>K38+V38-X38</f>
        <v>6901.9</v>
      </c>
      <c r="Z38" s="343"/>
    </row>
    <row r="39" spans="1:30" s="341" customFormat="1" ht="230.25" customHeight="1" x14ac:dyDescent="0.2">
      <c r="A39" s="342"/>
      <c r="B39" s="273" t="s">
        <v>368</v>
      </c>
      <c r="C39" s="267" t="s">
        <v>107</v>
      </c>
      <c r="D39" s="253" t="s">
        <v>370</v>
      </c>
      <c r="E39" s="315">
        <v>45732</v>
      </c>
      <c r="F39" s="270" t="s">
        <v>375</v>
      </c>
      <c r="G39" s="271">
        <v>15</v>
      </c>
      <c r="H39" s="303">
        <f>ROUND(I39/G39,2)</f>
        <v>566.04</v>
      </c>
      <c r="I39" s="278">
        <v>8490.56</v>
      </c>
      <c r="J39" s="279">
        <v>0</v>
      </c>
      <c r="K39" s="280">
        <f t="shared" ref="K39" si="19">SUM(I39:J39)</f>
        <v>8490.56</v>
      </c>
      <c r="L39" s="281">
        <f>IF(I39/15&lt;=SMG,0,J39/2)</f>
        <v>0</v>
      </c>
      <c r="M39" s="300">
        <f>(I39+L39)/G39*30.4</f>
        <v>17207.534933333332</v>
      </c>
      <c r="N39" s="300">
        <f>VLOOKUP(M39,Tarifa,1)</f>
        <v>15487.72</v>
      </c>
      <c r="O39" s="281">
        <f>M39-N39</f>
        <v>1719.8149333333331</v>
      </c>
      <c r="P39" s="282">
        <f>VLOOKUP(M39,Tarifa,3)</f>
        <v>0.21360000000000001</v>
      </c>
      <c r="Q39" s="281">
        <f>O39*P39</f>
        <v>367.35246975999996</v>
      </c>
      <c r="R39" s="283">
        <f>VLOOKUP(M39,Tarifa,2)</f>
        <v>1640.18</v>
      </c>
      <c r="S39" s="281">
        <f>Q39+R39</f>
        <v>2007.5324697599999</v>
      </c>
      <c r="T39" s="281">
        <f>VLOOKUP(M39,Credito,2)</f>
        <v>0</v>
      </c>
      <c r="U39" s="281">
        <f>ROUND((S39-T39)/30.4*G39,2)</f>
        <v>990.56</v>
      </c>
      <c r="V39" s="280">
        <f>-IF(U39&gt;0,0,0)</f>
        <v>0</v>
      </c>
      <c r="W39" s="280">
        <f t="shared" ref="W39" si="20">IF(I39/15&lt;=SMG,0,IF(U39&lt;0,0,U39))</f>
        <v>990.56</v>
      </c>
      <c r="X39" s="280">
        <f>SUM(W39:W39)</f>
        <v>990.56</v>
      </c>
      <c r="Y39" s="280">
        <f>K39+V39-X39</f>
        <v>7500</v>
      </c>
      <c r="Z39" s="343"/>
    </row>
    <row r="40" spans="1:30" s="341" customFormat="1" ht="230.25" customHeight="1" x14ac:dyDescent="0.2">
      <c r="A40" s="342"/>
      <c r="B40" s="273" t="s">
        <v>369</v>
      </c>
      <c r="C40" s="267" t="s">
        <v>107</v>
      </c>
      <c r="D40" s="253" t="s">
        <v>371</v>
      </c>
      <c r="E40" s="315">
        <v>45732</v>
      </c>
      <c r="F40" s="270" t="s">
        <v>375</v>
      </c>
      <c r="G40" s="257">
        <v>15</v>
      </c>
      <c r="H40" s="258">
        <f>I40/G40</f>
        <v>482.44466666666665</v>
      </c>
      <c r="I40" s="259">
        <v>7236.67</v>
      </c>
      <c r="J40" s="260">
        <v>0</v>
      </c>
      <c r="K40" s="261">
        <f>SUM(I40:J40)</f>
        <v>7236.67</v>
      </c>
      <c r="L40" s="281">
        <f>IF(I40/15&lt;=SMG,0,J40/2)</f>
        <v>0</v>
      </c>
      <c r="M40" s="300">
        <f>(I40+L40)/G40*30.4</f>
        <v>14666.317866666666</v>
      </c>
      <c r="N40" s="300">
        <f>VLOOKUP(M40,Tarifa,1)</f>
        <v>12935.83</v>
      </c>
      <c r="O40" s="281">
        <f>M40-N40</f>
        <v>1730.4878666666664</v>
      </c>
      <c r="P40" s="282">
        <f>VLOOKUP(M40,Tarifa,3)</f>
        <v>0.1792</v>
      </c>
      <c r="Q40" s="281">
        <f>O40*P40</f>
        <v>310.1034257066666</v>
      </c>
      <c r="R40" s="283">
        <f>VLOOKUP(M40,Tarifa,2)</f>
        <v>1182.8800000000001</v>
      </c>
      <c r="S40" s="281">
        <f>Q40+R40</f>
        <v>1492.9834257066668</v>
      </c>
      <c r="T40" s="281">
        <f>VLOOKUP(M40,Credito,2)</f>
        <v>0</v>
      </c>
      <c r="U40" s="281">
        <f>ROUND((S40-T40)/30.4*G40,2)</f>
        <v>736.67</v>
      </c>
      <c r="V40" s="261">
        <f>-IF(U40&gt;0,0,0)</f>
        <v>0</v>
      </c>
      <c r="W40" s="261">
        <f>IF(I40/15&lt;=SMG,0,IF(U40&lt;0,0,U40))</f>
        <v>736.67</v>
      </c>
      <c r="X40" s="261">
        <f>SUM(W40:W40)</f>
        <v>736.67</v>
      </c>
      <c r="Y40" s="261">
        <f>K40+V40-X40</f>
        <v>6500</v>
      </c>
      <c r="Z40" s="343"/>
    </row>
    <row r="41" spans="1:30" s="341" customFormat="1" ht="230.25" customHeight="1" x14ac:dyDescent="0.2">
      <c r="A41" s="401"/>
      <c r="B41" s="273" t="s">
        <v>373</v>
      </c>
      <c r="C41" s="267" t="s">
        <v>310</v>
      </c>
      <c r="D41" s="253" t="s">
        <v>372</v>
      </c>
      <c r="E41" s="315">
        <v>45732</v>
      </c>
      <c r="F41" s="270" t="s">
        <v>375</v>
      </c>
      <c r="G41" s="257">
        <v>15</v>
      </c>
      <c r="H41" s="258">
        <f t="shared" ref="H41:H42" si="21">I41/G41</f>
        <v>482.44466666666665</v>
      </c>
      <c r="I41" s="259">
        <v>7236.67</v>
      </c>
      <c r="J41" s="260">
        <v>0</v>
      </c>
      <c r="K41" s="261">
        <f t="shared" ref="K41:K42" si="22">SUM(I41:J41)</f>
        <v>7236.67</v>
      </c>
      <c r="L41" s="281">
        <f t="shared" ref="L41:L42" si="23">IF(I41/15&lt;=SMG,0,J41/2)</f>
        <v>0</v>
      </c>
      <c r="M41" s="300">
        <f t="shared" ref="M41:M42" si="24">(I41+L41)/G41*30.4</f>
        <v>14666.317866666666</v>
      </c>
      <c r="N41" s="300">
        <f t="shared" ref="N41:N42" si="25">VLOOKUP(M41,Tarifa,1)</f>
        <v>12935.83</v>
      </c>
      <c r="O41" s="281">
        <f t="shared" ref="O41:O42" si="26">M41-N41</f>
        <v>1730.4878666666664</v>
      </c>
      <c r="P41" s="282">
        <f t="shared" ref="P41:P42" si="27">VLOOKUP(M41,Tarifa,3)</f>
        <v>0.1792</v>
      </c>
      <c r="Q41" s="281">
        <f t="shared" ref="Q41:Q42" si="28">O41*P41</f>
        <v>310.1034257066666</v>
      </c>
      <c r="R41" s="283">
        <f t="shared" ref="R41:R42" si="29">VLOOKUP(M41,Tarifa,2)</f>
        <v>1182.8800000000001</v>
      </c>
      <c r="S41" s="281">
        <f t="shared" ref="S41:S42" si="30">Q41+R41</f>
        <v>1492.9834257066668</v>
      </c>
      <c r="T41" s="281">
        <f t="shared" ref="T41:T42" si="31">VLOOKUP(M41,Credito,2)</f>
        <v>0</v>
      </c>
      <c r="U41" s="281">
        <f t="shared" ref="U41:U42" si="32">ROUND((S41-T41)/30.4*G41,2)</f>
        <v>736.67</v>
      </c>
      <c r="V41" s="261">
        <f t="shared" ref="V41:V42" si="33">-IF(U41&gt;0,0,0)</f>
        <v>0</v>
      </c>
      <c r="W41" s="261">
        <f t="shared" ref="W41:W42" si="34">IF(I41/15&lt;=SMG,0,IF(U41&lt;0,0,U41))</f>
        <v>736.67</v>
      </c>
      <c r="X41" s="261">
        <f>SUM(W41:W41)</f>
        <v>736.67</v>
      </c>
      <c r="Y41" s="261">
        <f>K41+V41-X41</f>
        <v>6500</v>
      </c>
      <c r="Z41" s="343"/>
    </row>
    <row r="42" spans="1:30" s="341" customFormat="1" ht="230.25" customHeight="1" x14ac:dyDescent="0.2">
      <c r="A42" s="401"/>
      <c r="B42" s="273" t="s">
        <v>376</v>
      </c>
      <c r="C42" s="267" t="s">
        <v>310</v>
      </c>
      <c r="D42" s="253" t="s">
        <v>377</v>
      </c>
      <c r="E42" s="315">
        <v>45732</v>
      </c>
      <c r="F42" s="270" t="s">
        <v>375</v>
      </c>
      <c r="G42" s="257">
        <v>15</v>
      </c>
      <c r="H42" s="258">
        <f t="shared" si="21"/>
        <v>482.44466666666665</v>
      </c>
      <c r="I42" s="259">
        <v>7236.67</v>
      </c>
      <c r="J42" s="260">
        <v>0</v>
      </c>
      <c r="K42" s="261">
        <f t="shared" si="22"/>
        <v>7236.67</v>
      </c>
      <c r="L42" s="281">
        <f t="shared" si="23"/>
        <v>0</v>
      </c>
      <c r="M42" s="300">
        <f t="shared" si="24"/>
        <v>14666.317866666666</v>
      </c>
      <c r="N42" s="300">
        <f t="shared" si="25"/>
        <v>12935.83</v>
      </c>
      <c r="O42" s="281">
        <f t="shared" si="26"/>
        <v>1730.4878666666664</v>
      </c>
      <c r="P42" s="282">
        <f t="shared" si="27"/>
        <v>0.1792</v>
      </c>
      <c r="Q42" s="281">
        <f t="shared" si="28"/>
        <v>310.1034257066666</v>
      </c>
      <c r="R42" s="283">
        <f t="shared" si="29"/>
        <v>1182.8800000000001</v>
      </c>
      <c r="S42" s="281">
        <f t="shared" si="30"/>
        <v>1492.9834257066668</v>
      </c>
      <c r="T42" s="281">
        <f t="shared" si="31"/>
        <v>0</v>
      </c>
      <c r="U42" s="281">
        <f t="shared" si="32"/>
        <v>736.67</v>
      </c>
      <c r="V42" s="261">
        <f t="shared" si="33"/>
        <v>0</v>
      </c>
      <c r="W42" s="261">
        <f t="shared" si="34"/>
        <v>736.67</v>
      </c>
      <c r="X42" s="261">
        <f>SUM(W42:W42)</f>
        <v>736.67</v>
      </c>
      <c r="Y42" s="261">
        <f>K42+V42-X42</f>
        <v>6500</v>
      </c>
      <c r="Z42" s="343"/>
    </row>
    <row r="43" spans="1:30" s="341" customFormat="1" ht="42" customHeight="1" x14ac:dyDescent="0.2">
      <c r="A43" s="401"/>
      <c r="B43" s="386"/>
      <c r="C43" s="387"/>
      <c r="D43" s="388"/>
      <c r="E43" s="402"/>
      <c r="F43" s="403"/>
      <c r="G43" s="391"/>
      <c r="H43" s="392"/>
      <c r="I43" s="393"/>
      <c r="J43" s="394"/>
      <c r="K43" s="395"/>
      <c r="L43" s="369"/>
      <c r="M43" s="370"/>
      <c r="N43" s="370"/>
      <c r="O43" s="369"/>
      <c r="P43" s="371"/>
      <c r="Q43" s="369"/>
      <c r="R43" s="372"/>
      <c r="S43" s="369"/>
      <c r="T43" s="369"/>
      <c r="U43" s="369"/>
      <c r="V43" s="395"/>
      <c r="W43" s="395"/>
      <c r="X43" s="395"/>
      <c r="Y43" s="395"/>
      <c r="Z43" s="404"/>
    </row>
    <row r="44" spans="1:30" s="341" customFormat="1" ht="42" customHeight="1" x14ac:dyDescent="0.25">
      <c r="A44" s="401"/>
      <c r="B44" s="418" t="s">
        <v>76</v>
      </c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</row>
    <row r="45" spans="1:30" s="341" customFormat="1" ht="42" customHeight="1" x14ac:dyDescent="0.25">
      <c r="A45" s="401"/>
      <c r="B45" s="418" t="s">
        <v>63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</row>
    <row r="46" spans="1:30" s="341" customFormat="1" ht="42" customHeight="1" x14ac:dyDescent="0.2">
      <c r="A46" s="401"/>
      <c r="B46" s="453" t="str">
        <f>PRESIDENCIA!A3</f>
        <v>SUELDO  DEL 01 AL 15 DE MAYO DE 2025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</row>
    <row r="47" spans="1:30" s="341" customFormat="1" ht="19.5" customHeight="1" x14ac:dyDescent="0.2">
      <c r="A47" s="401"/>
      <c r="B47" s="386"/>
      <c r="C47" s="387"/>
      <c r="D47" s="388"/>
      <c r="E47" s="402"/>
      <c r="F47" s="403"/>
      <c r="G47" s="391"/>
      <c r="H47" s="392"/>
      <c r="I47" s="393"/>
      <c r="J47" s="394"/>
      <c r="K47" s="395"/>
      <c r="L47" s="369"/>
      <c r="M47" s="370"/>
      <c r="N47" s="370"/>
      <c r="O47" s="369"/>
      <c r="P47" s="371"/>
      <c r="Q47" s="369"/>
      <c r="R47" s="372"/>
      <c r="S47" s="369"/>
      <c r="T47" s="369"/>
      <c r="U47" s="369"/>
      <c r="V47" s="395"/>
      <c r="W47" s="395"/>
      <c r="X47" s="395"/>
      <c r="Y47" s="395"/>
      <c r="Z47" s="404"/>
    </row>
    <row r="48" spans="1:30" s="341" customFormat="1" ht="164.25" customHeight="1" x14ac:dyDescent="0.2">
      <c r="A48" s="342"/>
      <c r="B48" s="273" t="s">
        <v>378</v>
      </c>
      <c r="C48" s="267" t="s">
        <v>310</v>
      </c>
      <c r="D48" s="253" t="s">
        <v>379</v>
      </c>
      <c r="E48" s="315">
        <v>45732</v>
      </c>
      <c r="F48" s="270" t="s">
        <v>375</v>
      </c>
      <c r="G48" s="257">
        <v>15</v>
      </c>
      <c r="H48" s="258">
        <f t="shared" ref="H48:H52" si="35">I48/G48</f>
        <v>482.44466666666665</v>
      </c>
      <c r="I48" s="259">
        <v>7236.67</v>
      </c>
      <c r="J48" s="260">
        <v>0</v>
      </c>
      <c r="K48" s="261">
        <f t="shared" ref="K48:K52" si="36">SUM(I48:J48)</f>
        <v>7236.67</v>
      </c>
      <c r="L48" s="281">
        <f t="shared" ref="L48:L52" si="37">IF(I48/15&lt;=SMG,0,J48/2)</f>
        <v>0</v>
      </c>
      <c r="M48" s="300">
        <f t="shared" ref="M48:M52" si="38">(I48+L48)/G48*30.4</f>
        <v>14666.317866666666</v>
      </c>
      <c r="N48" s="300">
        <f t="shared" ref="N48:N52" si="39">VLOOKUP(M48,Tarifa,1)</f>
        <v>12935.83</v>
      </c>
      <c r="O48" s="281">
        <f t="shared" ref="O48:O52" si="40">M48-N48</f>
        <v>1730.4878666666664</v>
      </c>
      <c r="P48" s="282">
        <f t="shared" ref="P48:P52" si="41">VLOOKUP(M48,Tarifa,3)</f>
        <v>0.1792</v>
      </c>
      <c r="Q48" s="281">
        <f t="shared" ref="Q48:Q52" si="42">O48*P48</f>
        <v>310.1034257066666</v>
      </c>
      <c r="R48" s="283">
        <f t="shared" ref="R48:R52" si="43">VLOOKUP(M48,Tarifa,2)</f>
        <v>1182.8800000000001</v>
      </c>
      <c r="S48" s="281">
        <f t="shared" ref="S48:S52" si="44">Q48+R48</f>
        <v>1492.9834257066668</v>
      </c>
      <c r="T48" s="281">
        <f t="shared" ref="T48:T52" si="45">VLOOKUP(M48,Credito,2)</f>
        <v>0</v>
      </c>
      <c r="U48" s="281">
        <f t="shared" ref="U48:U52" si="46">ROUND((S48-T48)/30.4*G48,2)</f>
        <v>736.67</v>
      </c>
      <c r="V48" s="261">
        <f t="shared" ref="V48:V52" si="47">-IF(U48&gt;0,0,0)</f>
        <v>0</v>
      </c>
      <c r="W48" s="261">
        <f t="shared" ref="W48:W52" si="48">IF(I48/15&lt;=SMG,0,IF(U48&lt;0,0,U48))</f>
        <v>736.67</v>
      </c>
      <c r="X48" s="261">
        <f>SUM(W48:W48)</f>
        <v>736.67</v>
      </c>
      <c r="Y48" s="261">
        <f>K48+V48-X48</f>
        <v>6500</v>
      </c>
      <c r="Z48" s="343"/>
    </row>
    <row r="49" spans="1:26" s="341" customFormat="1" ht="164.25" customHeight="1" x14ac:dyDescent="0.2">
      <c r="A49" s="342"/>
      <c r="B49" s="273" t="s">
        <v>380</v>
      </c>
      <c r="C49" s="267" t="s">
        <v>310</v>
      </c>
      <c r="D49" s="253" t="s">
        <v>383</v>
      </c>
      <c r="E49" s="315">
        <v>45732</v>
      </c>
      <c r="F49" s="270" t="s">
        <v>375</v>
      </c>
      <c r="G49" s="257">
        <v>15</v>
      </c>
      <c r="H49" s="258">
        <f t="shared" si="35"/>
        <v>482.44466666666665</v>
      </c>
      <c r="I49" s="259">
        <v>7236.67</v>
      </c>
      <c r="J49" s="260">
        <v>0</v>
      </c>
      <c r="K49" s="261">
        <f t="shared" si="36"/>
        <v>7236.67</v>
      </c>
      <c r="L49" s="281">
        <f t="shared" si="37"/>
        <v>0</v>
      </c>
      <c r="M49" s="300">
        <f t="shared" si="38"/>
        <v>14666.317866666666</v>
      </c>
      <c r="N49" s="300">
        <f t="shared" si="39"/>
        <v>12935.83</v>
      </c>
      <c r="O49" s="281">
        <f t="shared" si="40"/>
        <v>1730.4878666666664</v>
      </c>
      <c r="P49" s="282">
        <f t="shared" si="41"/>
        <v>0.1792</v>
      </c>
      <c r="Q49" s="281">
        <f t="shared" si="42"/>
        <v>310.1034257066666</v>
      </c>
      <c r="R49" s="283">
        <f t="shared" si="43"/>
        <v>1182.8800000000001</v>
      </c>
      <c r="S49" s="281">
        <f t="shared" si="44"/>
        <v>1492.9834257066668</v>
      </c>
      <c r="T49" s="281">
        <f t="shared" si="45"/>
        <v>0</v>
      </c>
      <c r="U49" s="281">
        <f t="shared" si="46"/>
        <v>736.67</v>
      </c>
      <c r="V49" s="261">
        <f t="shared" si="47"/>
        <v>0</v>
      </c>
      <c r="W49" s="261">
        <f t="shared" si="48"/>
        <v>736.67</v>
      </c>
      <c r="X49" s="261">
        <f>SUM(W49:W49)</f>
        <v>736.67</v>
      </c>
      <c r="Y49" s="261">
        <f>K49+V49-X49</f>
        <v>6500</v>
      </c>
      <c r="Z49" s="343"/>
    </row>
    <row r="50" spans="1:26" s="341" customFormat="1" ht="164.25" customHeight="1" x14ac:dyDescent="0.2">
      <c r="A50" s="342"/>
      <c r="B50" s="273" t="s">
        <v>381</v>
      </c>
      <c r="C50" s="267" t="s">
        <v>310</v>
      </c>
      <c r="D50" s="253" t="s">
        <v>384</v>
      </c>
      <c r="E50" s="315">
        <v>45732</v>
      </c>
      <c r="F50" s="270" t="s">
        <v>375</v>
      </c>
      <c r="G50" s="257">
        <v>15</v>
      </c>
      <c r="H50" s="258">
        <f t="shared" si="35"/>
        <v>482.44466666666665</v>
      </c>
      <c r="I50" s="259">
        <v>7236.67</v>
      </c>
      <c r="J50" s="260">
        <v>0</v>
      </c>
      <c r="K50" s="261">
        <f t="shared" si="36"/>
        <v>7236.67</v>
      </c>
      <c r="L50" s="281">
        <f t="shared" si="37"/>
        <v>0</v>
      </c>
      <c r="M50" s="300">
        <f t="shared" si="38"/>
        <v>14666.317866666666</v>
      </c>
      <c r="N50" s="300">
        <f t="shared" si="39"/>
        <v>12935.83</v>
      </c>
      <c r="O50" s="281">
        <f t="shared" si="40"/>
        <v>1730.4878666666664</v>
      </c>
      <c r="P50" s="282">
        <f t="shared" si="41"/>
        <v>0.1792</v>
      </c>
      <c r="Q50" s="281">
        <f t="shared" si="42"/>
        <v>310.1034257066666</v>
      </c>
      <c r="R50" s="283">
        <f t="shared" si="43"/>
        <v>1182.8800000000001</v>
      </c>
      <c r="S50" s="281">
        <f t="shared" si="44"/>
        <v>1492.9834257066668</v>
      </c>
      <c r="T50" s="281">
        <f t="shared" si="45"/>
        <v>0</v>
      </c>
      <c r="U50" s="281">
        <f t="shared" si="46"/>
        <v>736.67</v>
      </c>
      <c r="V50" s="261">
        <f t="shared" si="47"/>
        <v>0</v>
      </c>
      <c r="W50" s="261">
        <f t="shared" si="48"/>
        <v>736.67</v>
      </c>
      <c r="X50" s="261">
        <f>SUM(W50:W50)</f>
        <v>736.67</v>
      </c>
      <c r="Y50" s="261">
        <f>K50+V50-X50</f>
        <v>6500</v>
      </c>
      <c r="Z50" s="343"/>
    </row>
    <row r="51" spans="1:26" s="341" customFormat="1" ht="164.25" customHeight="1" x14ac:dyDescent="0.2">
      <c r="A51" s="342"/>
      <c r="B51" s="273" t="s">
        <v>382</v>
      </c>
      <c r="C51" s="267" t="s">
        <v>310</v>
      </c>
      <c r="D51" s="253" t="s">
        <v>385</v>
      </c>
      <c r="E51" s="315">
        <v>45732</v>
      </c>
      <c r="F51" s="270" t="s">
        <v>375</v>
      </c>
      <c r="G51" s="257">
        <v>15</v>
      </c>
      <c r="H51" s="258">
        <f t="shared" si="35"/>
        <v>482.44466666666665</v>
      </c>
      <c r="I51" s="259">
        <v>7236.67</v>
      </c>
      <c r="J51" s="260">
        <v>0</v>
      </c>
      <c r="K51" s="261">
        <f t="shared" si="36"/>
        <v>7236.67</v>
      </c>
      <c r="L51" s="281">
        <f t="shared" si="37"/>
        <v>0</v>
      </c>
      <c r="M51" s="300">
        <f t="shared" si="38"/>
        <v>14666.317866666666</v>
      </c>
      <c r="N51" s="300">
        <f t="shared" si="39"/>
        <v>12935.83</v>
      </c>
      <c r="O51" s="281">
        <f t="shared" si="40"/>
        <v>1730.4878666666664</v>
      </c>
      <c r="P51" s="282">
        <f t="shared" si="41"/>
        <v>0.1792</v>
      </c>
      <c r="Q51" s="281">
        <f t="shared" si="42"/>
        <v>310.1034257066666</v>
      </c>
      <c r="R51" s="283">
        <f t="shared" si="43"/>
        <v>1182.8800000000001</v>
      </c>
      <c r="S51" s="281">
        <f t="shared" si="44"/>
        <v>1492.9834257066668</v>
      </c>
      <c r="T51" s="281">
        <f t="shared" si="45"/>
        <v>0</v>
      </c>
      <c r="U51" s="281">
        <f t="shared" si="46"/>
        <v>736.67</v>
      </c>
      <c r="V51" s="261">
        <f t="shared" si="47"/>
        <v>0</v>
      </c>
      <c r="W51" s="261">
        <f t="shared" si="48"/>
        <v>736.67</v>
      </c>
      <c r="X51" s="261">
        <f>SUM(W51:W51)</f>
        <v>736.67</v>
      </c>
      <c r="Y51" s="261">
        <f>K51+V51-X51</f>
        <v>6500</v>
      </c>
      <c r="Z51" s="343"/>
    </row>
    <row r="52" spans="1:26" s="341" customFormat="1" ht="164.25" customHeight="1" x14ac:dyDescent="0.2">
      <c r="A52" s="342"/>
      <c r="B52" s="273" t="s">
        <v>386</v>
      </c>
      <c r="C52" s="267" t="s">
        <v>310</v>
      </c>
      <c r="D52" s="253" t="s">
        <v>387</v>
      </c>
      <c r="E52" s="315">
        <v>45732</v>
      </c>
      <c r="F52" s="270" t="s">
        <v>375</v>
      </c>
      <c r="G52" s="257">
        <v>15</v>
      </c>
      <c r="H52" s="258">
        <f t="shared" si="35"/>
        <v>482.44466666666665</v>
      </c>
      <c r="I52" s="259">
        <v>7236.67</v>
      </c>
      <c r="J52" s="260">
        <v>0</v>
      </c>
      <c r="K52" s="261">
        <f t="shared" si="36"/>
        <v>7236.67</v>
      </c>
      <c r="L52" s="281">
        <f t="shared" si="37"/>
        <v>0</v>
      </c>
      <c r="M52" s="300">
        <f t="shared" si="38"/>
        <v>14666.317866666666</v>
      </c>
      <c r="N52" s="300">
        <f t="shared" si="39"/>
        <v>12935.83</v>
      </c>
      <c r="O52" s="281">
        <f t="shared" si="40"/>
        <v>1730.4878666666664</v>
      </c>
      <c r="P52" s="282">
        <f t="shared" si="41"/>
        <v>0.1792</v>
      </c>
      <c r="Q52" s="281">
        <f t="shared" si="42"/>
        <v>310.1034257066666</v>
      </c>
      <c r="R52" s="283">
        <f t="shared" si="43"/>
        <v>1182.8800000000001</v>
      </c>
      <c r="S52" s="281">
        <f t="shared" si="44"/>
        <v>1492.9834257066668</v>
      </c>
      <c r="T52" s="281">
        <f t="shared" si="45"/>
        <v>0</v>
      </c>
      <c r="U52" s="281">
        <f t="shared" si="46"/>
        <v>736.67</v>
      </c>
      <c r="V52" s="261">
        <f t="shared" si="47"/>
        <v>0</v>
      </c>
      <c r="W52" s="261">
        <f t="shared" si="48"/>
        <v>736.67</v>
      </c>
      <c r="X52" s="261">
        <f>SUM(W52:W52)</f>
        <v>736.67</v>
      </c>
      <c r="Y52" s="261">
        <f>K52+V52-X52</f>
        <v>6500</v>
      </c>
      <c r="Z52" s="284"/>
    </row>
    <row r="53" spans="1:26" s="104" customFormat="1" ht="18" x14ac:dyDescent="0.25">
      <c r="A53" s="154"/>
      <c r="B53" s="154"/>
      <c r="C53" s="154"/>
      <c r="D53" s="154"/>
      <c r="E53" s="154"/>
      <c r="F53" s="154"/>
      <c r="G53" s="154"/>
      <c r="H53" s="154"/>
      <c r="I53" s="176"/>
      <c r="J53" s="176"/>
      <c r="K53" s="176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03"/>
    </row>
    <row r="54" spans="1:26" s="104" customFormat="1" ht="39" customHeight="1" x14ac:dyDescent="0.3">
      <c r="A54" s="452" t="s">
        <v>44</v>
      </c>
      <c r="B54" s="452"/>
      <c r="C54" s="452"/>
      <c r="D54" s="452"/>
      <c r="E54" s="452"/>
      <c r="F54" s="452"/>
      <c r="G54" s="452"/>
      <c r="H54" s="452"/>
      <c r="I54" s="223">
        <f>I8+I11+I14+I23+I26+I28+I36</f>
        <v>154377.82999999999</v>
      </c>
      <c r="J54" s="223">
        <f>J8+J11+J14+J23+J26+J28+J36</f>
        <v>600</v>
      </c>
      <c r="K54" s="223">
        <f>K8+K11+K14+K23+K26+K28+K36</f>
        <v>154977.82999999999</v>
      </c>
      <c r="L54" s="223" t="e">
        <f>L8+L11+L14+L23+L26+#REF!+L36</f>
        <v>#REF!</v>
      </c>
      <c r="M54" s="223" t="e">
        <f>M8+M11+M14+M23+M26+#REF!+M36</f>
        <v>#REF!</v>
      </c>
      <c r="N54" s="223" t="e">
        <f>N8+N11+N14+N23+N26+#REF!+N36</f>
        <v>#REF!</v>
      </c>
      <c r="O54" s="223" t="e">
        <f>O8+O11+O14+O23+O26+#REF!+O36</f>
        <v>#REF!</v>
      </c>
      <c r="P54" s="223" t="e">
        <f>P8+P11+P14+P23+P26+#REF!+P36</f>
        <v>#REF!</v>
      </c>
      <c r="Q54" s="223" t="e">
        <f>Q8+Q11+Q14+Q23+Q26+#REF!+Q36</f>
        <v>#REF!</v>
      </c>
      <c r="R54" s="223" t="e">
        <f>R8+R11+R14+R23+R26+#REF!+R36</f>
        <v>#REF!</v>
      </c>
      <c r="S54" s="223" t="e">
        <f>S8+S11+S14+S23+S26+#REF!+S36</f>
        <v>#REF!</v>
      </c>
      <c r="T54" s="223" t="e">
        <f>T8+T11+T14+T23+T26+#REF!+T36</f>
        <v>#REF!</v>
      </c>
      <c r="U54" s="223" t="e">
        <f>U8+U11+U14+U23+U26+#REF!+U36</f>
        <v>#REF!</v>
      </c>
      <c r="V54" s="223">
        <f>V8+V11+V14+V23+V26+V28+V36</f>
        <v>0</v>
      </c>
      <c r="W54" s="223">
        <f>W8+W11+W14+W23+W26+W28+W36</f>
        <v>15000.300000000001</v>
      </c>
      <c r="X54" s="223">
        <f>X8+X11+X14+X23+X26+X28+X36</f>
        <v>15000.300000000001</v>
      </c>
      <c r="Y54" s="223">
        <f>Y8+Y11+Y14+Y23+Y26+Y28+Y36</f>
        <v>139977.53</v>
      </c>
      <c r="Z54" s="103"/>
    </row>
    <row r="55" spans="1:26" s="51" customFormat="1" ht="12" x14ac:dyDescent="0.2"/>
    <row r="56" spans="1:26" s="51" customFormat="1" ht="12" x14ac:dyDescent="0.2"/>
    <row r="57" spans="1:26" s="51" customFormat="1" ht="12" x14ac:dyDescent="0.2"/>
    <row r="58" spans="1:26" s="51" customFormat="1" ht="12" x14ac:dyDescent="0.2"/>
    <row r="59" spans="1:26" s="51" customFormat="1" ht="12" x14ac:dyDescent="0.2"/>
    <row r="60" spans="1:26" s="51" customFormat="1" ht="12" x14ac:dyDescent="0.2"/>
    <row r="61" spans="1:26" s="51" customFormat="1" ht="12" x14ac:dyDescent="0.2"/>
    <row r="62" spans="1:26" s="51" customFormat="1" ht="17.25" customHeight="1" x14ac:dyDescent="0.2"/>
    <row r="63" spans="1:26" s="51" customFormat="1" ht="12" x14ac:dyDescent="0.2"/>
    <row r="64" spans="1:26" s="51" customFormat="1" ht="12" x14ac:dyDescent="0.2"/>
    <row r="65" spans="4:25" s="51" customFormat="1" ht="12" x14ac:dyDescent="0.2"/>
    <row r="66" spans="4:25" s="51" customFormat="1" ht="13.5" customHeight="1" x14ac:dyDescent="0.2"/>
    <row r="67" spans="4:25" s="51" customFormat="1" ht="12" x14ac:dyDescent="0.2"/>
    <row r="68" spans="4:25" s="51" customFormat="1" ht="18" x14ac:dyDescent="0.25"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</row>
    <row r="69" spans="4:25" s="51" customFormat="1" ht="18" x14ac:dyDescent="0.25"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</row>
    <row r="70" spans="4:25" s="51" customFormat="1" ht="12" x14ac:dyDescent="0.2"/>
  </sheetData>
  <mergeCells count="17">
    <mergeCell ref="B18:AA18"/>
    <mergeCell ref="B19:AA19"/>
    <mergeCell ref="A1:Z1"/>
    <mergeCell ref="A2:Z2"/>
    <mergeCell ref="A3:Z3"/>
    <mergeCell ref="I5:K5"/>
    <mergeCell ref="N5:S5"/>
    <mergeCell ref="W5:X5"/>
    <mergeCell ref="C5:C7"/>
    <mergeCell ref="B20:AA20"/>
    <mergeCell ref="B32:Z32"/>
    <mergeCell ref="B33:Z33"/>
    <mergeCell ref="B34:Z34"/>
    <mergeCell ref="A54:H54"/>
    <mergeCell ref="B44:Z44"/>
    <mergeCell ref="B45:Z45"/>
    <mergeCell ref="B46:Z4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5:E15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8"/>
  <sheetViews>
    <sheetView topLeftCell="B19" zoomScale="57" zoomScaleNormal="57" workbookViewId="0">
      <selection activeCell="B21" sqref="A21:XFD3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28515625" customWidth="1"/>
    <col min="25" max="25" width="18.140625" customWidth="1"/>
    <col min="26" max="26" width="64.140625" customWidth="1"/>
  </cols>
  <sheetData>
    <row r="1" spans="1:26" ht="18" x14ac:dyDescent="0.25">
      <c r="A1" s="428" t="s">
        <v>76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</row>
    <row r="2" spans="1:26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6" ht="19.5" x14ac:dyDescent="0.25">
      <c r="A3" s="419" t="str">
        <f>PRESIDENCIA!A3</f>
        <v>SUELDO  DEL 01 AL 15 DE MAYO DE 2025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437" t="s">
        <v>1</v>
      </c>
      <c r="J6" s="438"/>
      <c r="K6" s="439"/>
      <c r="L6" s="49" t="s">
        <v>25</v>
      </c>
      <c r="M6" s="50"/>
      <c r="N6" s="440" t="s">
        <v>8</v>
      </c>
      <c r="O6" s="441"/>
      <c r="P6" s="441"/>
      <c r="Q6" s="441"/>
      <c r="R6" s="441"/>
      <c r="S6" s="442"/>
      <c r="T6" s="49" t="s">
        <v>29</v>
      </c>
      <c r="U6" s="49" t="s">
        <v>9</v>
      </c>
      <c r="V6" s="48" t="s">
        <v>52</v>
      </c>
      <c r="W6" s="443" t="s">
        <v>2</v>
      </c>
      <c r="X6" s="444"/>
      <c r="Y6" s="48" t="s">
        <v>0</v>
      </c>
      <c r="Z6" s="33"/>
    </row>
    <row r="7" spans="1:26" ht="24" x14ac:dyDescent="0.2">
      <c r="A7" s="26" t="s">
        <v>20</v>
      </c>
      <c r="B7" s="46" t="s">
        <v>95</v>
      </c>
      <c r="C7" s="46" t="s">
        <v>108</v>
      </c>
      <c r="D7" s="52" t="s">
        <v>21</v>
      </c>
      <c r="E7" s="26"/>
      <c r="F7" s="26"/>
      <c r="G7" s="27" t="s">
        <v>23</v>
      </c>
      <c r="H7" s="26" t="s">
        <v>24</v>
      </c>
      <c r="I7" s="48" t="s">
        <v>5</v>
      </c>
      <c r="J7" s="48" t="s">
        <v>57</v>
      </c>
      <c r="K7" s="48" t="s">
        <v>27</v>
      </c>
      <c r="L7" s="54" t="s">
        <v>26</v>
      </c>
      <c r="M7" s="50" t="s">
        <v>31</v>
      </c>
      <c r="N7" s="50" t="s">
        <v>11</v>
      </c>
      <c r="O7" s="50" t="s">
        <v>33</v>
      </c>
      <c r="P7" s="50" t="s">
        <v>35</v>
      </c>
      <c r="Q7" s="50" t="s">
        <v>36</v>
      </c>
      <c r="R7" s="50" t="s">
        <v>13</v>
      </c>
      <c r="S7" s="50" t="s">
        <v>9</v>
      </c>
      <c r="T7" s="54" t="s">
        <v>39</v>
      </c>
      <c r="U7" s="54" t="s">
        <v>40</v>
      </c>
      <c r="V7" s="52" t="s">
        <v>30</v>
      </c>
      <c r="W7" s="48" t="s">
        <v>194</v>
      </c>
      <c r="X7" s="48" t="s">
        <v>6</v>
      </c>
      <c r="Y7" s="52" t="s">
        <v>3</v>
      </c>
      <c r="Z7" s="35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58</v>
      </c>
      <c r="K8" s="60" t="s">
        <v>28</v>
      </c>
      <c r="L8" s="61" t="s">
        <v>42</v>
      </c>
      <c r="M8" s="49" t="s">
        <v>32</v>
      </c>
      <c r="N8" s="49" t="s">
        <v>12</v>
      </c>
      <c r="O8" s="49" t="s">
        <v>34</v>
      </c>
      <c r="P8" s="49" t="s">
        <v>34</v>
      </c>
      <c r="Q8" s="49" t="s">
        <v>37</v>
      </c>
      <c r="R8" s="49" t="s">
        <v>14</v>
      </c>
      <c r="S8" s="49" t="s">
        <v>38</v>
      </c>
      <c r="T8" s="54" t="s">
        <v>18</v>
      </c>
      <c r="U8" s="55" t="s">
        <v>114</v>
      </c>
      <c r="V8" s="60" t="s">
        <v>51</v>
      </c>
      <c r="W8" s="60"/>
      <c r="X8" s="60" t="s">
        <v>43</v>
      </c>
      <c r="Y8" s="60" t="s">
        <v>4</v>
      </c>
      <c r="Z8" s="34"/>
    </row>
    <row r="9" spans="1:26" s="4" customFormat="1" ht="54.75" customHeight="1" x14ac:dyDescent="0.25">
      <c r="A9" s="123"/>
      <c r="B9" s="457" t="s">
        <v>104</v>
      </c>
      <c r="C9" s="458"/>
      <c r="D9" s="459"/>
      <c r="E9" s="121" t="s">
        <v>200</v>
      </c>
      <c r="F9" s="123" t="s">
        <v>60</v>
      </c>
      <c r="G9" s="123"/>
      <c r="H9" s="123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224"/>
      <c r="V9" s="62"/>
      <c r="W9" s="62"/>
      <c r="X9" s="62"/>
      <c r="Y9" s="62"/>
      <c r="Z9" s="95"/>
    </row>
    <row r="10" spans="1:26" s="318" customFormat="1" ht="216.75" customHeight="1" x14ac:dyDescent="0.2">
      <c r="A10" s="250" t="s">
        <v>81</v>
      </c>
      <c r="B10" s="267" t="s">
        <v>102</v>
      </c>
      <c r="C10" s="267" t="s">
        <v>107</v>
      </c>
      <c r="D10" s="253" t="s">
        <v>93</v>
      </c>
      <c r="E10" s="344">
        <v>42278</v>
      </c>
      <c r="F10" s="256" t="s">
        <v>168</v>
      </c>
      <c r="G10" s="257">
        <v>15</v>
      </c>
      <c r="H10" s="258">
        <f>I10/G10</f>
        <v>1332.8</v>
      </c>
      <c r="I10" s="259">
        <v>19992</v>
      </c>
      <c r="J10" s="260">
        <v>0</v>
      </c>
      <c r="K10" s="261">
        <f>SUM(I10:J10)</f>
        <v>19992</v>
      </c>
      <c r="L10" s="281">
        <f>IF(I10/15&lt;=SMG,0,J10/2)</f>
        <v>0</v>
      </c>
      <c r="M10" s="300">
        <f>(I10+L10)/G10*30.4</f>
        <v>40517.119999999995</v>
      </c>
      <c r="N10" s="300">
        <f>VLOOKUP(M10,Tarifa,1)</f>
        <v>31236.5</v>
      </c>
      <c r="O10" s="300">
        <f>M10-N10</f>
        <v>9280.6199999999953</v>
      </c>
      <c r="P10" s="282">
        <f>VLOOKUP(M10,Tarifa,3)</f>
        <v>0.23519999999999999</v>
      </c>
      <c r="Q10" s="281">
        <f>O10*P10</f>
        <v>2182.8018239999988</v>
      </c>
      <c r="R10" s="283">
        <f>VLOOKUP(M10,Tarifa,2)</f>
        <v>5004.12</v>
      </c>
      <c r="S10" s="349">
        <f>Q10+R10</f>
        <v>7186.9218239999991</v>
      </c>
      <c r="T10" s="349">
        <f>VLOOKUP(M10,Credito,2)</f>
        <v>0</v>
      </c>
      <c r="U10" s="349">
        <f>ROUND((S10-T10)/30.4*G10,2)</f>
        <v>3546.18</v>
      </c>
      <c r="V10" s="261">
        <f>-IF(U10&gt;0,0,0)</f>
        <v>0</v>
      </c>
      <c r="W10" s="261">
        <f>IF(I10/15&lt;=SMG,0,IF(U10&lt;0,0,U10))</f>
        <v>3546.18</v>
      </c>
      <c r="X10" s="261">
        <f>SUM(W10:W10)</f>
        <v>3546.18</v>
      </c>
      <c r="Y10" s="261">
        <f>K10+V10-X10</f>
        <v>16445.82</v>
      </c>
      <c r="Z10" s="317"/>
    </row>
    <row r="11" spans="1:26" s="318" customFormat="1" ht="216.75" customHeight="1" x14ac:dyDescent="0.2">
      <c r="A11" s="250" t="s">
        <v>83</v>
      </c>
      <c r="B11" s="267" t="s">
        <v>98</v>
      </c>
      <c r="C11" s="267" t="s">
        <v>107</v>
      </c>
      <c r="D11" s="253" t="s">
        <v>71</v>
      </c>
      <c r="E11" s="344">
        <v>39462</v>
      </c>
      <c r="F11" s="256" t="s">
        <v>363</v>
      </c>
      <c r="G11" s="257">
        <v>15</v>
      </c>
      <c r="H11" s="258">
        <f>I11/G11</f>
        <v>888.66666666666663</v>
      </c>
      <c r="I11" s="259">
        <v>13330</v>
      </c>
      <c r="J11" s="260">
        <v>0</v>
      </c>
      <c r="K11" s="261">
        <f>I11</f>
        <v>13330</v>
      </c>
      <c r="L11" s="281">
        <f>IF(I11/15&lt;=SMG,0,J11/2)</f>
        <v>0</v>
      </c>
      <c r="M11" s="300">
        <f>(I11+L11)/G11*30.4</f>
        <v>27015.466666666664</v>
      </c>
      <c r="N11" s="300">
        <f>VLOOKUP(M11,Tarifa,1)</f>
        <v>15487.72</v>
      </c>
      <c r="O11" s="281">
        <f>M11-N11</f>
        <v>11527.746666666664</v>
      </c>
      <c r="P11" s="282">
        <f>VLOOKUP(M11,Tarifa,3)</f>
        <v>0.21360000000000001</v>
      </c>
      <c r="Q11" s="281">
        <f>O11*P11</f>
        <v>2462.3266879999996</v>
      </c>
      <c r="R11" s="283">
        <f>VLOOKUP(M11,Tarifa,2)</f>
        <v>1640.18</v>
      </c>
      <c r="S11" s="281">
        <f>Q11+R11</f>
        <v>4102.5066879999995</v>
      </c>
      <c r="T11" s="281">
        <f>VLOOKUP(M11,Credito,2)</f>
        <v>0</v>
      </c>
      <c r="U11" s="281">
        <f>ROUND((S11-T11)/30.4*G11,2)</f>
        <v>2024.26</v>
      </c>
      <c r="V11" s="261">
        <f>-IF(U11&gt;0,0,0)</f>
        <v>0</v>
      </c>
      <c r="W11" s="261">
        <f>IF(I11/15&lt;=SMG,0,IF(U11&lt;0,0,U11))</f>
        <v>2024.26</v>
      </c>
      <c r="X11" s="261">
        <f>SUM(W11:W11)</f>
        <v>2024.26</v>
      </c>
      <c r="Y11" s="261">
        <f>K11+V11-X11</f>
        <v>11305.74</v>
      </c>
      <c r="Z11" s="317"/>
    </row>
    <row r="12" spans="1:26" s="318" customFormat="1" ht="216.75" customHeight="1" x14ac:dyDescent="0.2">
      <c r="A12" s="250" t="s">
        <v>84</v>
      </c>
      <c r="B12" s="267" t="s">
        <v>103</v>
      </c>
      <c r="C12" s="267" t="s">
        <v>107</v>
      </c>
      <c r="D12" s="253" t="s">
        <v>92</v>
      </c>
      <c r="E12" s="344">
        <v>42278</v>
      </c>
      <c r="F12" s="256" t="s">
        <v>169</v>
      </c>
      <c r="G12" s="257">
        <v>15</v>
      </c>
      <c r="H12" s="258">
        <f>I12/G12</f>
        <v>471.26666666666665</v>
      </c>
      <c r="I12" s="259">
        <v>7069</v>
      </c>
      <c r="J12" s="260">
        <v>0</v>
      </c>
      <c r="K12" s="261">
        <f>SUM(I12:J12)</f>
        <v>7069</v>
      </c>
      <c r="L12" s="281">
        <f>IF(I12/15&lt;=SMG,0,J12/2)</f>
        <v>0</v>
      </c>
      <c r="M12" s="300">
        <f>(I12+L12)/G12*30.4</f>
        <v>14326.506666666666</v>
      </c>
      <c r="N12" s="300">
        <f>VLOOKUP(M12,Tarifa,1)</f>
        <v>12935.83</v>
      </c>
      <c r="O12" s="281">
        <f>M12-N12</f>
        <v>1390.6766666666663</v>
      </c>
      <c r="P12" s="282">
        <f>VLOOKUP(M12,Tarifa,3)</f>
        <v>0.1792</v>
      </c>
      <c r="Q12" s="281">
        <f>O12*P12</f>
        <v>249.20925866666659</v>
      </c>
      <c r="R12" s="283">
        <f>VLOOKUP(M12,Tarifa,2)</f>
        <v>1182.8800000000001</v>
      </c>
      <c r="S12" s="281">
        <f>Q12+R12</f>
        <v>1432.0892586666666</v>
      </c>
      <c r="T12" s="281">
        <f>VLOOKUP(M12,Credito,2)</f>
        <v>0</v>
      </c>
      <c r="U12" s="281">
        <f>ROUND((S12-T12)/30.4*G12,2)</f>
        <v>706.62</v>
      </c>
      <c r="V12" s="261">
        <f>-IF(U12&gt;0,0,0)</f>
        <v>0</v>
      </c>
      <c r="W12" s="261">
        <f>IF(I12/15&lt;=SMG,0,IF(U12&lt;0,0,U12))</f>
        <v>706.62</v>
      </c>
      <c r="X12" s="261">
        <f>SUM(W12:W12)</f>
        <v>706.62</v>
      </c>
      <c r="Y12" s="261">
        <f>K12+V12-X12</f>
        <v>6362.38</v>
      </c>
      <c r="Z12" s="317"/>
    </row>
    <row r="13" spans="1:26" s="4" customFormat="1" ht="36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8"/>
      <c r="J13" s="138"/>
      <c r="K13" s="138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</row>
    <row r="14" spans="1:26" s="4" customFormat="1" ht="60" customHeight="1" thickBot="1" x14ac:dyDescent="0.35">
      <c r="A14" s="415" t="s">
        <v>44</v>
      </c>
      <c r="B14" s="416"/>
      <c r="C14" s="416"/>
      <c r="D14" s="416"/>
      <c r="E14" s="416"/>
      <c r="F14" s="416"/>
      <c r="G14" s="416"/>
      <c r="H14" s="417"/>
      <c r="I14" s="197">
        <f>SUM(I10:I13)</f>
        <v>40391</v>
      </c>
      <c r="J14" s="197">
        <f>SUM(J10:J13)</f>
        <v>0</v>
      </c>
      <c r="K14" s="197">
        <f>SUM(K10:K13)</f>
        <v>40391</v>
      </c>
      <c r="L14" s="198">
        <f t="shared" ref="L14" si="0">SUM(L10:L13)</f>
        <v>0</v>
      </c>
      <c r="M14" s="198">
        <f t="shared" ref="M14:X14" si="1">SUM(M10:M13)</f>
        <v>81859.093333333323</v>
      </c>
      <c r="N14" s="198">
        <f t="shared" si="1"/>
        <v>59660.05</v>
      </c>
      <c r="O14" s="198">
        <f t="shared" si="1"/>
        <v>22199.043333333328</v>
      </c>
      <c r="P14" s="198">
        <f t="shared" si="1"/>
        <v>0.628</v>
      </c>
      <c r="Q14" s="198">
        <f t="shared" si="1"/>
        <v>4894.3377706666652</v>
      </c>
      <c r="R14" s="198">
        <f t="shared" si="1"/>
        <v>7827.18</v>
      </c>
      <c r="S14" s="198">
        <f t="shared" si="1"/>
        <v>12721.517770666665</v>
      </c>
      <c r="T14" s="198">
        <f t="shared" si="1"/>
        <v>0</v>
      </c>
      <c r="U14" s="198">
        <f t="shared" si="1"/>
        <v>6277.0599999999995</v>
      </c>
      <c r="V14" s="197">
        <f t="shared" si="1"/>
        <v>0</v>
      </c>
      <c r="W14" s="197">
        <f t="shared" si="1"/>
        <v>6277.0599999999995</v>
      </c>
      <c r="X14" s="197">
        <f t="shared" si="1"/>
        <v>6277.0599999999995</v>
      </c>
      <c r="Y14" s="197">
        <f>SUM(Y10:Y12)</f>
        <v>34113.939999999995</v>
      </c>
    </row>
    <row r="15" spans="1:26" ht="35.1" customHeight="1" thickTop="1" x14ac:dyDescent="0.2"/>
    <row r="16" spans="1:26" ht="35.1" customHeight="1" x14ac:dyDescent="0.2"/>
    <row r="17" ht="35.1" customHeight="1" x14ac:dyDescent="0.2"/>
    <row r="18" ht="35.1" customHeight="1" x14ac:dyDescent="0.2"/>
  </sheetData>
  <mergeCells count="8">
    <mergeCell ref="A14:H14"/>
    <mergeCell ref="A1:Z1"/>
    <mergeCell ref="A3:Z3"/>
    <mergeCell ref="I6:K6"/>
    <mergeCell ref="N6:S6"/>
    <mergeCell ref="W6:X6"/>
    <mergeCell ref="A2:Z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6"/>
  <sheetViews>
    <sheetView topLeftCell="B31" zoomScale="70" zoomScaleNormal="70" workbookViewId="0">
      <selection activeCell="B37" sqref="A37:XFD41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7" customWidth="1"/>
    <col min="25" max="25" width="17.42578125" customWidth="1"/>
    <col min="26" max="26" width="69.28515625" customWidth="1"/>
    <col min="27" max="27" width="0.85546875" customWidth="1"/>
  </cols>
  <sheetData>
    <row r="1" spans="1:27" ht="18" x14ac:dyDescent="0.25">
      <c r="A1" s="428" t="s">
        <v>76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</row>
    <row r="2" spans="1:27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7" ht="18" x14ac:dyDescent="0.25">
      <c r="A3" s="460" t="str">
        <f>PRESIDENCIA!A3</f>
        <v>SUELDO  DEL 01 AL 15 DE MAYO DE 2025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429" t="s">
        <v>1</v>
      </c>
      <c r="J5" s="430"/>
      <c r="K5" s="431"/>
      <c r="L5" s="24" t="s">
        <v>25</v>
      </c>
      <c r="M5" s="25"/>
      <c r="N5" s="432" t="s">
        <v>8</v>
      </c>
      <c r="O5" s="433"/>
      <c r="P5" s="433"/>
      <c r="Q5" s="433"/>
      <c r="R5" s="433"/>
      <c r="S5" s="434"/>
      <c r="T5" s="24" t="s">
        <v>29</v>
      </c>
      <c r="U5" s="24" t="s">
        <v>9</v>
      </c>
      <c r="V5" s="23" t="s">
        <v>52</v>
      </c>
      <c r="W5" s="435" t="s">
        <v>2</v>
      </c>
      <c r="X5" s="436"/>
      <c r="Y5" s="23" t="s">
        <v>0</v>
      </c>
      <c r="Z5" s="33"/>
    </row>
    <row r="6" spans="1:27" ht="33.75" customHeight="1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194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30" x14ac:dyDescent="0.25">
      <c r="A8" s="38"/>
      <c r="B8" s="38"/>
      <c r="C8" s="38"/>
      <c r="D8" s="86" t="s">
        <v>59</v>
      </c>
      <c r="E8" s="187" t="s">
        <v>200</v>
      </c>
      <c r="F8" s="37" t="s">
        <v>60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87"/>
    </row>
    <row r="9" spans="1:27" s="304" customFormat="1" ht="230.25" customHeight="1" x14ac:dyDescent="0.2">
      <c r="A9" s="250" t="s">
        <v>81</v>
      </c>
      <c r="B9" s="273" t="s">
        <v>305</v>
      </c>
      <c r="C9" s="267" t="s">
        <v>107</v>
      </c>
      <c r="D9" s="253" t="s">
        <v>289</v>
      </c>
      <c r="E9" s="345">
        <v>45566</v>
      </c>
      <c r="F9" s="254" t="s">
        <v>73</v>
      </c>
      <c r="G9" s="271">
        <v>15</v>
      </c>
      <c r="H9" s="346">
        <f>I9/G9</f>
        <v>625.93333333333328</v>
      </c>
      <c r="I9" s="259">
        <v>9389</v>
      </c>
      <c r="J9" s="259"/>
      <c r="K9" s="261">
        <f t="shared" ref="K9:K23" si="0">SUM(I9:I9)</f>
        <v>9389</v>
      </c>
      <c r="L9" s="281">
        <f>IF(I9/15&lt;=SMG,0,J9/2)</f>
        <v>0</v>
      </c>
      <c r="M9" s="300">
        <f>(I9+L9)/G9*30.4</f>
        <v>19028.373333333329</v>
      </c>
      <c r="N9" s="300">
        <f>VLOOKUP(M9,Tarifa,1)</f>
        <v>15487.72</v>
      </c>
      <c r="O9" s="281">
        <f>M9-N9</f>
        <v>3540.65333333333</v>
      </c>
      <c r="P9" s="282">
        <f>VLOOKUP(M9,Tarifa,3)</f>
        <v>0.21360000000000001</v>
      </c>
      <c r="Q9" s="281">
        <f>O9*P9</f>
        <v>756.2835519999993</v>
      </c>
      <c r="R9" s="283">
        <f>VLOOKUP(M9,Tarifa,2)</f>
        <v>1640.18</v>
      </c>
      <c r="S9" s="281">
        <f>Q9+R9</f>
        <v>2396.4635519999993</v>
      </c>
      <c r="T9" s="281">
        <f>VLOOKUP(M9,Credito,2)</f>
        <v>0</v>
      </c>
      <c r="U9" s="281">
        <f>ROUND((S9-T9)/30.4*G9,2)</f>
        <v>1182.47</v>
      </c>
      <c r="V9" s="261">
        <f>-IF(U9&gt;0,0,U9)</f>
        <v>0</v>
      </c>
      <c r="W9" s="261">
        <f>IF(I9/15&lt;=SMG,0,IF(U9&lt;0,0,U9))</f>
        <v>1182.47</v>
      </c>
      <c r="X9" s="261">
        <f>SUM(W9:W9)</f>
        <v>1182.47</v>
      </c>
      <c r="Y9" s="261">
        <f>K9+V9-X9</f>
        <v>8206.5300000000007</v>
      </c>
      <c r="Z9" s="347"/>
    </row>
    <row r="10" spans="1:27" s="304" customFormat="1" ht="230.25" customHeight="1" x14ac:dyDescent="0.2">
      <c r="A10" s="250" t="s">
        <v>82</v>
      </c>
      <c r="B10" s="273" t="s">
        <v>303</v>
      </c>
      <c r="C10" s="267" t="s">
        <v>107</v>
      </c>
      <c r="D10" s="253" t="s">
        <v>290</v>
      </c>
      <c r="E10" s="345">
        <v>45566</v>
      </c>
      <c r="F10" s="254" t="s">
        <v>73</v>
      </c>
      <c r="G10" s="271">
        <v>15</v>
      </c>
      <c r="H10" s="346">
        <f>I10/G10</f>
        <v>625.93333333333328</v>
      </c>
      <c r="I10" s="259">
        <v>9389</v>
      </c>
      <c r="J10" s="259"/>
      <c r="K10" s="261">
        <f t="shared" si="0"/>
        <v>9389</v>
      </c>
      <c r="L10" s="281">
        <f>IF(I10/15&lt;=SMG,0,J10/2)</f>
        <v>0</v>
      </c>
      <c r="M10" s="300">
        <f>(I10+L10)/G10*30.4</f>
        <v>19028.373333333329</v>
      </c>
      <c r="N10" s="300">
        <f>VLOOKUP(M10,Tarifa,1)</f>
        <v>15487.72</v>
      </c>
      <c r="O10" s="281">
        <f>M10-N10</f>
        <v>3540.65333333333</v>
      </c>
      <c r="P10" s="282">
        <f>VLOOKUP(M10,Tarifa,3)</f>
        <v>0.21360000000000001</v>
      </c>
      <c r="Q10" s="281">
        <f>O10*P10</f>
        <v>756.2835519999993</v>
      </c>
      <c r="R10" s="283">
        <f>VLOOKUP(M10,Tarifa,2)</f>
        <v>1640.18</v>
      </c>
      <c r="S10" s="281">
        <f>Q10+R10</f>
        <v>2396.4635519999993</v>
      </c>
      <c r="T10" s="281">
        <f>VLOOKUP(M10,Credito,2)</f>
        <v>0</v>
      </c>
      <c r="U10" s="281">
        <f>ROUND((S10-T10)/30.4*G10,2)</f>
        <v>1182.47</v>
      </c>
      <c r="V10" s="261">
        <f t="shared" ref="V10:V23" si="1">-IF(U10&gt;0,0,U10)</f>
        <v>0</v>
      </c>
      <c r="W10" s="261">
        <f t="shared" ref="W10:W23" si="2">IF(I10/15&lt;=SMG,0,IF(U10&lt;0,0,U10))</f>
        <v>1182.47</v>
      </c>
      <c r="X10" s="261">
        <f>SUM(W10:W10)</f>
        <v>1182.47</v>
      </c>
      <c r="Y10" s="261">
        <f>K10+V10-X10</f>
        <v>8206.5300000000007</v>
      </c>
      <c r="Z10" s="347"/>
    </row>
    <row r="11" spans="1:27" s="304" customFormat="1" ht="230.25" customHeight="1" x14ac:dyDescent="0.2">
      <c r="A11" s="250" t="s">
        <v>83</v>
      </c>
      <c r="B11" s="273" t="s">
        <v>304</v>
      </c>
      <c r="C11" s="267" t="s">
        <v>107</v>
      </c>
      <c r="D11" s="253" t="s">
        <v>301</v>
      </c>
      <c r="E11" s="345">
        <v>45566</v>
      </c>
      <c r="F11" s="254" t="s">
        <v>73</v>
      </c>
      <c r="G11" s="271">
        <v>15</v>
      </c>
      <c r="H11" s="346">
        <f>I11/G11</f>
        <v>625.93333333333328</v>
      </c>
      <c r="I11" s="259">
        <v>9389</v>
      </c>
      <c r="J11" s="259"/>
      <c r="K11" s="261">
        <f t="shared" si="0"/>
        <v>9389</v>
      </c>
      <c r="L11" s="281">
        <f>IF(I11/15&lt;=SMG,0,J11/2)</f>
        <v>0</v>
      </c>
      <c r="M11" s="300">
        <f>(I11+L11)/G11*30.4</f>
        <v>19028.373333333329</v>
      </c>
      <c r="N11" s="300">
        <f>VLOOKUP(M11,Tarifa,1)</f>
        <v>15487.72</v>
      </c>
      <c r="O11" s="281">
        <f>M11-N11</f>
        <v>3540.65333333333</v>
      </c>
      <c r="P11" s="282">
        <f>VLOOKUP(M11,Tarifa,3)</f>
        <v>0.21360000000000001</v>
      </c>
      <c r="Q11" s="281">
        <f>O11*P11</f>
        <v>756.2835519999993</v>
      </c>
      <c r="R11" s="283">
        <f>VLOOKUP(M11,Tarifa,2)</f>
        <v>1640.18</v>
      </c>
      <c r="S11" s="281">
        <f>Q11+R11</f>
        <v>2396.4635519999993</v>
      </c>
      <c r="T11" s="281">
        <f>VLOOKUP(M11,Credito,2)</f>
        <v>0</v>
      </c>
      <c r="U11" s="281">
        <f>ROUND((S11-T11)/30.4*G11,2)</f>
        <v>1182.47</v>
      </c>
      <c r="V11" s="261">
        <f t="shared" si="1"/>
        <v>0</v>
      </c>
      <c r="W11" s="261">
        <f t="shared" si="2"/>
        <v>1182.47</v>
      </c>
      <c r="X11" s="261">
        <f>SUM(W11:W11)</f>
        <v>1182.47</v>
      </c>
      <c r="Y11" s="261">
        <f>K11+V11-X11</f>
        <v>8206.5300000000007</v>
      </c>
      <c r="Z11" s="348"/>
    </row>
    <row r="12" spans="1:27" s="304" customFormat="1" ht="230.25" customHeight="1" x14ac:dyDescent="0.2">
      <c r="A12" s="250" t="s">
        <v>84</v>
      </c>
      <c r="B12" s="273" t="s">
        <v>302</v>
      </c>
      <c r="C12" s="267" t="s">
        <v>107</v>
      </c>
      <c r="D12" s="253" t="s">
        <v>291</v>
      </c>
      <c r="E12" s="345">
        <v>45566</v>
      </c>
      <c r="F12" s="254" t="s">
        <v>73</v>
      </c>
      <c r="G12" s="271">
        <v>15</v>
      </c>
      <c r="H12" s="346">
        <f>I12/G12</f>
        <v>625.93333333333328</v>
      </c>
      <c r="I12" s="259">
        <v>9389</v>
      </c>
      <c r="J12" s="259"/>
      <c r="K12" s="261">
        <f t="shared" ref="K12" si="3">SUM(I12:I12)</f>
        <v>9389</v>
      </c>
      <c r="L12" s="281">
        <f>IF(I12/15&lt;=SMG,0,J12/2)</f>
        <v>0</v>
      </c>
      <c r="M12" s="300">
        <f>(I12+L12)/G12*30.4</f>
        <v>19028.373333333329</v>
      </c>
      <c r="N12" s="300">
        <f>VLOOKUP(M12,Tarifa,1)</f>
        <v>15487.72</v>
      </c>
      <c r="O12" s="281">
        <f>M12-N12</f>
        <v>3540.65333333333</v>
      </c>
      <c r="P12" s="282">
        <f>VLOOKUP(M12,Tarifa,3)</f>
        <v>0.21360000000000001</v>
      </c>
      <c r="Q12" s="281">
        <f>O12*P12</f>
        <v>756.2835519999993</v>
      </c>
      <c r="R12" s="283">
        <f>VLOOKUP(M12,Tarifa,2)</f>
        <v>1640.18</v>
      </c>
      <c r="S12" s="281">
        <f>Q12+R12</f>
        <v>2396.4635519999993</v>
      </c>
      <c r="T12" s="281">
        <f>VLOOKUP(M12,Credito,2)</f>
        <v>0</v>
      </c>
      <c r="U12" s="281">
        <f>ROUND((S12-T12)/30.4*G12,2)</f>
        <v>1182.47</v>
      </c>
      <c r="V12" s="261">
        <f t="shared" si="1"/>
        <v>0</v>
      </c>
      <c r="W12" s="261">
        <f t="shared" si="2"/>
        <v>1182.47</v>
      </c>
      <c r="X12" s="261">
        <f>SUM(W12:W12)</f>
        <v>1182.47</v>
      </c>
      <c r="Y12" s="261">
        <f>K12+V12-X12</f>
        <v>8206.5300000000007</v>
      </c>
      <c r="Z12" s="347"/>
    </row>
    <row r="13" spans="1:27" s="304" customFormat="1" ht="230.25" customHeight="1" x14ac:dyDescent="0.2">
      <c r="A13" s="250" t="s">
        <v>85</v>
      </c>
      <c r="B13" s="273" t="s">
        <v>306</v>
      </c>
      <c r="C13" s="267" t="s">
        <v>107</v>
      </c>
      <c r="D13" s="274" t="s">
        <v>292</v>
      </c>
      <c r="E13" s="345">
        <v>45566</v>
      </c>
      <c r="F13" s="275" t="s">
        <v>73</v>
      </c>
      <c r="G13" s="271">
        <v>15</v>
      </c>
      <c r="H13" s="346">
        <f>I13/G13</f>
        <v>625.93333333333328</v>
      </c>
      <c r="I13" s="259">
        <v>9389</v>
      </c>
      <c r="J13" s="259"/>
      <c r="K13" s="261">
        <f t="shared" ref="K13" si="4">SUM(I13:I13)</f>
        <v>9389</v>
      </c>
      <c r="L13" s="281">
        <f>IF(I13/15&lt;=SMG,0,J13/2)</f>
        <v>0</v>
      </c>
      <c r="M13" s="300">
        <f>(I13+L13)/G13*30.4</f>
        <v>19028.373333333329</v>
      </c>
      <c r="N13" s="300">
        <f>VLOOKUP(M13,Tarifa,1)</f>
        <v>15487.72</v>
      </c>
      <c r="O13" s="281">
        <f>M13-N13</f>
        <v>3540.65333333333</v>
      </c>
      <c r="P13" s="282">
        <f>VLOOKUP(M13,Tarifa,3)</f>
        <v>0.21360000000000001</v>
      </c>
      <c r="Q13" s="281">
        <f>O13*P13</f>
        <v>756.2835519999993</v>
      </c>
      <c r="R13" s="283">
        <f>VLOOKUP(M13,Tarifa,2)</f>
        <v>1640.18</v>
      </c>
      <c r="S13" s="281">
        <f>Q13+R13</f>
        <v>2396.4635519999993</v>
      </c>
      <c r="T13" s="281">
        <f>VLOOKUP(M13,Credito,2)</f>
        <v>0</v>
      </c>
      <c r="U13" s="281">
        <f>ROUND((S13-T13)/30.4*G13,2)</f>
        <v>1182.47</v>
      </c>
      <c r="V13" s="261">
        <f t="shared" ref="V13" si="5">-IF(U13&gt;0,0,U13)</f>
        <v>0</v>
      </c>
      <c r="W13" s="261">
        <f t="shared" si="2"/>
        <v>1182.47</v>
      </c>
      <c r="X13" s="261">
        <f>SUM(W13:W13)</f>
        <v>1182.47</v>
      </c>
      <c r="Y13" s="261">
        <f>K13+V13-X13</f>
        <v>8206.5300000000007</v>
      </c>
      <c r="Z13" s="347"/>
    </row>
    <row r="14" spans="1:27" ht="46.5" customHeight="1" x14ac:dyDescent="0.3">
      <c r="A14" s="137"/>
      <c r="B14" s="231"/>
      <c r="C14" s="203"/>
      <c r="D14" s="204"/>
      <c r="E14" s="240"/>
      <c r="F14" s="205"/>
      <c r="G14" s="232"/>
      <c r="H14" s="241"/>
      <c r="I14" s="209"/>
      <c r="J14" s="209"/>
      <c r="K14" s="211"/>
      <c r="L14" s="212"/>
      <c r="M14" s="212"/>
      <c r="N14" s="212"/>
      <c r="O14" s="212"/>
      <c r="P14" s="213"/>
      <c r="Q14" s="212"/>
      <c r="R14" s="214"/>
      <c r="S14" s="212"/>
      <c r="T14" s="212"/>
      <c r="U14" s="212"/>
      <c r="V14" s="211"/>
      <c r="W14" s="211"/>
      <c r="X14" s="211"/>
      <c r="Y14" s="211"/>
    </row>
    <row r="15" spans="1:27" ht="14.25" customHeight="1" x14ac:dyDescent="0.3">
      <c r="A15" s="137"/>
      <c r="B15" s="231"/>
      <c r="C15" s="203"/>
      <c r="D15" s="204"/>
      <c r="E15" s="240"/>
      <c r="F15" s="205"/>
      <c r="G15" s="232"/>
      <c r="H15" s="241"/>
      <c r="I15" s="209"/>
      <c r="J15" s="209"/>
      <c r="K15" s="211"/>
      <c r="L15" s="212"/>
      <c r="M15" s="212"/>
      <c r="N15" s="212"/>
      <c r="O15" s="212"/>
      <c r="P15" s="213"/>
      <c r="Q15" s="212"/>
      <c r="R15" s="214"/>
      <c r="S15" s="212"/>
      <c r="T15" s="212"/>
      <c r="U15" s="212"/>
      <c r="V15" s="211"/>
      <c r="W15" s="211"/>
      <c r="X15" s="211"/>
      <c r="Y15" s="211"/>
    </row>
    <row r="16" spans="1:27" ht="23.25" customHeight="1" x14ac:dyDescent="0.25">
      <c r="A16" s="137"/>
      <c r="B16" s="428" t="s">
        <v>76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8"/>
      <c r="AA16" s="428"/>
    </row>
    <row r="17" spans="1:28" ht="23.25" customHeight="1" x14ac:dyDescent="0.25">
      <c r="A17" s="137"/>
      <c r="B17" s="428" t="s">
        <v>63</v>
      </c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8"/>
      <c r="AA17" s="428"/>
    </row>
    <row r="18" spans="1:28" ht="23.25" customHeight="1" x14ac:dyDescent="0.25">
      <c r="A18" s="137"/>
      <c r="B18" s="419" t="str">
        <f>PRESIDENCIA!A3</f>
        <v>SUELDO  DEL 01 AL 15 DE MAYO DE 2025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 ht="28.5" customHeight="1" x14ac:dyDescent="0.3">
      <c r="A19" s="137"/>
      <c r="B19" s="231"/>
      <c r="C19" s="203"/>
      <c r="D19" s="204"/>
      <c r="E19" s="240"/>
      <c r="F19" s="205"/>
      <c r="G19" s="232"/>
      <c r="H19" s="241"/>
      <c r="I19" s="209"/>
      <c r="J19" s="209"/>
      <c r="K19" s="211"/>
      <c r="L19" s="212"/>
      <c r="M19" s="212"/>
      <c r="N19" s="212"/>
      <c r="O19" s="212"/>
      <c r="P19" s="213"/>
      <c r="Q19" s="212"/>
      <c r="R19" s="214"/>
      <c r="S19" s="212"/>
      <c r="T19" s="212"/>
      <c r="U19" s="212"/>
      <c r="V19" s="211"/>
      <c r="W19" s="211"/>
      <c r="X19" s="211"/>
      <c r="Y19" s="211"/>
    </row>
    <row r="20" spans="1:28" s="304" customFormat="1" ht="216.75" customHeight="1" x14ac:dyDescent="0.2">
      <c r="A20" s="250" t="s">
        <v>86</v>
      </c>
      <c r="B20" s="273" t="s">
        <v>295</v>
      </c>
      <c r="C20" s="267" t="s">
        <v>107</v>
      </c>
      <c r="D20" s="253" t="s">
        <v>296</v>
      </c>
      <c r="E20" s="345">
        <v>45566</v>
      </c>
      <c r="F20" s="254" t="s">
        <v>73</v>
      </c>
      <c r="G20" s="271">
        <v>15</v>
      </c>
      <c r="H20" s="346">
        <f>I20/G20</f>
        <v>625.93333333333328</v>
      </c>
      <c r="I20" s="259">
        <v>9389</v>
      </c>
      <c r="J20" s="259"/>
      <c r="K20" s="261">
        <f t="shared" si="0"/>
        <v>9389</v>
      </c>
      <c r="L20" s="281">
        <f>IF(I20/15&lt;=SMG,0,J20/2)</f>
        <v>0</v>
      </c>
      <c r="M20" s="300">
        <f>(I20+L20)/G20*30.4</f>
        <v>19028.373333333329</v>
      </c>
      <c r="N20" s="300">
        <f>VLOOKUP(M20,Tarifa,1)</f>
        <v>15487.72</v>
      </c>
      <c r="O20" s="281">
        <f>M20-N20</f>
        <v>3540.65333333333</v>
      </c>
      <c r="P20" s="282">
        <f>VLOOKUP(M20,Tarifa,3)</f>
        <v>0.21360000000000001</v>
      </c>
      <c r="Q20" s="281">
        <f>O20*P20</f>
        <v>756.2835519999993</v>
      </c>
      <c r="R20" s="283">
        <f>VLOOKUP(M20,Tarifa,2)</f>
        <v>1640.18</v>
      </c>
      <c r="S20" s="281">
        <f>Q20+R20</f>
        <v>2396.4635519999993</v>
      </c>
      <c r="T20" s="281">
        <f>VLOOKUP(M20,Credito,2)</f>
        <v>0</v>
      </c>
      <c r="U20" s="281">
        <f>ROUND((S20-T20)/30.4*G20,2)</f>
        <v>1182.47</v>
      </c>
      <c r="V20" s="261">
        <f t="shared" si="1"/>
        <v>0</v>
      </c>
      <c r="W20" s="261">
        <f t="shared" si="2"/>
        <v>1182.47</v>
      </c>
      <c r="X20" s="261">
        <f>SUM(W20:W20)</f>
        <v>1182.47</v>
      </c>
      <c r="Y20" s="261">
        <f>K20+V20-X20</f>
        <v>8206.5300000000007</v>
      </c>
      <c r="Z20" s="347"/>
    </row>
    <row r="21" spans="1:28" s="304" customFormat="1" ht="216.75" customHeight="1" x14ac:dyDescent="0.2">
      <c r="A21" s="250" t="s">
        <v>87</v>
      </c>
      <c r="B21" s="273" t="s">
        <v>294</v>
      </c>
      <c r="C21" s="267" t="s">
        <v>107</v>
      </c>
      <c r="D21" s="253" t="s">
        <v>293</v>
      </c>
      <c r="E21" s="345">
        <v>45566</v>
      </c>
      <c r="F21" s="254" t="s">
        <v>73</v>
      </c>
      <c r="G21" s="271">
        <v>15</v>
      </c>
      <c r="H21" s="346">
        <f>I21/G21</f>
        <v>625.93333333333328</v>
      </c>
      <c r="I21" s="259">
        <v>9389</v>
      </c>
      <c r="J21" s="259"/>
      <c r="K21" s="261">
        <f t="shared" si="0"/>
        <v>9389</v>
      </c>
      <c r="L21" s="281">
        <f>IF(I21/15&lt;=SMG,0,J21/2)</f>
        <v>0</v>
      </c>
      <c r="M21" s="300">
        <f>(I21+L21)/G21*30.4</f>
        <v>19028.373333333329</v>
      </c>
      <c r="N21" s="300">
        <f>VLOOKUP(M21,Tarifa,1)</f>
        <v>15487.72</v>
      </c>
      <c r="O21" s="281">
        <f>M21-N21</f>
        <v>3540.65333333333</v>
      </c>
      <c r="P21" s="282">
        <f>VLOOKUP(M21,Tarifa,3)</f>
        <v>0.21360000000000001</v>
      </c>
      <c r="Q21" s="281">
        <f>O21*P21</f>
        <v>756.2835519999993</v>
      </c>
      <c r="R21" s="283">
        <f>VLOOKUP(M21,Tarifa,2)</f>
        <v>1640.18</v>
      </c>
      <c r="S21" s="281">
        <f>Q21+R21</f>
        <v>2396.4635519999993</v>
      </c>
      <c r="T21" s="281">
        <f>VLOOKUP(M21,Credito,2)</f>
        <v>0</v>
      </c>
      <c r="U21" s="281">
        <f>ROUND((S21-T21)/30.4*G21,2)</f>
        <v>1182.47</v>
      </c>
      <c r="V21" s="261">
        <f t="shared" si="1"/>
        <v>0</v>
      </c>
      <c r="W21" s="261">
        <f t="shared" si="2"/>
        <v>1182.47</v>
      </c>
      <c r="X21" s="261">
        <f>SUM(W21:W21)</f>
        <v>1182.47</v>
      </c>
      <c r="Y21" s="261">
        <f>K21+V21-X21</f>
        <v>8206.5300000000007</v>
      </c>
      <c r="Z21" s="347"/>
    </row>
    <row r="22" spans="1:28" s="304" customFormat="1" ht="216.75" customHeight="1" x14ac:dyDescent="0.2">
      <c r="A22" s="250" t="s">
        <v>88</v>
      </c>
      <c r="B22" s="273" t="s">
        <v>307</v>
      </c>
      <c r="C22" s="267" t="s">
        <v>107</v>
      </c>
      <c r="D22" s="253" t="s">
        <v>299</v>
      </c>
      <c r="E22" s="345">
        <v>45566</v>
      </c>
      <c r="F22" s="254" t="s">
        <v>73</v>
      </c>
      <c r="G22" s="271">
        <v>15</v>
      </c>
      <c r="H22" s="346">
        <f>I22/G22</f>
        <v>625.93333333333328</v>
      </c>
      <c r="I22" s="259">
        <v>9389</v>
      </c>
      <c r="J22" s="259"/>
      <c r="K22" s="261">
        <f t="shared" si="0"/>
        <v>9389</v>
      </c>
      <c r="L22" s="281">
        <f>IF(I22/15&lt;=SMG,0,J22/2)</f>
        <v>0</v>
      </c>
      <c r="M22" s="300">
        <f>(I22+L22)/G22*30.4</f>
        <v>19028.373333333329</v>
      </c>
      <c r="N22" s="300">
        <f>VLOOKUP(M22,Tarifa,1)</f>
        <v>15487.72</v>
      </c>
      <c r="O22" s="281">
        <f>M22-N22</f>
        <v>3540.65333333333</v>
      </c>
      <c r="P22" s="282">
        <f>VLOOKUP(M22,Tarifa,3)</f>
        <v>0.21360000000000001</v>
      </c>
      <c r="Q22" s="281">
        <f>O22*P22</f>
        <v>756.2835519999993</v>
      </c>
      <c r="R22" s="283">
        <f>VLOOKUP(M22,Tarifa,2)</f>
        <v>1640.18</v>
      </c>
      <c r="S22" s="281">
        <f>Q22+R22</f>
        <v>2396.4635519999993</v>
      </c>
      <c r="T22" s="281">
        <f>VLOOKUP(M22,Credito,2)</f>
        <v>0</v>
      </c>
      <c r="U22" s="281">
        <f>ROUND((S22-T22)/30.4*G22,2)</f>
        <v>1182.47</v>
      </c>
      <c r="V22" s="261">
        <f t="shared" si="1"/>
        <v>0</v>
      </c>
      <c r="W22" s="261">
        <f t="shared" si="2"/>
        <v>1182.47</v>
      </c>
      <c r="X22" s="261">
        <f>SUM(W22:W22)</f>
        <v>1182.47</v>
      </c>
      <c r="Y22" s="261">
        <f>K22+V22-X22</f>
        <v>8206.5300000000007</v>
      </c>
      <c r="Z22" s="347"/>
    </row>
    <row r="23" spans="1:28" s="304" customFormat="1" ht="216.75" customHeight="1" x14ac:dyDescent="0.2">
      <c r="A23" s="250" t="s">
        <v>89</v>
      </c>
      <c r="B23" s="273" t="s">
        <v>308</v>
      </c>
      <c r="C23" s="267" t="s">
        <v>107</v>
      </c>
      <c r="D23" s="253" t="s">
        <v>300</v>
      </c>
      <c r="E23" s="345">
        <v>45566</v>
      </c>
      <c r="F23" s="254" t="s">
        <v>73</v>
      </c>
      <c r="G23" s="271">
        <v>15</v>
      </c>
      <c r="H23" s="346">
        <f>I23/G23</f>
        <v>625.93333333333328</v>
      </c>
      <c r="I23" s="259">
        <v>9389</v>
      </c>
      <c r="J23" s="259"/>
      <c r="K23" s="261">
        <f t="shared" si="0"/>
        <v>9389</v>
      </c>
      <c r="L23" s="281">
        <f>IF(I23/15&lt;=SMG,0,J23/2)</f>
        <v>0</v>
      </c>
      <c r="M23" s="300">
        <f>(I23+L23)/G23*30.4</f>
        <v>19028.373333333329</v>
      </c>
      <c r="N23" s="300">
        <f>VLOOKUP(M23,Tarifa,1)</f>
        <v>15487.72</v>
      </c>
      <c r="O23" s="281">
        <f>M23-N23</f>
        <v>3540.65333333333</v>
      </c>
      <c r="P23" s="282">
        <f>VLOOKUP(M23,Tarifa,3)</f>
        <v>0.21360000000000001</v>
      </c>
      <c r="Q23" s="281">
        <f>O23*P23</f>
        <v>756.2835519999993</v>
      </c>
      <c r="R23" s="283">
        <f>VLOOKUP(M23,Tarifa,2)</f>
        <v>1640.18</v>
      </c>
      <c r="S23" s="281">
        <f>Q23+R23</f>
        <v>2396.4635519999993</v>
      </c>
      <c r="T23" s="281">
        <f>VLOOKUP(M23,Credito,2)</f>
        <v>0</v>
      </c>
      <c r="U23" s="281">
        <f>ROUND((S23-T23)/30.4*G23,2)</f>
        <v>1182.47</v>
      </c>
      <c r="V23" s="261">
        <f t="shared" si="1"/>
        <v>0</v>
      </c>
      <c r="W23" s="261">
        <f t="shared" si="2"/>
        <v>1182.47</v>
      </c>
      <c r="X23" s="261">
        <f>SUM(W23:W23)</f>
        <v>1182.47</v>
      </c>
      <c r="Y23" s="261">
        <f>K23+V23-X23</f>
        <v>8206.5300000000007</v>
      </c>
      <c r="Z23" s="347"/>
    </row>
    <row r="24" spans="1:28" ht="21.75" customHeight="1" x14ac:dyDescent="0.25">
      <c r="A24" s="132"/>
      <c r="B24" s="132"/>
      <c r="C24" s="132"/>
      <c r="D24" s="132"/>
      <c r="E24" s="132"/>
      <c r="F24" s="132"/>
      <c r="G24" s="132"/>
      <c r="H24" s="132"/>
      <c r="I24" s="138"/>
      <c r="J24" s="138"/>
      <c r="K24" s="138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</row>
    <row r="25" spans="1:28" ht="40.5" customHeight="1" thickBot="1" x14ac:dyDescent="0.35">
      <c r="A25" s="415" t="s">
        <v>44</v>
      </c>
      <c r="B25" s="416"/>
      <c r="C25" s="416"/>
      <c r="D25" s="416"/>
      <c r="E25" s="416"/>
      <c r="F25" s="416"/>
      <c r="G25" s="416"/>
      <c r="H25" s="417"/>
      <c r="I25" s="197">
        <f>SUM(I9:I24)</f>
        <v>84501</v>
      </c>
      <c r="J25" s="197"/>
      <c r="K25" s="197">
        <f>SUM(K9:K24)</f>
        <v>84501</v>
      </c>
      <c r="L25" s="198">
        <f t="shared" ref="L25:U25" si="6">SUM(L9:L24)</f>
        <v>0</v>
      </c>
      <c r="M25" s="198">
        <f t="shared" si="6"/>
        <v>171255.35999999993</v>
      </c>
      <c r="N25" s="198">
        <f t="shared" si="6"/>
        <v>139389.47999999998</v>
      </c>
      <c r="O25" s="198">
        <f t="shared" si="6"/>
        <v>31865.879999999961</v>
      </c>
      <c r="P25" s="198">
        <f t="shared" si="6"/>
        <v>1.9224000000000001</v>
      </c>
      <c r="Q25" s="198">
        <f t="shared" si="6"/>
        <v>6806.5519679999925</v>
      </c>
      <c r="R25" s="198">
        <f t="shared" si="6"/>
        <v>14761.62</v>
      </c>
      <c r="S25" s="198">
        <f t="shared" si="6"/>
        <v>21568.171967999995</v>
      </c>
      <c r="T25" s="198">
        <f t="shared" si="6"/>
        <v>0</v>
      </c>
      <c r="U25" s="198">
        <f t="shared" si="6"/>
        <v>10642.23</v>
      </c>
      <c r="V25" s="197">
        <f>SUM(V9:V24)</f>
        <v>0</v>
      </c>
      <c r="W25" s="197">
        <f>SUM(W9:W24)</f>
        <v>10642.23</v>
      </c>
      <c r="X25" s="197">
        <f>SUM(X9:X24)</f>
        <v>10642.23</v>
      </c>
      <c r="Y25" s="197">
        <f>SUM(Y9:Y24)</f>
        <v>73858.77</v>
      </c>
    </row>
    <row r="26" spans="1:28" ht="13.5" thickTop="1" x14ac:dyDescent="0.2"/>
  </sheetData>
  <sortState xmlns:xlrd2="http://schemas.microsoft.com/office/spreadsheetml/2017/richdata2" ref="D9:D23">
    <sortCondition ref="D9"/>
  </sortState>
  <mergeCells count="10">
    <mergeCell ref="A25:H25"/>
    <mergeCell ref="A1:Z1"/>
    <mergeCell ref="A2:Z2"/>
    <mergeCell ref="I5:K5"/>
    <mergeCell ref="N5:S5"/>
    <mergeCell ref="W5:X5"/>
    <mergeCell ref="A3:AA3"/>
    <mergeCell ref="B16:AA16"/>
    <mergeCell ref="B17:AA17"/>
    <mergeCell ref="B18:AB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2"/>
  <sheetViews>
    <sheetView topLeftCell="A16" zoomScale="70" zoomScaleNormal="70" workbookViewId="0">
      <selection activeCell="A20" sqref="A20:XFD28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5.140625" customWidth="1"/>
    <col min="24" max="24" width="15.85546875" bestFit="1" customWidth="1"/>
    <col min="25" max="25" width="57" customWidth="1"/>
  </cols>
  <sheetData>
    <row r="1" spans="1:26" ht="18" x14ac:dyDescent="0.25">
      <c r="A1" s="428" t="s">
        <v>76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</row>
    <row r="2" spans="1:26" ht="18" x14ac:dyDescent="0.25">
      <c r="A2" s="428" t="s">
        <v>63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6" ht="19.5" x14ac:dyDescent="0.25">
      <c r="A3" s="419" t="str">
        <f>PRESIDENCIA!A3</f>
        <v>SUELDO  DEL 01 AL 15 DE MAYO DE 2025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6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429" t="s">
        <v>1</v>
      </c>
      <c r="I5" s="430"/>
      <c r="J5" s="431"/>
      <c r="K5" s="24" t="s">
        <v>25</v>
      </c>
      <c r="L5" s="25"/>
      <c r="M5" s="432" t="s">
        <v>8</v>
      </c>
      <c r="N5" s="433"/>
      <c r="O5" s="433"/>
      <c r="P5" s="433"/>
      <c r="Q5" s="433"/>
      <c r="R5" s="434"/>
      <c r="S5" s="24" t="s">
        <v>29</v>
      </c>
      <c r="T5" s="24" t="s">
        <v>9</v>
      </c>
      <c r="U5" s="23" t="s">
        <v>52</v>
      </c>
      <c r="V5" s="435" t="s">
        <v>2</v>
      </c>
      <c r="W5" s="436"/>
      <c r="X5" s="23" t="s">
        <v>0</v>
      </c>
      <c r="Y5" s="33"/>
    </row>
    <row r="6" spans="1:26" ht="22.5" x14ac:dyDescent="0.2">
      <c r="A6" s="44" t="s">
        <v>95</v>
      </c>
      <c r="B6" s="44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194</v>
      </c>
      <c r="W6" s="23" t="s">
        <v>6</v>
      </c>
      <c r="X6" s="26" t="s">
        <v>3</v>
      </c>
      <c r="Y6" s="35" t="s">
        <v>56</v>
      </c>
    </row>
    <row r="7" spans="1:26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58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 t="s">
        <v>43</v>
      </c>
      <c r="X7" s="29" t="s">
        <v>4</v>
      </c>
      <c r="Y7" s="34"/>
    </row>
    <row r="8" spans="1:26" ht="40.5" x14ac:dyDescent="0.3">
      <c r="A8" s="38"/>
      <c r="B8" s="38"/>
      <c r="C8" s="225" t="s">
        <v>72</v>
      </c>
      <c r="D8" s="227" t="s">
        <v>200</v>
      </c>
      <c r="E8" s="226" t="s">
        <v>60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87"/>
    </row>
    <row r="9" spans="1:26" s="304" customFormat="1" ht="222" customHeight="1" x14ac:dyDescent="0.2">
      <c r="A9" s="273" t="s">
        <v>309</v>
      </c>
      <c r="B9" s="267" t="s">
        <v>107</v>
      </c>
      <c r="C9" s="253" t="s">
        <v>286</v>
      </c>
      <c r="D9" s="344">
        <v>45566</v>
      </c>
      <c r="E9" s="256" t="s">
        <v>180</v>
      </c>
      <c r="F9" s="257">
        <v>15</v>
      </c>
      <c r="G9" s="258">
        <f>H9/F9</f>
        <v>1332.8</v>
      </c>
      <c r="H9" s="259">
        <v>19992</v>
      </c>
      <c r="I9" s="260">
        <v>0</v>
      </c>
      <c r="J9" s="261">
        <f>SUM(H9:I9)</f>
        <v>19992</v>
      </c>
      <c r="K9" s="281">
        <f>IF(H9/15&lt;=SMG,0,I9/2)</f>
        <v>0</v>
      </c>
      <c r="L9" s="300">
        <f>(H9+K9)/F9*30.4</f>
        <v>40517.119999999995</v>
      </c>
      <c r="M9" s="300">
        <f>VLOOKUP(L9,Tarifa,1)</f>
        <v>31236.5</v>
      </c>
      <c r="N9" s="281">
        <f>L9-M9</f>
        <v>9280.6199999999953</v>
      </c>
      <c r="O9" s="282">
        <f>VLOOKUP(L9,Tarifa,3)</f>
        <v>0.23519999999999999</v>
      </c>
      <c r="P9" s="281">
        <f>N9*O9</f>
        <v>2182.8018239999988</v>
      </c>
      <c r="Q9" s="283">
        <f>VLOOKUP(L9,Tarifa,2)</f>
        <v>5004.12</v>
      </c>
      <c r="R9" s="281">
        <f>P9+Q9</f>
        <v>7186.9218239999991</v>
      </c>
      <c r="S9" s="281">
        <f>VLOOKUP(L9,Credito,2)</f>
        <v>0</v>
      </c>
      <c r="T9" s="281">
        <f>ROUND((R9-S9)/30.4*F9,2)</f>
        <v>3546.18</v>
      </c>
      <c r="U9" s="261">
        <f>-IF(T9&gt;0,0,0)</f>
        <v>0</v>
      </c>
      <c r="V9" s="261">
        <f>IF(H9/15&lt;=SMG,0,IF(T9&lt;0,0,T9))</f>
        <v>3546.18</v>
      </c>
      <c r="W9" s="261">
        <f>SUM(V9:V9)</f>
        <v>3546.18</v>
      </c>
      <c r="X9" s="261">
        <f>J9+U9-W9</f>
        <v>16445.82</v>
      </c>
      <c r="Y9" s="350"/>
    </row>
    <row r="10" spans="1:26" ht="18" x14ac:dyDescent="0.25">
      <c r="A10" s="132"/>
      <c r="B10" s="132"/>
      <c r="C10" s="132"/>
      <c r="D10" s="132"/>
      <c r="E10" s="132"/>
      <c r="F10" s="133"/>
      <c r="G10" s="132"/>
      <c r="H10" s="134"/>
      <c r="I10" s="134"/>
      <c r="J10" s="134"/>
      <c r="K10" s="135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spans="1:26" ht="41.25" customHeight="1" thickBot="1" x14ac:dyDescent="0.3">
      <c r="A11" s="416"/>
      <c r="B11" s="416"/>
      <c r="C11" s="416"/>
      <c r="D11" s="416"/>
      <c r="E11" s="416"/>
      <c r="F11" s="416"/>
      <c r="G11" s="417"/>
      <c r="H11" s="130">
        <f>SUM(H9:H9)</f>
        <v>19992</v>
      </c>
      <c r="I11" s="130">
        <f>SUM(I9:I9)</f>
        <v>0</v>
      </c>
      <c r="J11" s="130">
        <f>SUM(J9:J9)</f>
        <v>19992</v>
      </c>
      <c r="K11" s="131">
        <f t="shared" ref="K11:T11" si="0">SUM(K10:K10)</f>
        <v>0</v>
      </c>
      <c r="L11" s="131">
        <f t="shared" si="0"/>
        <v>0</v>
      </c>
      <c r="M11" s="131">
        <f t="shared" si="0"/>
        <v>0</v>
      </c>
      <c r="N11" s="131">
        <f t="shared" si="0"/>
        <v>0</v>
      </c>
      <c r="O11" s="131">
        <f t="shared" si="0"/>
        <v>0</v>
      </c>
      <c r="P11" s="131">
        <f t="shared" si="0"/>
        <v>0</v>
      </c>
      <c r="Q11" s="131">
        <f t="shared" si="0"/>
        <v>0</v>
      </c>
      <c r="R11" s="131">
        <f t="shared" si="0"/>
        <v>0</v>
      </c>
      <c r="S11" s="131">
        <f t="shared" si="0"/>
        <v>0</v>
      </c>
      <c r="T11" s="131">
        <f t="shared" si="0"/>
        <v>0</v>
      </c>
      <c r="U11" s="130">
        <f>SUM(U9:U9)</f>
        <v>0</v>
      </c>
      <c r="V11" s="130">
        <f>SUM(V9:V9)</f>
        <v>3546.18</v>
      </c>
      <c r="W11" s="130">
        <f>SUM(W9:W9)</f>
        <v>3546.18</v>
      </c>
      <c r="X11" s="130">
        <f>SUM(X9:X9)</f>
        <v>16445.82</v>
      </c>
    </row>
    <row r="12" spans="1:26" ht="13.5" thickTop="1" x14ac:dyDescent="0.2"/>
  </sheetData>
  <mergeCells count="7">
    <mergeCell ref="A11:G11"/>
    <mergeCell ref="A1:Z1"/>
    <mergeCell ref="A2:Z2"/>
    <mergeCell ref="A3:Z3"/>
    <mergeCell ref="H5:J5"/>
    <mergeCell ref="M5:R5"/>
    <mergeCell ref="V5:W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2025-05-30T15:53:48Z</cp:lastPrinted>
  <dcterms:created xsi:type="dcterms:W3CDTF">2000-05-05T04:08:27Z</dcterms:created>
  <dcterms:modified xsi:type="dcterms:W3CDTF">2025-06-03T20:26:27Z</dcterms:modified>
</cp:coreProperties>
</file>