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esor\OneDrive\Escritorio\Red\TRANSPARENCIA ARTICULO 8\8.v.g) Nòmina\NOMINAS ENE-DIC 2025\"/>
    </mc:Choice>
  </mc:AlternateContent>
  <xr:revisionPtr revIDLastSave="0" documentId="13_ncr:1_{32472E24-8902-4FE8-97C4-E30008CB7A2E}" xr6:coauthVersionLast="47" xr6:coauthVersionMax="47" xr10:uidLastSave="{00000000-0000-0000-0000-000000000000}"/>
  <bookViews>
    <workbookView xWindow="-120" yWindow="-120" windowWidth="29040" windowHeight="15720" tabRatio="772" firstSheet="1" activeTab="11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2">'CONTRALORIA '!$1:$23</definedName>
    <definedName name="_xlnm.Print_Area" localSheetId="8">SINDICO!$1:$20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" i="135" l="1"/>
  <c r="L26" i="135" s="1"/>
  <c r="J26" i="135"/>
  <c r="G26" i="135"/>
  <c r="K25" i="135"/>
  <c r="L25" i="135" s="1"/>
  <c r="J25" i="135"/>
  <c r="G25" i="135"/>
  <c r="L30" i="123"/>
  <c r="M30" i="123" s="1"/>
  <c r="K30" i="123"/>
  <c r="H30" i="123"/>
  <c r="K28" i="135"/>
  <c r="L28" i="135" s="1"/>
  <c r="J28" i="135"/>
  <c r="G28" i="135"/>
  <c r="L15" i="132"/>
  <c r="M15" i="132" s="1"/>
  <c r="K15" i="132"/>
  <c r="H15" i="132"/>
  <c r="L13" i="121"/>
  <c r="M13" i="121" s="1"/>
  <c r="K13" i="121"/>
  <c r="L10" i="132"/>
  <c r="M10" i="132" s="1"/>
  <c r="K10" i="132"/>
  <c r="L26" i="123"/>
  <c r="M26" i="123" s="1"/>
  <c r="K26" i="123"/>
  <c r="K24" i="135"/>
  <c r="L24" i="135" s="1"/>
  <c r="J24" i="135"/>
  <c r="G24" i="135"/>
  <c r="K23" i="135"/>
  <c r="L23" i="135" s="1"/>
  <c r="J23" i="135"/>
  <c r="G23" i="135"/>
  <c r="K22" i="135"/>
  <c r="L22" i="135" s="1"/>
  <c r="J22" i="135"/>
  <c r="G22" i="135"/>
  <c r="K21" i="135"/>
  <c r="L21" i="135" s="1"/>
  <c r="J21" i="135"/>
  <c r="G21" i="135"/>
  <c r="K20" i="135"/>
  <c r="L20" i="135" s="1"/>
  <c r="J20" i="135"/>
  <c r="G20" i="135"/>
  <c r="K19" i="135"/>
  <c r="L19" i="135" s="1"/>
  <c r="S19" i="135" s="1"/>
  <c r="J19" i="135"/>
  <c r="G19" i="135"/>
  <c r="K18" i="135"/>
  <c r="L18" i="135" s="1"/>
  <c r="J18" i="135"/>
  <c r="G18" i="135"/>
  <c r="K17" i="135"/>
  <c r="L17" i="135" s="1"/>
  <c r="J17" i="135"/>
  <c r="G17" i="135"/>
  <c r="K16" i="135"/>
  <c r="L16" i="135" s="1"/>
  <c r="J16" i="135"/>
  <c r="G16" i="135"/>
  <c r="B3" i="135"/>
  <c r="L20" i="120"/>
  <c r="M20" i="120" s="1"/>
  <c r="K20" i="120"/>
  <c r="H20" i="120"/>
  <c r="L15" i="123"/>
  <c r="M15" i="123" s="1"/>
  <c r="K15" i="123"/>
  <c r="H15" i="123"/>
  <c r="L20" i="121"/>
  <c r="M20" i="121" s="1"/>
  <c r="K20" i="121"/>
  <c r="L31" i="123"/>
  <c r="M31" i="123" s="1"/>
  <c r="K31" i="123"/>
  <c r="H31" i="123"/>
  <c r="L24" i="123"/>
  <c r="M24" i="123" s="1"/>
  <c r="K24" i="123"/>
  <c r="K23" i="123" s="1"/>
  <c r="H24" i="123"/>
  <c r="X23" i="123"/>
  <c r="J23" i="123"/>
  <c r="I23" i="123"/>
  <c r="L19" i="121"/>
  <c r="M19" i="121" s="1"/>
  <c r="K19" i="121"/>
  <c r="H19" i="121"/>
  <c r="S26" i="135" l="1"/>
  <c r="Q26" i="135"/>
  <c r="O26" i="135"/>
  <c r="M26" i="135"/>
  <c r="N26" i="135" s="1"/>
  <c r="Q25" i="135"/>
  <c r="O25" i="135"/>
  <c r="M25" i="135"/>
  <c r="N25" i="135" s="1"/>
  <c r="S25" i="135"/>
  <c r="T30" i="123"/>
  <c r="R30" i="123"/>
  <c r="P30" i="123"/>
  <c r="N30" i="123"/>
  <c r="O30" i="123" s="1"/>
  <c r="S28" i="135"/>
  <c r="Q28" i="135"/>
  <c r="O28" i="135"/>
  <c r="M28" i="135"/>
  <c r="N28" i="135" s="1"/>
  <c r="P28" i="135" s="1"/>
  <c r="T15" i="132"/>
  <c r="R15" i="132"/>
  <c r="P15" i="132"/>
  <c r="N15" i="132"/>
  <c r="O15" i="132" s="1"/>
  <c r="Q15" i="132" s="1"/>
  <c r="T13" i="121"/>
  <c r="R13" i="121"/>
  <c r="P13" i="121"/>
  <c r="N13" i="121"/>
  <c r="O13" i="121" s="1"/>
  <c r="Q13" i="121" s="1"/>
  <c r="T10" i="132"/>
  <c r="R10" i="132"/>
  <c r="P10" i="132"/>
  <c r="N10" i="132"/>
  <c r="O10" i="132" s="1"/>
  <c r="T26" i="123"/>
  <c r="R26" i="123"/>
  <c r="P26" i="123"/>
  <c r="N26" i="123"/>
  <c r="O26" i="123" s="1"/>
  <c r="O22" i="135"/>
  <c r="S22" i="135"/>
  <c r="Q22" i="135"/>
  <c r="S24" i="135"/>
  <c r="Q24" i="135"/>
  <c r="O24" i="135"/>
  <c r="M24" i="135"/>
  <c r="N24" i="135" s="1"/>
  <c r="P24" i="135" s="1"/>
  <c r="R24" i="135" s="1"/>
  <c r="O23" i="135"/>
  <c r="M23" i="135"/>
  <c r="N23" i="135" s="1"/>
  <c r="P23" i="135" s="1"/>
  <c r="S23" i="135"/>
  <c r="Q23" i="135"/>
  <c r="M22" i="135"/>
  <c r="N22" i="135" s="1"/>
  <c r="S21" i="135"/>
  <c r="Q21" i="135"/>
  <c r="O21" i="135"/>
  <c r="M21" i="135"/>
  <c r="N21" i="135" s="1"/>
  <c r="P21" i="135" s="1"/>
  <c r="R21" i="135" s="1"/>
  <c r="T21" i="135" s="1"/>
  <c r="S18" i="135"/>
  <c r="Q18" i="135"/>
  <c r="O18" i="135"/>
  <c r="M18" i="135"/>
  <c r="N18" i="135" s="1"/>
  <c r="S20" i="135"/>
  <c r="Q20" i="135"/>
  <c r="O20" i="135"/>
  <c r="M20" i="135"/>
  <c r="N20" i="135" s="1"/>
  <c r="P20" i="135" s="1"/>
  <c r="R20" i="135" s="1"/>
  <c r="T20" i="135" s="1"/>
  <c r="M19" i="135"/>
  <c r="N19" i="135" s="1"/>
  <c r="O19" i="135"/>
  <c r="Q19" i="135"/>
  <c r="S17" i="135"/>
  <c r="Q17" i="135"/>
  <c r="O17" i="135"/>
  <c r="M17" i="135"/>
  <c r="N17" i="135" s="1"/>
  <c r="P17" i="135" s="1"/>
  <c r="S16" i="135"/>
  <c r="Q16" i="135"/>
  <c r="O16" i="135"/>
  <c r="M16" i="135"/>
  <c r="N16" i="135" s="1"/>
  <c r="P16" i="135" s="1"/>
  <c r="R16" i="135" s="1"/>
  <c r="T16" i="135" s="1"/>
  <c r="T20" i="120"/>
  <c r="R20" i="120"/>
  <c r="P20" i="120"/>
  <c r="N20" i="120"/>
  <c r="O20" i="120" s="1"/>
  <c r="T15" i="123"/>
  <c r="R15" i="123"/>
  <c r="P15" i="123"/>
  <c r="N15" i="123"/>
  <c r="O15" i="123" s="1"/>
  <c r="T20" i="121"/>
  <c r="R20" i="121"/>
  <c r="P20" i="121"/>
  <c r="N20" i="121"/>
  <c r="O20" i="121" s="1"/>
  <c r="T31" i="123"/>
  <c r="R31" i="123"/>
  <c r="P31" i="123"/>
  <c r="N31" i="123"/>
  <c r="O31" i="123" s="1"/>
  <c r="Q31" i="123" s="1"/>
  <c r="S31" i="123" s="1"/>
  <c r="R24" i="123"/>
  <c r="P24" i="123"/>
  <c r="N24" i="123"/>
  <c r="O24" i="123" s="1"/>
  <c r="T24" i="123"/>
  <c r="T19" i="121"/>
  <c r="R19" i="121"/>
  <c r="P19" i="121"/>
  <c r="N19" i="121"/>
  <c r="O19" i="121" s="1"/>
  <c r="R28" i="135" l="1"/>
  <c r="T28" i="135" s="1"/>
  <c r="P25" i="135"/>
  <c r="R25" i="135" s="1"/>
  <c r="T25" i="135" s="1"/>
  <c r="T24" i="135"/>
  <c r="V24" i="135" s="1"/>
  <c r="X24" i="135" s="1"/>
  <c r="P26" i="135"/>
  <c r="R26" i="135" s="1"/>
  <c r="T26" i="135" s="1"/>
  <c r="Q15" i="123"/>
  <c r="S15" i="123"/>
  <c r="Q30" i="123"/>
  <c r="Q19" i="121"/>
  <c r="S19" i="121" s="1"/>
  <c r="U19" i="121" s="1"/>
  <c r="Q20" i="121"/>
  <c r="S20" i="121"/>
  <c r="U20" i="121" s="1"/>
  <c r="R23" i="135"/>
  <c r="T23" i="135" s="1"/>
  <c r="U23" i="135" s="1"/>
  <c r="V26" i="135"/>
  <c r="X26" i="135" s="1"/>
  <c r="U26" i="135"/>
  <c r="V25" i="135"/>
  <c r="X25" i="135" s="1"/>
  <c r="U25" i="135"/>
  <c r="S30" i="123"/>
  <c r="U30" i="123" s="1"/>
  <c r="U15" i="123"/>
  <c r="V15" i="123" s="1"/>
  <c r="W30" i="123"/>
  <c r="Y30" i="123" s="1"/>
  <c r="V30" i="123"/>
  <c r="S13" i="121"/>
  <c r="U13" i="121" s="1"/>
  <c r="W13" i="121" s="1"/>
  <c r="Y13" i="121" s="1"/>
  <c r="V28" i="135"/>
  <c r="X28" i="135" s="1"/>
  <c r="U28" i="135"/>
  <c r="P22" i="135"/>
  <c r="R22" i="135" s="1"/>
  <c r="T22" i="135" s="1"/>
  <c r="U22" i="135" s="1"/>
  <c r="U24" i="135"/>
  <c r="Y24" i="135" s="1"/>
  <c r="R17" i="135"/>
  <c r="T17" i="135" s="1"/>
  <c r="V17" i="135" s="1"/>
  <c r="X17" i="135" s="1"/>
  <c r="S15" i="132"/>
  <c r="U15" i="132" s="1"/>
  <c r="W15" i="132" s="1"/>
  <c r="Y15" i="132" s="1"/>
  <c r="Q26" i="123"/>
  <c r="S26" i="123" s="1"/>
  <c r="U26" i="123" s="1"/>
  <c r="V26" i="123" s="1"/>
  <c r="Q24" i="123"/>
  <c r="S24" i="123" s="1"/>
  <c r="U24" i="123" s="1"/>
  <c r="V24" i="123" s="1"/>
  <c r="Q10" i="132"/>
  <c r="S10" i="132" s="1"/>
  <c r="U10" i="132" s="1"/>
  <c r="W10" i="132" s="1"/>
  <c r="Y10" i="132" s="1"/>
  <c r="P19" i="135"/>
  <c r="R19" i="135" s="1"/>
  <c r="T19" i="135" s="1"/>
  <c r="V19" i="135" s="1"/>
  <c r="X19" i="135" s="1"/>
  <c r="P18" i="135"/>
  <c r="R18" i="135" s="1"/>
  <c r="T18" i="135" s="1"/>
  <c r="U18" i="135" s="1"/>
  <c r="V21" i="135"/>
  <c r="X21" i="135" s="1"/>
  <c r="U21" i="135"/>
  <c r="V20" i="135"/>
  <c r="X20" i="135" s="1"/>
  <c r="U20" i="135"/>
  <c r="V16" i="135"/>
  <c r="X16" i="135" s="1"/>
  <c r="U16" i="135"/>
  <c r="Q20" i="120"/>
  <c r="S20" i="120" s="1"/>
  <c r="U20" i="120" s="1"/>
  <c r="W20" i="120" s="1"/>
  <c r="Y20" i="120" s="1"/>
  <c r="U31" i="123"/>
  <c r="V31" i="123" s="1"/>
  <c r="W20" i="121"/>
  <c r="Y20" i="121" s="1"/>
  <c r="V20" i="121"/>
  <c r="W19" i="121"/>
  <c r="Y19" i="121" s="1"/>
  <c r="V19" i="121"/>
  <c r="Y21" i="135" l="1"/>
  <c r="Y16" i="135"/>
  <c r="V23" i="135"/>
  <c r="X23" i="135" s="1"/>
  <c r="Y23" i="135" s="1"/>
  <c r="V22" i="135"/>
  <c r="X22" i="135" s="1"/>
  <c r="W26" i="123"/>
  <c r="Y26" i="123" s="1"/>
  <c r="W15" i="123"/>
  <c r="Y15" i="123" s="1"/>
  <c r="W31" i="123"/>
  <c r="Y31" i="123" s="1"/>
  <c r="Z20" i="121"/>
  <c r="Y25" i="135"/>
  <c r="V18" i="135"/>
  <c r="X18" i="135" s="1"/>
  <c r="Y20" i="135"/>
  <c r="U19" i="135"/>
  <c r="U17" i="135"/>
  <c r="Y26" i="135"/>
  <c r="Z30" i="123"/>
  <c r="V13" i="121"/>
  <c r="Z13" i="121" s="1"/>
  <c r="Y28" i="135"/>
  <c r="V15" i="132"/>
  <c r="Z15" i="132" s="1"/>
  <c r="Z26" i="123"/>
  <c r="V10" i="132"/>
  <c r="Z10" i="132" s="1"/>
  <c r="Y18" i="135"/>
  <c r="Y19" i="135"/>
  <c r="Y22" i="135"/>
  <c r="Y17" i="135"/>
  <c r="V20" i="120"/>
  <c r="Z20" i="120"/>
  <c r="Z15" i="123"/>
  <c r="Z31" i="123"/>
  <c r="W24" i="123"/>
  <c r="W23" i="123" s="1"/>
  <c r="V23" i="123"/>
  <c r="Z19" i="121"/>
  <c r="Y24" i="123" l="1"/>
  <c r="L34" i="123"/>
  <c r="M34" i="123" s="1"/>
  <c r="K34" i="123"/>
  <c r="H34" i="123"/>
  <c r="L32" i="123"/>
  <c r="M32" i="123" s="1"/>
  <c r="K32" i="123"/>
  <c r="H32" i="123"/>
  <c r="L33" i="123"/>
  <c r="M33" i="123" s="1"/>
  <c r="K33" i="123"/>
  <c r="H33" i="123"/>
  <c r="K9" i="134"/>
  <c r="K8" i="134" s="1"/>
  <c r="L9" i="134"/>
  <c r="M9" i="134" s="1"/>
  <c r="H9" i="134"/>
  <c r="X8" i="134"/>
  <c r="J8" i="134"/>
  <c r="I8" i="134"/>
  <c r="K35" i="123"/>
  <c r="L35" i="123"/>
  <c r="M35" i="123" s="1"/>
  <c r="N35" i="123" s="1"/>
  <c r="K29" i="123"/>
  <c r="L29" i="123"/>
  <c r="M29" i="123" s="1"/>
  <c r="K27" i="123"/>
  <c r="L27" i="123"/>
  <c r="M27" i="123" s="1"/>
  <c r="K28" i="123"/>
  <c r="L28" i="123"/>
  <c r="M28" i="123" s="1"/>
  <c r="N28" i="123" s="1"/>
  <c r="X25" i="123"/>
  <c r="J25" i="123"/>
  <c r="I25" i="123"/>
  <c r="H29" i="123"/>
  <c r="K19" i="120"/>
  <c r="L19" i="120"/>
  <c r="M19" i="120" s="1"/>
  <c r="H19" i="120"/>
  <c r="K18" i="120"/>
  <c r="L18" i="120"/>
  <c r="M18" i="120" s="1"/>
  <c r="H18" i="120"/>
  <c r="K17" i="120"/>
  <c r="L17" i="120"/>
  <c r="M17" i="120" s="1"/>
  <c r="H17" i="120"/>
  <c r="K16" i="120"/>
  <c r="L16" i="120"/>
  <c r="M16" i="120" s="1"/>
  <c r="H16" i="120"/>
  <c r="K15" i="120"/>
  <c r="L15" i="120"/>
  <c r="M15" i="120" s="1"/>
  <c r="H15" i="120"/>
  <c r="K14" i="120"/>
  <c r="L14" i="120"/>
  <c r="M14" i="120" s="1"/>
  <c r="N14" i="120" s="1"/>
  <c r="H14" i="120"/>
  <c r="H28" i="123"/>
  <c r="H27" i="123"/>
  <c r="K27" i="135"/>
  <c r="L27" i="135" s="1"/>
  <c r="J27" i="135"/>
  <c r="G27" i="135"/>
  <c r="L22" i="121"/>
  <c r="M22" i="121" s="1"/>
  <c r="K22" i="121"/>
  <c r="K21" i="121" s="1"/>
  <c r="H22" i="121"/>
  <c r="X21" i="121"/>
  <c r="J21" i="121"/>
  <c r="I21" i="121"/>
  <c r="W16" i="123"/>
  <c r="Y16" i="123" s="1"/>
  <c r="L16" i="123"/>
  <c r="M16" i="123" s="1"/>
  <c r="K16" i="123"/>
  <c r="H16" i="123"/>
  <c r="L24" i="120"/>
  <c r="M24" i="120" s="1"/>
  <c r="K24" i="120"/>
  <c r="H24" i="120"/>
  <c r="L23" i="120"/>
  <c r="M23" i="120" s="1"/>
  <c r="K23" i="120"/>
  <c r="H23" i="120"/>
  <c r="L22" i="120"/>
  <c r="M22" i="120" s="1"/>
  <c r="K22" i="120"/>
  <c r="H22" i="120"/>
  <c r="L21" i="120"/>
  <c r="M21" i="120" s="1"/>
  <c r="K21" i="120"/>
  <c r="H21" i="120"/>
  <c r="L13" i="120"/>
  <c r="M13" i="120" s="1"/>
  <c r="K13" i="120"/>
  <c r="H13" i="120"/>
  <c r="K11" i="134"/>
  <c r="K10" i="134" s="1"/>
  <c r="L11" i="134"/>
  <c r="M11" i="134" s="1"/>
  <c r="K13" i="134"/>
  <c r="L13" i="134"/>
  <c r="M13" i="134"/>
  <c r="N13" i="134" s="1"/>
  <c r="O13" i="134" s="1"/>
  <c r="Q13" i="134" s="1"/>
  <c r="P13" i="134"/>
  <c r="T13" i="134"/>
  <c r="X10" i="134"/>
  <c r="X12" i="134"/>
  <c r="J10" i="134"/>
  <c r="J12" i="134"/>
  <c r="I10" i="134"/>
  <c r="I12" i="134"/>
  <c r="W15" i="133"/>
  <c r="Y15" i="133" s="1"/>
  <c r="L15" i="133"/>
  <c r="M15" i="133" s="1"/>
  <c r="K15" i="133"/>
  <c r="L18" i="119"/>
  <c r="M18" i="119" s="1"/>
  <c r="K18" i="119"/>
  <c r="K17" i="119"/>
  <c r="X17" i="119"/>
  <c r="J17" i="119"/>
  <c r="I17" i="119"/>
  <c r="L14" i="133"/>
  <c r="M14" i="133" s="1"/>
  <c r="K14" i="133"/>
  <c r="H14" i="133"/>
  <c r="X8" i="121"/>
  <c r="J8" i="121"/>
  <c r="I8" i="121"/>
  <c r="L18" i="121"/>
  <c r="M18" i="121" s="1"/>
  <c r="K18" i="121"/>
  <c r="H18" i="121"/>
  <c r="H20" i="121"/>
  <c r="L10" i="133"/>
  <c r="M10" i="133" s="1"/>
  <c r="K10" i="133"/>
  <c r="H10" i="133"/>
  <c r="L11" i="133"/>
  <c r="M11" i="133" s="1"/>
  <c r="K11" i="133"/>
  <c r="H11" i="133"/>
  <c r="H12" i="133"/>
  <c r="K12" i="133"/>
  <c r="L12" i="133"/>
  <c r="M12" i="133"/>
  <c r="N12" i="133" s="1"/>
  <c r="P12" i="133"/>
  <c r="H13" i="133"/>
  <c r="K13" i="133"/>
  <c r="L13" i="133"/>
  <c r="M13" i="133" s="1"/>
  <c r="H15" i="133"/>
  <c r="L9" i="133"/>
  <c r="M9" i="133" s="1"/>
  <c r="H9" i="133"/>
  <c r="K29" i="135"/>
  <c r="L29" i="135" s="1"/>
  <c r="S29" i="135" s="1"/>
  <c r="K15" i="135"/>
  <c r="L15" i="135" s="1"/>
  <c r="S15" i="135" s="1"/>
  <c r="K14" i="135"/>
  <c r="L14" i="135" s="1"/>
  <c r="O14" i="135" s="1"/>
  <c r="K13" i="135"/>
  <c r="L13" i="135" s="1"/>
  <c r="K12" i="135"/>
  <c r="L12" i="135" s="1"/>
  <c r="Q12" i="135" s="1"/>
  <c r="K11" i="135"/>
  <c r="L11" i="135" s="1"/>
  <c r="K10" i="135"/>
  <c r="L10" i="135" s="1"/>
  <c r="S10" i="135" s="1"/>
  <c r="K9" i="135"/>
  <c r="L9" i="135" s="1"/>
  <c r="Q9" i="135" s="1"/>
  <c r="G29" i="135"/>
  <c r="G15" i="135"/>
  <c r="G14" i="135"/>
  <c r="G13" i="135"/>
  <c r="G12" i="135"/>
  <c r="G11" i="135"/>
  <c r="G10" i="135"/>
  <c r="G9" i="135"/>
  <c r="H16" i="132"/>
  <c r="H14" i="132"/>
  <c r="H13" i="132"/>
  <c r="H12" i="132"/>
  <c r="H11" i="132"/>
  <c r="H10" i="132"/>
  <c r="H9" i="132"/>
  <c r="L16" i="132"/>
  <c r="M16" i="132" s="1"/>
  <c r="L14" i="132"/>
  <c r="M14" i="132" s="1"/>
  <c r="L13" i="132"/>
  <c r="M13" i="132" s="1"/>
  <c r="L12" i="132"/>
  <c r="M12" i="132" s="1"/>
  <c r="L11" i="132"/>
  <c r="M11" i="132" s="1"/>
  <c r="L9" i="132"/>
  <c r="M9" i="132" s="1"/>
  <c r="K9" i="136"/>
  <c r="L9" i="136" s="1"/>
  <c r="L17" i="131"/>
  <c r="M17" i="131" s="1"/>
  <c r="L16" i="131"/>
  <c r="M16" i="131" s="1"/>
  <c r="L15" i="131"/>
  <c r="M15" i="131"/>
  <c r="N15" i="131" s="1"/>
  <c r="T15" i="131"/>
  <c r="L14" i="131"/>
  <c r="M14" i="131" s="1"/>
  <c r="N14" i="131" s="1"/>
  <c r="L13" i="131"/>
  <c r="M13" i="131" s="1"/>
  <c r="L12" i="131"/>
  <c r="M12" i="131" s="1"/>
  <c r="L11" i="131"/>
  <c r="M11" i="131" s="1"/>
  <c r="L10" i="131"/>
  <c r="M10" i="131" s="1"/>
  <c r="L9" i="131"/>
  <c r="M9" i="131" s="1"/>
  <c r="M11" i="118"/>
  <c r="R11" i="118" s="1"/>
  <c r="P11" i="118"/>
  <c r="M10" i="118"/>
  <c r="N10" i="118" s="1"/>
  <c r="R10" i="118"/>
  <c r="H17" i="131"/>
  <c r="H16" i="131"/>
  <c r="H15" i="131"/>
  <c r="H14" i="131"/>
  <c r="H13" i="131"/>
  <c r="H12" i="131"/>
  <c r="H11" i="131"/>
  <c r="H10" i="131"/>
  <c r="H9" i="131"/>
  <c r="L12" i="118"/>
  <c r="L14" i="118" s="1"/>
  <c r="T11" i="118"/>
  <c r="L11" i="118"/>
  <c r="L10" i="118"/>
  <c r="H12" i="118"/>
  <c r="H11" i="118"/>
  <c r="H10" i="118"/>
  <c r="L22" i="123"/>
  <c r="M22" i="123" s="1"/>
  <c r="P22" i="123" s="1"/>
  <c r="L20" i="123"/>
  <c r="M20" i="123" s="1"/>
  <c r="L19" i="123"/>
  <c r="M19" i="123" s="1"/>
  <c r="R19" i="123" s="1"/>
  <c r="L17" i="123"/>
  <c r="M17" i="123" s="1"/>
  <c r="N17" i="123" s="1"/>
  <c r="L13" i="123"/>
  <c r="M13" i="123" s="1"/>
  <c r="L12" i="123"/>
  <c r="M12" i="123" s="1"/>
  <c r="T12" i="123" s="1"/>
  <c r="L10" i="123"/>
  <c r="M10" i="123" s="1"/>
  <c r="W13" i="123"/>
  <c r="Y13" i="123" s="1"/>
  <c r="L9" i="123"/>
  <c r="L8" i="123" s="1"/>
  <c r="H35" i="123"/>
  <c r="H26" i="123"/>
  <c r="H22" i="123"/>
  <c r="H20" i="123"/>
  <c r="H19" i="123"/>
  <c r="H17" i="123"/>
  <c r="H13" i="123"/>
  <c r="H12" i="123"/>
  <c r="H10" i="123"/>
  <c r="H9" i="123"/>
  <c r="L27" i="121"/>
  <c r="M27" i="121" s="1"/>
  <c r="T27" i="121" s="1"/>
  <c r="L25" i="121"/>
  <c r="M25" i="121" s="1"/>
  <c r="L24" i="121"/>
  <c r="M24" i="121" s="1"/>
  <c r="N24" i="121" s="1"/>
  <c r="H27" i="121"/>
  <c r="H25" i="121"/>
  <c r="H24" i="121"/>
  <c r="H17" i="121"/>
  <c r="H16" i="121"/>
  <c r="H15" i="121"/>
  <c r="H14" i="121"/>
  <c r="L17" i="121"/>
  <c r="M17" i="121" s="1"/>
  <c r="N17" i="121" s="1"/>
  <c r="L16" i="121"/>
  <c r="M16" i="121" s="1"/>
  <c r="L15" i="121"/>
  <c r="M15" i="121" s="1"/>
  <c r="L14" i="121"/>
  <c r="M14" i="121" s="1"/>
  <c r="L12" i="121"/>
  <c r="M12" i="121" s="1"/>
  <c r="L11" i="121"/>
  <c r="M11" i="121" s="1"/>
  <c r="N11" i="121" s="1"/>
  <c r="L10" i="121"/>
  <c r="M10" i="121" s="1"/>
  <c r="T10" i="121" s="1"/>
  <c r="L9" i="121"/>
  <c r="M9" i="121" s="1"/>
  <c r="H13" i="121"/>
  <c r="H12" i="121"/>
  <c r="H11" i="121"/>
  <c r="H10" i="121"/>
  <c r="H9" i="121"/>
  <c r="L12" i="120"/>
  <c r="M12" i="120" s="1"/>
  <c r="L11" i="120"/>
  <c r="M11" i="120" s="1"/>
  <c r="L10" i="120"/>
  <c r="M10" i="120" s="1"/>
  <c r="L9" i="120"/>
  <c r="M9" i="120" s="1"/>
  <c r="H12" i="120"/>
  <c r="H11" i="120"/>
  <c r="H10" i="120"/>
  <c r="H9" i="120"/>
  <c r="H11" i="134"/>
  <c r="H13" i="134"/>
  <c r="L20" i="119"/>
  <c r="M20" i="119" s="1"/>
  <c r="R20" i="119" s="1"/>
  <c r="L16" i="119"/>
  <c r="M16" i="119" s="1"/>
  <c r="L15" i="119"/>
  <c r="M15" i="119" s="1"/>
  <c r="R15" i="119" s="1"/>
  <c r="L13" i="119"/>
  <c r="M13" i="119"/>
  <c r="R13" i="119" s="1"/>
  <c r="L11" i="119"/>
  <c r="M11" i="119"/>
  <c r="P11" i="119" s="1"/>
  <c r="L10" i="119"/>
  <c r="M10" i="119" s="1"/>
  <c r="L9" i="119"/>
  <c r="M9" i="119" s="1"/>
  <c r="S11" i="136"/>
  <c r="M11" i="136"/>
  <c r="Q11" i="136"/>
  <c r="O11" i="136"/>
  <c r="L11" i="136"/>
  <c r="T11" i="119"/>
  <c r="X19" i="119"/>
  <c r="V19" i="119"/>
  <c r="J19" i="119"/>
  <c r="I19" i="119"/>
  <c r="K16" i="119"/>
  <c r="K15" i="119"/>
  <c r="K14" i="119" s="1"/>
  <c r="X14" i="119"/>
  <c r="J14" i="119"/>
  <c r="I14" i="119"/>
  <c r="I22" i="119" s="1"/>
  <c r="K22" i="123"/>
  <c r="K21" i="123" s="1"/>
  <c r="X21" i="123"/>
  <c r="J21" i="123"/>
  <c r="I21" i="123"/>
  <c r="X23" i="121"/>
  <c r="J23" i="121"/>
  <c r="I23" i="121"/>
  <c r="K24" i="121"/>
  <c r="I25" i="120"/>
  <c r="W30" i="135"/>
  <c r="I30" i="135"/>
  <c r="X18" i="132"/>
  <c r="J18" i="132"/>
  <c r="W11" i="136"/>
  <c r="I11" i="136"/>
  <c r="X19" i="131"/>
  <c r="X18" i="123"/>
  <c r="J18" i="123"/>
  <c r="I18" i="123"/>
  <c r="X14" i="123"/>
  <c r="J14" i="123"/>
  <c r="I14" i="123"/>
  <c r="X11" i="123"/>
  <c r="J11" i="123"/>
  <c r="X8" i="123"/>
  <c r="J8" i="123"/>
  <c r="X25" i="120"/>
  <c r="J25" i="120"/>
  <c r="K15" i="121"/>
  <c r="K10" i="121"/>
  <c r="N11" i="136"/>
  <c r="P11" i="136"/>
  <c r="R11" i="136"/>
  <c r="T11" i="136"/>
  <c r="X12" i="119"/>
  <c r="J12" i="119"/>
  <c r="I12" i="119"/>
  <c r="X16" i="133"/>
  <c r="J16" i="133"/>
  <c r="I16" i="133"/>
  <c r="H11" i="136"/>
  <c r="X8" i="119"/>
  <c r="J8" i="119"/>
  <c r="K14" i="121"/>
  <c r="K12" i="121"/>
  <c r="K17" i="123"/>
  <c r="K16" i="132"/>
  <c r="K14" i="132"/>
  <c r="W16" i="132"/>
  <c r="Y16" i="132" s="1"/>
  <c r="K9" i="133"/>
  <c r="K13" i="132"/>
  <c r="J9" i="136"/>
  <c r="J11" i="136" s="1"/>
  <c r="G9" i="136"/>
  <c r="K10" i="120"/>
  <c r="K27" i="121"/>
  <c r="K17" i="121"/>
  <c r="W17" i="121"/>
  <c r="Y17" i="121"/>
  <c r="J14" i="135"/>
  <c r="I11" i="123"/>
  <c r="J29" i="135"/>
  <c r="J15" i="135"/>
  <c r="K13" i="123"/>
  <c r="A3" i="136"/>
  <c r="W20" i="119"/>
  <c r="Y20" i="119" s="1"/>
  <c r="K20" i="119"/>
  <c r="K19" i="119" s="1"/>
  <c r="J13" i="135"/>
  <c r="J11" i="135"/>
  <c r="A3" i="132"/>
  <c r="A3" i="133" s="1"/>
  <c r="A3" i="131"/>
  <c r="A3" i="118"/>
  <c r="A3" i="123"/>
  <c r="A3" i="121"/>
  <c r="A3" i="120"/>
  <c r="B3" i="134"/>
  <c r="K12" i="132"/>
  <c r="K20" i="123"/>
  <c r="K16" i="121"/>
  <c r="I8" i="123"/>
  <c r="W20" i="123"/>
  <c r="Y20" i="123" s="1"/>
  <c r="K25" i="121"/>
  <c r="K11" i="120"/>
  <c r="K19" i="123"/>
  <c r="K11" i="121"/>
  <c r="K9" i="121"/>
  <c r="K9" i="132"/>
  <c r="K11" i="132"/>
  <c r="J9" i="135"/>
  <c r="J12" i="135"/>
  <c r="K10" i="118"/>
  <c r="K10" i="119"/>
  <c r="K12" i="123"/>
  <c r="K9" i="120"/>
  <c r="K13" i="119"/>
  <c r="K12" i="119" s="1"/>
  <c r="K10" i="123"/>
  <c r="J10" i="135"/>
  <c r="H30" i="135"/>
  <c r="K12" i="120"/>
  <c r="K9" i="123"/>
  <c r="K11" i="136"/>
  <c r="K12" i="131"/>
  <c r="K9" i="119"/>
  <c r="K13" i="131"/>
  <c r="K17" i="131"/>
  <c r="K16" i="131"/>
  <c r="K15" i="131"/>
  <c r="K14" i="131"/>
  <c r="K11" i="131"/>
  <c r="K10" i="131"/>
  <c r="K9" i="131"/>
  <c r="R14" i="134"/>
  <c r="N14" i="134"/>
  <c r="L14" i="134"/>
  <c r="M14" i="134"/>
  <c r="P14" i="134"/>
  <c r="O14" i="134"/>
  <c r="X26" i="121"/>
  <c r="J26" i="121"/>
  <c r="Q14" i="134"/>
  <c r="S14" i="134"/>
  <c r="I26" i="121"/>
  <c r="K11" i="118"/>
  <c r="X14" i="118"/>
  <c r="J14" i="118"/>
  <c r="I8" i="119"/>
  <c r="K11" i="119"/>
  <c r="I18" i="132"/>
  <c r="I19" i="131"/>
  <c r="K12" i="118"/>
  <c r="K14" i="118"/>
  <c r="I14" i="118"/>
  <c r="T14" i="134"/>
  <c r="U14" i="134"/>
  <c r="P11" i="133" l="1"/>
  <c r="T11" i="133"/>
  <c r="R11" i="133"/>
  <c r="K18" i="132"/>
  <c r="S9" i="136"/>
  <c r="M9" i="136"/>
  <c r="N9" i="136" s="1"/>
  <c r="P9" i="136" s="1"/>
  <c r="O9" i="136"/>
  <c r="Q9" i="136"/>
  <c r="R17" i="131"/>
  <c r="P17" i="131"/>
  <c r="T17" i="131"/>
  <c r="N17" i="131"/>
  <c r="O17" i="131" s="1"/>
  <c r="Q17" i="131" s="1"/>
  <c r="S17" i="131" s="1"/>
  <c r="U17" i="131" s="1"/>
  <c r="T11" i="131"/>
  <c r="P11" i="131"/>
  <c r="R11" i="131"/>
  <c r="N11" i="131"/>
  <c r="O11" i="131" s="1"/>
  <c r="Q11" i="131" s="1"/>
  <c r="N16" i="131"/>
  <c r="O16" i="131" s="1"/>
  <c r="T16" i="131"/>
  <c r="L19" i="131"/>
  <c r="M19" i="131"/>
  <c r="K19" i="131"/>
  <c r="W17" i="131"/>
  <c r="Y17" i="131" s="1"/>
  <c r="V17" i="131"/>
  <c r="T10" i="131"/>
  <c r="P10" i="131"/>
  <c r="N10" i="131"/>
  <c r="O10" i="131"/>
  <c r="Q10" i="131" s="1"/>
  <c r="R10" i="131"/>
  <c r="T12" i="131"/>
  <c r="P12" i="131"/>
  <c r="N12" i="131"/>
  <c r="O12" i="131"/>
  <c r="Q12" i="131" s="1"/>
  <c r="R12" i="131"/>
  <c r="P13" i="131"/>
  <c r="R13" i="131"/>
  <c r="N13" i="131"/>
  <c r="O13" i="131" s="1"/>
  <c r="Q13" i="131" s="1"/>
  <c r="S13" i="131" s="1"/>
  <c r="T13" i="131"/>
  <c r="R14" i="131"/>
  <c r="T14" i="131"/>
  <c r="R16" i="131"/>
  <c r="P14" i="131"/>
  <c r="R9" i="131"/>
  <c r="T9" i="131"/>
  <c r="N9" i="131"/>
  <c r="O9" i="131" s="1"/>
  <c r="P15" i="131"/>
  <c r="P9" i="131"/>
  <c r="R15" i="131"/>
  <c r="O15" i="131"/>
  <c r="Q15" i="131" s="1"/>
  <c r="S15" i="131" s="1"/>
  <c r="U15" i="131" s="1"/>
  <c r="P16" i="131"/>
  <c r="O14" i="131"/>
  <c r="M12" i="118"/>
  <c r="N12" i="118" s="1"/>
  <c r="O10" i="118"/>
  <c r="T12" i="118"/>
  <c r="N11" i="118"/>
  <c r="N14" i="118" s="1"/>
  <c r="R12" i="118"/>
  <c r="R14" i="118" s="1"/>
  <c r="T10" i="118"/>
  <c r="T14" i="118" s="1"/>
  <c r="M14" i="118"/>
  <c r="P10" i="118"/>
  <c r="P12" i="118"/>
  <c r="O12" i="118"/>
  <c r="Q12" i="118" s="1"/>
  <c r="S12" i="118" s="1"/>
  <c r="U12" i="118" s="1"/>
  <c r="O11" i="118"/>
  <c r="Q11" i="118" s="1"/>
  <c r="S11" i="118" s="1"/>
  <c r="U11" i="118" s="1"/>
  <c r="X29" i="121"/>
  <c r="N11" i="134"/>
  <c r="O11" i="134" s="1"/>
  <c r="Q11" i="134" s="1"/>
  <c r="S11" i="134" s="1"/>
  <c r="U11" i="134" s="1"/>
  <c r="P11" i="134"/>
  <c r="R11" i="134"/>
  <c r="T11" i="134"/>
  <c r="R9" i="134"/>
  <c r="P9" i="134"/>
  <c r="N9" i="134"/>
  <c r="O9" i="134" s="1"/>
  <c r="Q9" i="134" s="1"/>
  <c r="S9" i="134" s="1"/>
  <c r="U9" i="134" s="1"/>
  <c r="T9" i="134"/>
  <c r="R13" i="134"/>
  <c r="S13" i="134" s="1"/>
  <c r="U13" i="134" s="1"/>
  <c r="J14" i="134"/>
  <c r="K12" i="134"/>
  <c r="K14" i="134" s="1"/>
  <c r="I14" i="134"/>
  <c r="X14" i="134"/>
  <c r="T16" i="119"/>
  <c r="R16" i="119"/>
  <c r="N16" i="119"/>
  <c r="O16" i="119" s="1"/>
  <c r="Q16" i="119" s="1"/>
  <c r="S16" i="119" s="1"/>
  <c r="U16" i="119" s="1"/>
  <c r="P16" i="119"/>
  <c r="J22" i="119"/>
  <c r="K8" i="119"/>
  <c r="W19" i="119"/>
  <c r="Y19" i="119"/>
  <c r="Z20" i="119"/>
  <c r="Z19" i="119" s="1"/>
  <c r="K22" i="119"/>
  <c r="X22" i="119"/>
  <c r="W16" i="119"/>
  <c r="Y16" i="119" s="1"/>
  <c r="V16" i="119"/>
  <c r="N10" i="119"/>
  <c r="R10" i="119"/>
  <c r="P10" i="119"/>
  <c r="O10" i="119"/>
  <c r="Q10" i="119" s="1"/>
  <c r="S10" i="119" s="1"/>
  <c r="T10" i="119"/>
  <c r="N18" i="119"/>
  <c r="P18" i="119"/>
  <c r="T18" i="119"/>
  <c r="R18" i="119"/>
  <c r="O18" i="119"/>
  <c r="Q18" i="119" s="1"/>
  <c r="S18" i="119" s="1"/>
  <c r="U18" i="119" s="1"/>
  <c r="R9" i="119"/>
  <c r="R22" i="119" s="1"/>
  <c r="N9" i="119"/>
  <c r="O9" i="119" s="1"/>
  <c r="T9" i="119"/>
  <c r="P9" i="119"/>
  <c r="M22" i="119"/>
  <c r="T15" i="119"/>
  <c r="T13" i="119"/>
  <c r="N15" i="119"/>
  <c r="O15" i="119" s="1"/>
  <c r="N20" i="119"/>
  <c r="O20" i="119" s="1"/>
  <c r="P20" i="119"/>
  <c r="N13" i="119"/>
  <c r="O13" i="119" s="1"/>
  <c r="T20" i="119"/>
  <c r="P15" i="119"/>
  <c r="L22" i="119"/>
  <c r="P13" i="119"/>
  <c r="N11" i="119"/>
  <c r="O11" i="119" s="1"/>
  <c r="Q11" i="119" s="1"/>
  <c r="R11" i="119"/>
  <c r="R9" i="133"/>
  <c r="P9" i="133"/>
  <c r="T9" i="133"/>
  <c r="N9" i="133"/>
  <c r="O9" i="133" s="1"/>
  <c r="Q9" i="133" s="1"/>
  <c r="S9" i="133" s="1"/>
  <c r="P15" i="133"/>
  <c r="R15" i="133"/>
  <c r="N15" i="133"/>
  <c r="O15" i="133" s="1"/>
  <c r="Q15" i="133" s="1"/>
  <c r="S15" i="133" s="1"/>
  <c r="T15" i="133"/>
  <c r="R12" i="133"/>
  <c r="T12" i="133"/>
  <c r="O12" i="133"/>
  <c r="Q12" i="133" s="1"/>
  <c r="S12" i="133" s="1"/>
  <c r="U12" i="133" s="1"/>
  <c r="N11" i="133"/>
  <c r="O11" i="133" s="1"/>
  <c r="Q11" i="133" s="1"/>
  <c r="S11" i="133" s="1"/>
  <c r="U11" i="133" s="1"/>
  <c r="P14" i="133"/>
  <c r="T14" i="133"/>
  <c r="R14" i="133"/>
  <c r="N14" i="133"/>
  <c r="O14" i="133" s="1"/>
  <c r="Q14" i="133" s="1"/>
  <c r="I37" i="123"/>
  <c r="X37" i="123"/>
  <c r="J37" i="123"/>
  <c r="M29" i="135"/>
  <c r="N29" i="135" s="1"/>
  <c r="M18" i="132"/>
  <c r="R10" i="133"/>
  <c r="T10" i="133"/>
  <c r="K16" i="133"/>
  <c r="M11" i="135"/>
  <c r="N11" i="135" s="1"/>
  <c r="O11" i="135"/>
  <c r="Q11" i="135"/>
  <c r="O29" i="135"/>
  <c r="Q29" i="135"/>
  <c r="O27" i="135"/>
  <c r="Q27" i="135"/>
  <c r="S27" i="135"/>
  <c r="M27" i="135"/>
  <c r="N27" i="135" s="1"/>
  <c r="P27" i="135" s="1"/>
  <c r="M15" i="135"/>
  <c r="N15" i="135" s="1"/>
  <c r="O15" i="135"/>
  <c r="Q15" i="135"/>
  <c r="M13" i="135"/>
  <c r="N13" i="135" s="1"/>
  <c r="S11" i="135"/>
  <c r="N13" i="120"/>
  <c r="O13" i="120" s="1"/>
  <c r="R13" i="120"/>
  <c r="P13" i="120"/>
  <c r="T13" i="120"/>
  <c r="T10" i="120"/>
  <c r="P10" i="120"/>
  <c r="R10" i="120"/>
  <c r="N10" i="120"/>
  <c r="O10" i="120" s="1"/>
  <c r="Q10" i="120" s="1"/>
  <c r="S10" i="120" s="1"/>
  <c r="U10" i="120" s="1"/>
  <c r="N12" i="120"/>
  <c r="O12" i="120" s="1"/>
  <c r="R12" i="120"/>
  <c r="T12" i="120"/>
  <c r="P12" i="120"/>
  <c r="N18" i="120"/>
  <c r="O18" i="120" s="1"/>
  <c r="P18" i="120"/>
  <c r="R18" i="120"/>
  <c r="T18" i="120"/>
  <c r="R22" i="120"/>
  <c r="T22" i="120"/>
  <c r="P22" i="120"/>
  <c r="N22" i="120"/>
  <c r="O22" i="120" s="1"/>
  <c r="Q22" i="120" s="1"/>
  <c r="S22" i="120" s="1"/>
  <c r="U22" i="120" s="1"/>
  <c r="N21" i="120"/>
  <c r="O21" i="120" s="1"/>
  <c r="P21" i="120"/>
  <c r="R21" i="120"/>
  <c r="T21" i="120"/>
  <c r="R9" i="120"/>
  <c r="P9" i="120"/>
  <c r="N9" i="120"/>
  <c r="O9" i="120" s="1"/>
  <c r="T9" i="120"/>
  <c r="P11" i="120"/>
  <c r="T11" i="120"/>
  <c r="N11" i="120"/>
  <c r="R11" i="120"/>
  <c r="O11" i="120"/>
  <c r="Q11" i="120" s="1"/>
  <c r="S11" i="120" s="1"/>
  <c r="U11" i="120" s="1"/>
  <c r="T23" i="120"/>
  <c r="R23" i="120"/>
  <c r="N23" i="120"/>
  <c r="O23" i="120" s="1"/>
  <c r="P23" i="120"/>
  <c r="T15" i="120"/>
  <c r="N15" i="120"/>
  <c r="O15" i="120" s="1"/>
  <c r="P15" i="120"/>
  <c r="R15" i="120"/>
  <c r="N17" i="120"/>
  <c r="O17" i="120" s="1"/>
  <c r="P17" i="120"/>
  <c r="R17" i="120"/>
  <c r="T17" i="120"/>
  <c r="P17" i="121"/>
  <c r="T17" i="121"/>
  <c r="R17" i="121"/>
  <c r="L16" i="133"/>
  <c r="L18" i="132"/>
  <c r="J29" i="121"/>
  <c r="P11" i="132"/>
  <c r="R11" i="132"/>
  <c r="T11" i="132"/>
  <c r="N11" i="132"/>
  <c r="O11" i="132" s="1"/>
  <c r="Q11" i="132" s="1"/>
  <c r="S11" i="132" s="1"/>
  <c r="U11" i="132" s="1"/>
  <c r="P12" i="132"/>
  <c r="T12" i="132"/>
  <c r="R12" i="132"/>
  <c r="N12" i="132"/>
  <c r="O12" i="132" s="1"/>
  <c r="Q12" i="132" s="1"/>
  <c r="S12" i="132" s="1"/>
  <c r="T13" i="132"/>
  <c r="N13" i="132"/>
  <c r="O13" i="132" s="1"/>
  <c r="P13" i="132"/>
  <c r="R13" i="132"/>
  <c r="N14" i="132"/>
  <c r="O14" i="132" s="1"/>
  <c r="T14" i="132"/>
  <c r="P14" i="132"/>
  <c r="R14" i="132"/>
  <c r="R16" i="132"/>
  <c r="T16" i="132"/>
  <c r="P16" i="132"/>
  <c r="N16" i="132"/>
  <c r="O16" i="132" s="1"/>
  <c r="Q16" i="132" s="1"/>
  <c r="S16" i="132" s="1"/>
  <c r="N9" i="132"/>
  <c r="P9" i="132"/>
  <c r="R9" i="132"/>
  <c r="T9" i="132"/>
  <c r="P11" i="121"/>
  <c r="R16" i="120"/>
  <c r="N16" i="120"/>
  <c r="O16" i="120" s="1"/>
  <c r="M14" i="135"/>
  <c r="N14" i="135" s="1"/>
  <c r="P14" i="135" s="1"/>
  <c r="S14" i="135"/>
  <c r="Q14" i="135"/>
  <c r="Q13" i="135"/>
  <c r="S13" i="135"/>
  <c r="O13" i="135"/>
  <c r="S12" i="135"/>
  <c r="M12" i="135"/>
  <c r="N12" i="135" s="1"/>
  <c r="O12" i="135"/>
  <c r="K30" i="135"/>
  <c r="M10" i="135"/>
  <c r="N10" i="135" s="1"/>
  <c r="O10" i="135"/>
  <c r="Q10" i="135"/>
  <c r="L30" i="135"/>
  <c r="J30" i="135"/>
  <c r="S9" i="135"/>
  <c r="M9" i="135"/>
  <c r="O9" i="135"/>
  <c r="Y23" i="123"/>
  <c r="Z24" i="123"/>
  <c r="Z23" i="123" s="1"/>
  <c r="K8" i="123"/>
  <c r="R24" i="120"/>
  <c r="T24" i="120"/>
  <c r="N24" i="120"/>
  <c r="O24" i="120" s="1"/>
  <c r="P24" i="120"/>
  <c r="P16" i="120"/>
  <c r="T16" i="120"/>
  <c r="M16" i="133"/>
  <c r="P13" i="133"/>
  <c r="N13" i="133"/>
  <c r="O13" i="133" s="1"/>
  <c r="Q13" i="133" s="1"/>
  <c r="R13" i="133"/>
  <c r="T13" i="133"/>
  <c r="N10" i="133"/>
  <c r="P10" i="133"/>
  <c r="R22" i="121"/>
  <c r="T22" i="121"/>
  <c r="P22" i="121"/>
  <c r="T11" i="121"/>
  <c r="P25" i="121"/>
  <c r="R25" i="121"/>
  <c r="N25" i="121"/>
  <c r="O25" i="121" s="1"/>
  <c r="Q25" i="121" s="1"/>
  <c r="T25" i="121"/>
  <c r="I29" i="121"/>
  <c r="R11" i="121"/>
  <c r="K8" i="121"/>
  <c r="N22" i="121"/>
  <c r="O22" i="121" s="1"/>
  <c r="Q22" i="121" s="1"/>
  <c r="S22" i="121" s="1"/>
  <c r="U22" i="121" s="1"/>
  <c r="O17" i="121"/>
  <c r="R10" i="121"/>
  <c r="P10" i="121"/>
  <c r="N10" i="121"/>
  <c r="O10" i="121" s="1"/>
  <c r="N18" i="121"/>
  <c r="O18" i="121" s="1"/>
  <c r="R18" i="121"/>
  <c r="T18" i="121"/>
  <c r="P18" i="121"/>
  <c r="R14" i="121"/>
  <c r="P14" i="121"/>
  <c r="N14" i="121"/>
  <c r="O14" i="121"/>
  <c r="Q14" i="121" s="1"/>
  <c r="T14" i="121"/>
  <c r="R15" i="121"/>
  <c r="T15" i="121"/>
  <c r="P15" i="121"/>
  <c r="N15" i="121"/>
  <c r="O15" i="121"/>
  <c r="Q15" i="121" s="1"/>
  <c r="S15" i="121" s="1"/>
  <c r="N12" i="121"/>
  <c r="O12" i="121" s="1"/>
  <c r="R12" i="121"/>
  <c r="T12" i="121"/>
  <c r="K23" i="121"/>
  <c r="T24" i="121"/>
  <c r="K26" i="121"/>
  <c r="O24" i="121"/>
  <c r="R16" i="121"/>
  <c r="R24" i="121"/>
  <c r="P27" i="121"/>
  <c r="P24" i="121"/>
  <c r="N27" i="121"/>
  <c r="O27" i="121" s="1"/>
  <c r="Q27" i="121" s="1"/>
  <c r="T16" i="121"/>
  <c r="R27" i="121"/>
  <c r="N16" i="121"/>
  <c r="O16" i="121" s="1"/>
  <c r="O11" i="121"/>
  <c r="P16" i="121"/>
  <c r="T14" i="120"/>
  <c r="R14" i="120"/>
  <c r="P14" i="120"/>
  <c r="O14" i="120"/>
  <c r="K25" i="120"/>
  <c r="P12" i="121"/>
  <c r="M29" i="121"/>
  <c r="T9" i="121"/>
  <c r="N9" i="121"/>
  <c r="R9" i="121"/>
  <c r="P9" i="121"/>
  <c r="L29" i="121"/>
  <c r="P19" i="120"/>
  <c r="R19" i="120"/>
  <c r="N19" i="120"/>
  <c r="T19" i="120"/>
  <c r="M25" i="120"/>
  <c r="L25" i="120"/>
  <c r="P34" i="123"/>
  <c r="N34" i="123"/>
  <c r="O34" i="123" s="1"/>
  <c r="T34" i="123"/>
  <c r="R34" i="123"/>
  <c r="L18" i="123"/>
  <c r="K14" i="123"/>
  <c r="T32" i="123"/>
  <c r="R32" i="123"/>
  <c r="P32" i="123"/>
  <c r="N32" i="123"/>
  <c r="O32" i="123" s="1"/>
  <c r="T33" i="123"/>
  <c r="R33" i="123"/>
  <c r="P33" i="123"/>
  <c r="N33" i="123"/>
  <c r="O33" i="123" s="1"/>
  <c r="Q33" i="123" s="1"/>
  <c r="M9" i="123"/>
  <c r="T9" i="123" s="1"/>
  <c r="T16" i="123"/>
  <c r="T14" i="123" s="1"/>
  <c r="M14" i="123"/>
  <c r="R27" i="123"/>
  <c r="N27" i="123"/>
  <c r="O27" i="123" s="1"/>
  <c r="P27" i="123"/>
  <c r="T17" i="123"/>
  <c r="K18" i="123"/>
  <c r="P12" i="123"/>
  <c r="P17" i="123"/>
  <c r="L14" i="123"/>
  <c r="K25" i="123"/>
  <c r="R17" i="123"/>
  <c r="T27" i="123"/>
  <c r="K11" i="123"/>
  <c r="O35" i="123"/>
  <c r="O17" i="123"/>
  <c r="N10" i="123"/>
  <c r="R10" i="123"/>
  <c r="T10" i="123"/>
  <c r="P10" i="123"/>
  <c r="T13" i="123"/>
  <c r="P13" i="123"/>
  <c r="N13" i="123"/>
  <c r="O13" i="123" s="1"/>
  <c r="R13" i="123"/>
  <c r="T20" i="123"/>
  <c r="N20" i="123"/>
  <c r="O20" i="123" s="1"/>
  <c r="R20" i="123"/>
  <c r="P20" i="123"/>
  <c r="R29" i="123"/>
  <c r="N29" i="123"/>
  <c r="O29" i="123" s="1"/>
  <c r="T29" i="123"/>
  <c r="P29" i="123"/>
  <c r="P19" i="123"/>
  <c r="N19" i="123"/>
  <c r="O19" i="123" s="1"/>
  <c r="T28" i="123"/>
  <c r="T22" i="123"/>
  <c r="R12" i="123"/>
  <c r="N16" i="123"/>
  <c r="N14" i="123" s="1"/>
  <c r="R28" i="123"/>
  <c r="R16" i="123"/>
  <c r="R14" i="123" s="1"/>
  <c r="P28" i="123"/>
  <c r="T35" i="123"/>
  <c r="T19" i="123"/>
  <c r="P16" i="123"/>
  <c r="P14" i="123" s="1"/>
  <c r="N12" i="123"/>
  <c r="O12" i="123" s="1"/>
  <c r="N22" i="123"/>
  <c r="O22" i="123" s="1"/>
  <c r="Q22" i="123" s="1"/>
  <c r="O28" i="123"/>
  <c r="R22" i="123"/>
  <c r="R35" i="123"/>
  <c r="P35" i="123"/>
  <c r="M18" i="123"/>
  <c r="U9" i="133" l="1"/>
  <c r="R27" i="135"/>
  <c r="T27" i="135" s="1"/>
  <c r="R9" i="136"/>
  <c r="T9" i="136" s="1"/>
  <c r="V9" i="136"/>
  <c r="U9" i="136"/>
  <c r="Q16" i="131"/>
  <c r="Z17" i="131"/>
  <c r="R19" i="131"/>
  <c r="T19" i="131"/>
  <c r="S11" i="131"/>
  <c r="U11" i="131" s="1"/>
  <c r="S16" i="131"/>
  <c r="U16" i="131" s="1"/>
  <c r="U13" i="131"/>
  <c r="S12" i="131"/>
  <c r="U12" i="131" s="1"/>
  <c r="Q9" i="131"/>
  <c r="O19" i="131"/>
  <c r="P19" i="131"/>
  <c r="Q14" i="131"/>
  <c r="S14" i="131" s="1"/>
  <c r="U14" i="131" s="1"/>
  <c r="W15" i="131"/>
  <c r="Y15" i="131" s="1"/>
  <c r="V15" i="131"/>
  <c r="S10" i="131"/>
  <c r="U10" i="131" s="1"/>
  <c r="N19" i="131"/>
  <c r="W12" i="118"/>
  <c r="Y12" i="118" s="1"/>
  <c r="V12" i="118"/>
  <c r="V11" i="118"/>
  <c r="W11" i="118"/>
  <c r="Y11" i="118" s="1"/>
  <c r="P14" i="118"/>
  <c r="Q10" i="118"/>
  <c r="O14" i="118"/>
  <c r="U15" i="121"/>
  <c r="W15" i="121" s="1"/>
  <c r="Y15" i="121" s="1"/>
  <c r="Q17" i="121"/>
  <c r="S17" i="121" s="1"/>
  <c r="U17" i="121" s="1"/>
  <c r="V17" i="121" s="1"/>
  <c r="Z17" i="121" s="1"/>
  <c r="Q16" i="120"/>
  <c r="S16" i="120" s="1"/>
  <c r="W13" i="134"/>
  <c r="V13" i="134"/>
  <c r="V12" i="134" s="1"/>
  <c r="W9" i="134"/>
  <c r="V9" i="134"/>
  <c r="W11" i="134"/>
  <c r="V11" i="134"/>
  <c r="Y11" i="134"/>
  <c r="Y10" i="134" s="1"/>
  <c r="W10" i="134"/>
  <c r="V8" i="134"/>
  <c r="V10" i="134"/>
  <c r="Z11" i="134"/>
  <c r="Z10" i="134" s="1"/>
  <c r="W12" i="134"/>
  <c r="Y13" i="134"/>
  <c r="Y12" i="134" s="1"/>
  <c r="W8" i="134"/>
  <c r="W14" i="134" s="1"/>
  <c r="Y9" i="134"/>
  <c r="Y8" i="134" s="1"/>
  <c r="Z16" i="119"/>
  <c r="Q13" i="119"/>
  <c r="S13" i="119" s="1"/>
  <c r="Q15" i="119"/>
  <c r="S15" i="119" s="1"/>
  <c r="U15" i="119" s="1"/>
  <c r="S11" i="119"/>
  <c r="U11" i="119" s="1"/>
  <c r="V15" i="119"/>
  <c r="W15" i="119"/>
  <c r="V11" i="119"/>
  <c r="W11" i="119"/>
  <c r="Y11" i="119" s="1"/>
  <c r="V18" i="119"/>
  <c r="W18" i="119"/>
  <c r="Q20" i="119"/>
  <c r="S20" i="119" s="1"/>
  <c r="U20" i="119" s="1"/>
  <c r="T22" i="119"/>
  <c r="N22" i="119"/>
  <c r="U10" i="119"/>
  <c r="U13" i="119"/>
  <c r="P22" i="119"/>
  <c r="Q9" i="119"/>
  <c r="O22" i="119"/>
  <c r="U15" i="133"/>
  <c r="V15" i="133" s="1"/>
  <c r="Z15" i="133" s="1"/>
  <c r="V11" i="133"/>
  <c r="W11" i="133"/>
  <c r="Y11" i="133" s="1"/>
  <c r="V9" i="133"/>
  <c r="W9" i="133"/>
  <c r="Y9" i="133" s="1"/>
  <c r="W12" i="133"/>
  <c r="Y12" i="133" s="1"/>
  <c r="V12" i="133"/>
  <c r="U16" i="132"/>
  <c r="V16" i="132" s="1"/>
  <c r="Z16" i="132" s="1"/>
  <c r="Q13" i="132"/>
  <c r="S13" i="132" s="1"/>
  <c r="U13" i="132" s="1"/>
  <c r="V13" i="132" s="1"/>
  <c r="S14" i="133"/>
  <c r="U14" i="133" s="1"/>
  <c r="V14" i="133" s="1"/>
  <c r="S25" i="121"/>
  <c r="U25" i="121" s="1"/>
  <c r="P11" i="135"/>
  <c r="R11" i="135" s="1"/>
  <c r="T11" i="135" s="1"/>
  <c r="P15" i="135"/>
  <c r="R15" i="135" s="1"/>
  <c r="T15" i="135" s="1"/>
  <c r="Q11" i="121"/>
  <c r="S11" i="121" s="1"/>
  <c r="U11" i="121" s="1"/>
  <c r="Q18" i="120"/>
  <c r="S18" i="120" s="1"/>
  <c r="U18" i="120" s="1"/>
  <c r="R16" i="133"/>
  <c r="T16" i="133"/>
  <c r="M30" i="135"/>
  <c r="P29" i="135"/>
  <c r="R29" i="135" s="1"/>
  <c r="T29" i="135" s="1"/>
  <c r="U27" i="135"/>
  <c r="V27" i="135"/>
  <c r="X27" i="135" s="1"/>
  <c r="S30" i="135"/>
  <c r="P10" i="135"/>
  <c r="R10" i="135" s="1"/>
  <c r="T10" i="135" s="1"/>
  <c r="U10" i="135" s="1"/>
  <c r="P12" i="135"/>
  <c r="R12" i="135" s="1"/>
  <c r="T12" i="135" s="1"/>
  <c r="V12" i="135" s="1"/>
  <c r="X12" i="135" s="1"/>
  <c r="O30" i="135"/>
  <c r="Q30" i="135"/>
  <c r="P13" i="135"/>
  <c r="R13" i="135" s="1"/>
  <c r="T13" i="135" s="1"/>
  <c r="U13" i="135" s="1"/>
  <c r="R14" i="135"/>
  <c r="T14" i="135" s="1"/>
  <c r="U14" i="135" s="1"/>
  <c r="Q15" i="120"/>
  <c r="S15" i="120" s="1"/>
  <c r="U15" i="120" s="1"/>
  <c r="V15" i="120" s="1"/>
  <c r="Q21" i="120"/>
  <c r="S21" i="120" s="1"/>
  <c r="U21" i="120" s="1"/>
  <c r="W21" i="120" s="1"/>
  <c r="Y21" i="120" s="1"/>
  <c r="Q9" i="120"/>
  <c r="S9" i="120" s="1"/>
  <c r="Q13" i="120"/>
  <c r="S13" i="120" s="1"/>
  <c r="U13" i="120" s="1"/>
  <c r="W22" i="120"/>
  <c r="Y22" i="120" s="1"/>
  <c r="V22" i="120"/>
  <c r="V10" i="120"/>
  <c r="W10" i="120"/>
  <c r="Y10" i="120" s="1"/>
  <c r="V13" i="120"/>
  <c r="W13" i="120"/>
  <c r="Y13" i="120" s="1"/>
  <c r="V11" i="120"/>
  <c r="W11" i="120"/>
  <c r="Y11" i="120" s="1"/>
  <c r="U9" i="120"/>
  <c r="Q17" i="120"/>
  <c r="S17" i="120" s="1"/>
  <c r="U17" i="120" s="1"/>
  <c r="Q23" i="120"/>
  <c r="S23" i="120" s="1"/>
  <c r="U23" i="120" s="1"/>
  <c r="Q12" i="120"/>
  <c r="S12" i="120" s="1"/>
  <c r="U12" i="120" s="1"/>
  <c r="N16" i="133"/>
  <c r="P16" i="133"/>
  <c r="K37" i="123"/>
  <c r="N18" i="132"/>
  <c r="U12" i="132"/>
  <c r="V12" i="132" s="1"/>
  <c r="N25" i="120"/>
  <c r="S27" i="121"/>
  <c r="U27" i="121" s="1"/>
  <c r="V11" i="132"/>
  <c r="W11" i="132"/>
  <c r="Y11" i="132" s="1"/>
  <c r="Q14" i="132"/>
  <c r="S14" i="132" s="1"/>
  <c r="U14" i="132" s="1"/>
  <c r="O9" i="132"/>
  <c r="T18" i="132"/>
  <c r="R18" i="132"/>
  <c r="P18" i="132"/>
  <c r="U16" i="120"/>
  <c r="W16" i="120" s="1"/>
  <c r="Y16" i="120" s="1"/>
  <c r="N9" i="135"/>
  <c r="P9" i="123"/>
  <c r="Q34" i="123"/>
  <c r="Q19" i="123"/>
  <c r="S19" i="123" s="1"/>
  <c r="U19" i="123" s="1"/>
  <c r="V19" i="123" s="1"/>
  <c r="Q13" i="123"/>
  <c r="Q32" i="123"/>
  <c r="S32" i="123" s="1"/>
  <c r="U32" i="123" s="1"/>
  <c r="M8" i="123"/>
  <c r="M37" i="123" s="1"/>
  <c r="P8" i="123"/>
  <c r="S13" i="123"/>
  <c r="U13" i="123" s="1"/>
  <c r="V13" i="123" s="1"/>
  <c r="Z13" i="123" s="1"/>
  <c r="L37" i="123"/>
  <c r="N9" i="123"/>
  <c r="O9" i="123" s="1"/>
  <c r="Q9" i="123" s="1"/>
  <c r="S9" i="123" s="1"/>
  <c r="S34" i="123"/>
  <c r="U34" i="123" s="1"/>
  <c r="W34" i="123" s="1"/>
  <c r="Y34" i="123" s="1"/>
  <c r="T8" i="123"/>
  <c r="O10" i="123"/>
  <c r="Q10" i="123" s="1"/>
  <c r="S10" i="123" s="1"/>
  <c r="U10" i="123" s="1"/>
  <c r="Q24" i="120"/>
  <c r="S24" i="120" s="1"/>
  <c r="U24" i="120" s="1"/>
  <c r="W24" i="120" s="1"/>
  <c r="Y24" i="120" s="1"/>
  <c r="S13" i="133"/>
  <c r="U13" i="133" s="1"/>
  <c r="O10" i="133"/>
  <c r="Q12" i="121"/>
  <c r="S14" i="121"/>
  <c r="V22" i="121"/>
  <c r="W22" i="121"/>
  <c r="Y22" i="121" s="1"/>
  <c r="Y21" i="121" s="1"/>
  <c r="S12" i="121"/>
  <c r="U12" i="121" s="1"/>
  <c r="W12" i="121" s="1"/>
  <c r="Y12" i="121" s="1"/>
  <c r="U14" i="121"/>
  <c r="Q16" i="121"/>
  <c r="S16" i="121" s="1"/>
  <c r="U16" i="121" s="1"/>
  <c r="K29" i="121"/>
  <c r="Q18" i="121"/>
  <c r="S18" i="121" s="1"/>
  <c r="U18" i="121" s="1"/>
  <c r="W18" i="121" s="1"/>
  <c r="Y18" i="121" s="1"/>
  <c r="Q10" i="121"/>
  <c r="S10" i="121" s="1"/>
  <c r="U10" i="121" s="1"/>
  <c r="V16" i="121"/>
  <c r="W16" i="121"/>
  <c r="Y16" i="121" s="1"/>
  <c r="W14" i="121"/>
  <c r="Y14" i="121" s="1"/>
  <c r="V14" i="121"/>
  <c r="R29" i="121"/>
  <c r="V21" i="121"/>
  <c r="Q24" i="121"/>
  <c r="S24" i="121" s="1"/>
  <c r="U24" i="121" s="1"/>
  <c r="P29" i="121"/>
  <c r="V27" i="121"/>
  <c r="W27" i="121"/>
  <c r="T29" i="121"/>
  <c r="N29" i="121"/>
  <c r="P25" i="120"/>
  <c r="T25" i="120"/>
  <c r="R25" i="120"/>
  <c r="Q14" i="120"/>
  <c r="S14" i="120" s="1"/>
  <c r="U14" i="120" s="1"/>
  <c r="V14" i="120" s="1"/>
  <c r="O9" i="121"/>
  <c r="O19" i="120"/>
  <c r="S33" i="123"/>
  <c r="U33" i="123" s="1"/>
  <c r="W33" i="123" s="1"/>
  <c r="Y33" i="123" s="1"/>
  <c r="Q35" i="123"/>
  <c r="S35" i="123" s="1"/>
  <c r="U35" i="123" s="1"/>
  <c r="V35" i="123" s="1"/>
  <c r="R9" i="123"/>
  <c r="Q12" i="123"/>
  <c r="S12" i="123" s="1"/>
  <c r="U12" i="123" s="1"/>
  <c r="S22" i="123"/>
  <c r="U22" i="123" s="1"/>
  <c r="V22" i="123" s="1"/>
  <c r="Q27" i="123"/>
  <c r="S27" i="123" s="1"/>
  <c r="Q17" i="123"/>
  <c r="S17" i="123" s="1"/>
  <c r="U17" i="123" s="1"/>
  <c r="Q28" i="123"/>
  <c r="S28" i="123" s="1"/>
  <c r="U28" i="123" s="1"/>
  <c r="R8" i="123"/>
  <c r="Q29" i="123"/>
  <c r="S29" i="123" s="1"/>
  <c r="U29" i="123" s="1"/>
  <c r="W29" i="123" s="1"/>
  <c r="Y29" i="123" s="1"/>
  <c r="U27" i="123"/>
  <c r="Q20" i="123"/>
  <c r="S20" i="123" s="1"/>
  <c r="U20" i="123" s="1"/>
  <c r="V20" i="123" s="1"/>
  <c r="Z20" i="123" s="1"/>
  <c r="T18" i="123"/>
  <c r="O18" i="123"/>
  <c r="O16" i="123"/>
  <c r="R18" i="123"/>
  <c r="P18" i="123"/>
  <c r="N18" i="123"/>
  <c r="W13" i="132" l="1"/>
  <c r="Y13" i="132" s="1"/>
  <c r="U11" i="136"/>
  <c r="X9" i="136"/>
  <c r="X11" i="136" s="1"/>
  <c r="V11" i="136"/>
  <c r="W11" i="131"/>
  <c r="Y11" i="131" s="1"/>
  <c r="V11" i="131"/>
  <c r="W10" i="131"/>
  <c r="Y10" i="131" s="1"/>
  <c r="V10" i="131"/>
  <c r="Z15" i="131"/>
  <c r="W12" i="131"/>
  <c r="Y12" i="131" s="1"/>
  <c r="V12" i="131"/>
  <c r="W13" i="131"/>
  <c r="Y13" i="131" s="1"/>
  <c r="V13" i="131"/>
  <c r="Z13" i="131" s="1"/>
  <c r="V14" i="131"/>
  <c r="W14" i="131"/>
  <c r="Y14" i="131" s="1"/>
  <c r="S9" i="131"/>
  <c r="Q19" i="131"/>
  <c r="V16" i="131"/>
  <c r="W16" i="131"/>
  <c r="Y16" i="131" s="1"/>
  <c r="Z11" i="118"/>
  <c r="Z12" i="118"/>
  <c r="S10" i="118"/>
  <c r="Q14" i="118"/>
  <c r="V15" i="121"/>
  <c r="V12" i="121"/>
  <c r="Y14" i="134"/>
  <c r="Z9" i="134"/>
  <c r="Z8" i="134" s="1"/>
  <c r="Z13" i="134"/>
  <c r="Z12" i="134" s="1"/>
  <c r="V14" i="134"/>
  <c r="S9" i="119"/>
  <c r="Q22" i="119"/>
  <c r="W13" i="119"/>
  <c r="V13" i="119"/>
  <c r="W10" i="119"/>
  <c r="Y10" i="119" s="1"/>
  <c r="V10" i="119"/>
  <c r="Z10" i="119" s="1"/>
  <c r="W17" i="119"/>
  <c r="Y18" i="119"/>
  <c r="Y17" i="119" s="1"/>
  <c r="V17" i="119"/>
  <c r="Z18" i="119"/>
  <c r="Z17" i="119" s="1"/>
  <c r="Y15" i="119"/>
  <c r="Y14" i="119" s="1"/>
  <c r="W14" i="119"/>
  <c r="Z11" i="119"/>
  <c r="V14" i="119"/>
  <c r="Z15" i="119"/>
  <c r="Z14" i="119" s="1"/>
  <c r="Z12" i="133"/>
  <c r="W14" i="133"/>
  <c r="Y14" i="133" s="1"/>
  <c r="Z9" i="133"/>
  <c r="Z11" i="133"/>
  <c r="U29" i="135"/>
  <c r="V29" i="135"/>
  <c r="X29" i="135" s="1"/>
  <c r="W12" i="132"/>
  <c r="Y12" i="132" s="1"/>
  <c r="Z12" i="132" s="1"/>
  <c r="V33" i="123"/>
  <c r="Z33" i="123" s="1"/>
  <c r="Z14" i="133"/>
  <c r="V10" i="135"/>
  <c r="X10" i="135" s="1"/>
  <c r="Y10" i="135" s="1"/>
  <c r="W11" i="121"/>
  <c r="Y11" i="121" s="1"/>
  <c r="V11" i="121"/>
  <c r="V21" i="120"/>
  <c r="Z21" i="120" s="1"/>
  <c r="V18" i="121"/>
  <c r="Z18" i="121" s="1"/>
  <c r="U12" i="135"/>
  <c r="Y12" i="135" s="1"/>
  <c r="V13" i="135"/>
  <c r="X13" i="135" s="1"/>
  <c r="Y13" i="135" s="1"/>
  <c r="V14" i="135"/>
  <c r="X14" i="135" s="1"/>
  <c r="Y14" i="135" s="1"/>
  <c r="V11" i="135"/>
  <c r="X11" i="135" s="1"/>
  <c r="U11" i="135"/>
  <c r="Y27" i="135"/>
  <c r="U15" i="135"/>
  <c r="V15" i="135"/>
  <c r="X15" i="135" s="1"/>
  <c r="W15" i="120"/>
  <c r="Y15" i="120" s="1"/>
  <c r="Z15" i="120" s="1"/>
  <c r="V23" i="120"/>
  <c r="W23" i="120"/>
  <c r="Y23" i="120" s="1"/>
  <c r="Z23" i="120" s="1"/>
  <c r="W9" i="120"/>
  <c r="Y9" i="120" s="1"/>
  <c r="V9" i="120"/>
  <c r="V16" i="120"/>
  <c r="Z16" i="120" s="1"/>
  <c r="Z22" i="120"/>
  <c r="V17" i="120"/>
  <c r="W17" i="120"/>
  <c r="Y17" i="120" s="1"/>
  <c r="Z13" i="120"/>
  <c r="W12" i="120"/>
  <c r="Y12" i="120" s="1"/>
  <c r="V12" i="120"/>
  <c r="V18" i="120"/>
  <c r="W18" i="120"/>
  <c r="Y18" i="120" s="1"/>
  <c r="Z11" i="120"/>
  <c r="Z10" i="120"/>
  <c r="O8" i="123"/>
  <c r="Z13" i="132"/>
  <c r="O18" i="132"/>
  <c r="Q9" i="132"/>
  <c r="V14" i="132"/>
  <c r="W14" i="132"/>
  <c r="Y14" i="132" s="1"/>
  <c r="Z11" i="132"/>
  <c r="Z11" i="121"/>
  <c r="P9" i="135"/>
  <c r="N30" i="135"/>
  <c r="P37" i="123"/>
  <c r="Q8" i="123"/>
  <c r="V34" i="123"/>
  <c r="Z34" i="123" s="1"/>
  <c r="N8" i="123"/>
  <c r="N37" i="123" s="1"/>
  <c r="T37" i="123"/>
  <c r="V24" i="120"/>
  <c r="Z24" i="120" s="1"/>
  <c r="W14" i="120"/>
  <c r="Y14" i="120" s="1"/>
  <c r="Z14" i="120" s="1"/>
  <c r="W13" i="133"/>
  <c r="Y13" i="133" s="1"/>
  <c r="V13" i="133"/>
  <c r="O16" i="133"/>
  <c r="Q10" i="133"/>
  <c r="Z15" i="121"/>
  <c r="W21" i="121"/>
  <c r="Z16" i="121"/>
  <c r="V10" i="121"/>
  <c r="W10" i="121"/>
  <c r="Y10" i="121" s="1"/>
  <c r="W25" i="121"/>
  <c r="Y25" i="121" s="1"/>
  <c r="V25" i="121"/>
  <c r="Y27" i="121"/>
  <c r="Y26" i="121" s="1"/>
  <c r="W26" i="121"/>
  <c r="Z14" i="121"/>
  <c r="W24" i="121"/>
  <c r="V24" i="121"/>
  <c r="Z22" i="121"/>
  <c r="Z21" i="121" s="1"/>
  <c r="V26" i="121"/>
  <c r="Z27" i="121"/>
  <c r="Z26" i="121" s="1"/>
  <c r="Z12" i="121"/>
  <c r="O29" i="121"/>
  <c r="Q9" i="121"/>
  <c r="Q19" i="120"/>
  <c r="O25" i="120"/>
  <c r="W19" i="123"/>
  <c r="Y19" i="123" s="1"/>
  <c r="Z19" i="123" s="1"/>
  <c r="W22" i="123"/>
  <c r="W21" i="123" s="1"/>
  <c r="W32" i="123"/>
  <c r="Y32" i="123" s="1"/>
  <c r="V32" i="123"/>
  <c r="V29" i="123"/>
  <c r="Z29" i="123" s="1"/>
  <c r="V17" i="123"/>
  <c r="W17" i="123"/>
  <c r="R37" i="123"/>
  <c r="W35" i="123"/>
  <c r="Y35" i="123" s="1"/>
  <c r="Z35" i="123" s="1"/>
  <c r="W27" i="123"/>
  <c r="Y27" i="123" s="1"/>
  <c r="V27" i="123"/>
  <c r="S8" i="123"/>
  <c r="U9" i="123"/>
  <c r="V10" i="123"/>
  <c r="W10" i="123"/>
  <c r="Y10" i="123" s="1"/>
  <c r="O14" i="123"/>
  <c r="O37" i="123" s="1"/>
  <c r="Q16" i="123"/>
  <c r="Q18" i="123"/>
  <c r="V28" i="123"/>
  <c r="W28" i="123"/>
  <c r="Y28" i="123" s="1"/>
  <c r="V12" i="123"/>
  <c r="W12" i="123"/>
  <c r="V21" i="123"/>
  <c r="Y29" i="135" l="1"/>
  <c r="Y9" i="136"/>
  <c r="Y11" i="136" s="1"/>
  <c r="Z12" i="131"/>
  <c r="Z11" i="131"/>
  <c r="Z16" i="131"/>
  <c r="U9" i="131"/>
  <c r="S19" i="131"/>
  <c r="Z10" i="131"/>
  <c r="Z14" i="131"/>
  <c r="U10" i="118"/>
  <c r="S14" i="118"/>
  <c r="Z9" i="120"/>
  <c r="Z14" i="134"/>
  <c r="V12" i="119"/>
  <c r="Y13" i="119"/>
  <c r="Y12" i="119" s="1"/>
  <c r="W12" i="119"/>
  <c r="U9" i="119"/>
  <c r="S22" i="119"/>
  <c r="Z25" i="121"/>
  <c r="Y11" i="135"/>
  <c r="Y15" i="135"/>
  <c r="Z12" i="120"/>
  <c r="Z18" i="120"/>
  <c r="Z17" i="120"/>
  <c r="Q18" i="132"/>
  <c r="S9" i="132"/>
  <c r="Z14" i="132"/>
  <c r="R9" i="135"/>
  <c r="P30" i="135"/>
  <c r="Z32" i="123"/>
  <c r="Z27" i="123"/>
  <c r="Y22" i="123"/>
  <c r="Y21" i="123" s="1"/>
  <c r="Z13" i="133"/>
  <c r="Q16" i="133"/>
  <c r="S10" i="133"/>
  <c r="Z10" i="121"/>
  <c r="V23" i="121"/>
  <c r="Y24" i="121"/>
  <c r="Y23" i="121" s="1"/>
  <c r="W23" i="121"/>
  <c r="S9" i="121"/>
  <c r="Q29" i="121"/>
  <c r="S19" i="120"/>
  <c r="Q25" i="120"/>
  <c r="Y17" i="123"/>
  <c r="Y14" i="123" s="1"/>
  <c r="W14" i="123"/>
  <c r="Y12" i="123"/>
  <c r="Y11" i="123" s="1"/>
  <c r="W11" i="123"/>
  <c r="V11" i="123"/>
  <c r="Z28" i="123"/>
  <c r="S18" i="123"/>
  <c r="Y25" i="123"/>
  <c r="W25" i="123"/>
  <c r="W9" i="123"/>
  <c r="V9" i="123"/>
  <c r="U8" i="123"/>
  <c r="Q14" i="123"/>
  <c r="Q37" i="123" s="1"/>
  <c r="S16" i="123"/>
  <c r="V25" i="123"/>
  <c r="Z10" i="123"/>
  <c r="U19" i="131" l="1"/>
  <c r="V9" i="131"/>
  <c r="W9" i="131"/>
  <c r="W10" i="118"/>
  <c r="V10" i="118"/>
  <c r="U14" i="118"/>
  <c r="Z22" i="123"/>
  <c r="Z21" i="123" s="1"/>
  <c r="Z13" i="119"/>
  <c r="Z12" i="119" s="1"/>
  <c r="U22" i="119"/>
  <c r="V9" i="119"/>
  <c r="W9" i="119"/>
  <c r="Z12" i="123"/>
  <c r="Z11" i="123" s="1"/>
  <c r="S18" i="132"/>
  <c r="U9" i="132"/>
  <c r="R30" i="135"/>
  <c r="T9" i="135"/>
  <c r="Z25" i="123"/>
  <c r="S16" i="133"/>
  <c r="U10" i="133"/>
  <c r="Z24" i="121"/>
  <c r="Z23" i="121" s="1"/>
  <c r="S29" i="121"/>
  <c r="U9" i="121"/>
  <c r="S25" i="120"/>
  <c r="U19" i="120"/>
  <c r="Z17" i="123"/>
  <c r="V8" i="123"/>
  <c r="U16" i="123"/>
  <c r="S14" i="123"/>
  <c r="S37" i="123" s="1"/>
  <c r="W8" i="123"/>
  <c r="Y9" i="123"/>
  <c r="Y8" i="123" s="1"/>
  <c r="U18" i="123"/>
  <c r="Y9" i="131" l="1"/>
  <c r="Y19" i="131" s="1"/>
  <c r="W19" i="131"/>
  <c r="Z9" i="131"/>
  <c r="Z19" i="131" s="1"/>
  <c r="V19" i="131"/>
  <c r="V14" i="118"/>
  <c r="W14" i="118"/>
  <c r="Y10" i="118"/>
  <c r="Y14" i="118" s="1"/>
  <c r="W8" i="119"/>
  <c r="W22" i="119" s="1"/>
  <c r="Y9" i="119"/>
  <c r="Y8" i="119" s="1"/>
  <c r="Y22" i="119" s="1"/>
  <c r="V8" i="119"/>
  <c r="V22" i="119" s="1"/>
  <c r="Z9" i="119"/>
  <c r="Z8" i="119" s="1"/>
  <c r="Z22" i="119" s="1"/>
  <c r="W9" i="132"/>
  <c r="V9" i="132"/>
  <c r="U18" i="132"/>
  <c r="T30" i="135"/>
  <c r="V9" i="135"/>
  <c r="U9" i="135"/>
  <c r="V10" i="133"/>
  <c r="W10" i="133"/>
  <c r="U16" i="133"/>
  <c r="W9" i="121"/>
  <c r="U29" i="121"/>
  <c r="V9" i="121"/>
  <c r="V19" i="120"/>
  <c r="W19" i="120"/>
  <c r="U25" i="120"/>
  <c r="V18" i="123"/>
  <c r="W18" i="123"/>
  <c r="W37" i="123" s="1"/>
  <c r="Y18" i="123"/>
  <c r="Y37" i="123" s="1"/>
  <c r="V16" i="123"/>
  <c r="U14" i="123"/>
  <c r="U37" i="123" s="1"/>
  <c r="Z9" i="123"/>
  <c r="Z8" i="123" s="1"/>
  <c r="Z10" i="118" l="1"/>
  <c r="Z14" i="118" s="1"/>
  <c r="V18" i="132"/>
  <c r="W18" i="132"/>
  <c r="Y9" i="132"/>
  <c r="Y18" i="132" s="1"/>
  <c r="U30" i="135"/>
  <c r="Y9" i="135"/>
  <c r="Y30" i="135" s="1"/>
  <c r="X9" i="135"/>
  <c r="X30" i="135" s="1"/>
  <c r="V30" i="135"/>
  <c r="W16" i="133"/>
  <c r="Y10" i="133"/>
  <c r="Y16" i="133" s="1"/>
  <c r="V16" i="133"/>
  <c r="V8" i="121"/>
  <c r="V29" i="121" s="1"/>
  <c r="W8" i="121"/>
  <c r="W29" i="121" s="1"/>
  <c r="Y9" i="121"/>
  <c r="Y8" i="121" s="1"/>
  <c r="Y29" i="121" s="1"/>
  <c r="W25" i="120"/>
  <c r="Y19" i="120"/>
  <c r="Y25" i="120" s="1"/>
  <c r="V25" i="120"/>
  <c r="V14" i="123"/>
  <c r="V37" i="123" s="1"/>
  <c r="Z16" i="123"/>
  <c r="Z14" i="123" s="1"/>
  <c r="Z18" i="123"/>
  <c r="Z37" i="123" l="1"/>
  <c r="Z10" i="133"/>
  <c r="Z16" i="133" s="1"/>
  <c r="Z9" i="132"/>
  <c r="Z18" i="132" s="1"/>
  <c r="Z9" i="121"/>
  <c r="Z8" i="121" s="1"/>
  <c r="Z29" i="121" s="1"/>
  <c r="Z19" i="120"/>
  <c r="Z25" i="120" s="1"/>
</calcChain>
</file>

<file path=xl/sharedStrings.xml><?xml version="1.0" encoding="utf-8"?>
<sst xmlns="http://schemas.openxmlformats.org/spreadsheetml/2006/main" count="1181" uniqueCount="377">
  <si>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</si>
  <si>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</si>
  <si>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</si>
  <si>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</si>
  <si>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</si>
  <si>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</si>
  <si>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</si>
  <si>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</si>
  <si>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</si>
  <si>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</si>
  <si>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</si>
  <si>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</si>
  <si>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</si>
  <si>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</si>
  <si>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</si>
  <si>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</si>
  <si>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</si>
  <si>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</si>
  <si>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</si>
  <si>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</si>
  <si>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</si>
  <si>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</si>
  <si>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</si>
  <si>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</si>
  <si>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</si>
  <si>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</si>
  <si>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</si>
  <si>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</si>
  <si>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</si>
  <si>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</si>
  <si>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</si>
  <si>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</si>
  <si>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</si>
  <si>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</si>
  <si>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</si>
  <si>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</si>
  <si>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</si>
  <si>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</si>
  <si>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</si>
  <si>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</si>
  <si>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</si>
  <si>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</si>
  <si>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</si>
  <si>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</si>
  <si>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</si>
  <si>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</si>
  <si>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</si>
  <si>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</si>
  <si>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</si>
  <si>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</si>
  <si>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</si>
  <si>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</si>
  <si>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</si>
  <si>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</si>
  <si>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</si>
  <si>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</si>
  <si>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</si>
  <si>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</si>
  <si>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</si>
  <si>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</si>
  <si>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</si>
  <si>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</si>
  <si>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</si>
  <si>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</si>
  <si>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</si>
  <si>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</si>
  <si>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</si>
  <si>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</si>
  <si>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</si>
  <si>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</si>
  <si>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</si>
  <si>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</si>
  <si>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</si>
  <si>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</si>
  <si>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</si>
  <si>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</si>
  <si>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</si>
  <si>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</si>
  <si>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</si>
  <si>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</si>
  <si>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</si>
  <si>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DIRECTOR DE CATASTRO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</si>
  <si>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</si>
  <si>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</si>
  <si>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</si>
  <si>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</si>
  <si>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</si>
  <si>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</si>
  <si>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</si>
  <si>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</si>
  <si>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</si>
  <si>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</si>
  <si>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</si>
  <si>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SOFIA CASTRO AVELAR</t>
  </si>
  <si>
    <t>CESAR JESUS LANDEROS MORA</t>
  </si>
  <si>
    <t>DIRECTORA DEL INSTITUTO MUNICIPAL DE LA MUJER</t>
  </si>
  <si>
    <t>Núm de Empleado</t>
  </si>
  <si>
    <t>AFANADOR PARQUE LA ISLA</t>
  </si>
  <si>
    <t>052</t>
  </si>
  <si>
    <t>002</t>
  </si>
  <si>
    <t>088</t>
  </si>
  <si>
    <t>N°</t>
  </si>
  <si>
    <t>007</t>
  </si>
  <si>
    <t>102</t>
  </si>
  <si>
    <t>105</t>
  </si>
  <si>
    <t>HACIENDA PÚBLICA MPAL</t>
  </si>
  <si>
    <t>111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</si>
  <si>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</si>
  <si>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</si>
  <si>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</si>
  <si>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</si>
  <si>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</si>
  <si>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</si>
  <si>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</si>
  <si>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</si>
  <si>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</si>
  <si>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</si>
  <si>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</si>
  <si>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</si>
  <si>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</si>
  <si>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</si>
  <si>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SAUL CASTRO CASTAÑEDA</t>
  </si>
  <si>
    <t>PARAMÉDICO</t>
  </si>
  <si>
    <t>CHOFER AMBULANCIA</t>
  </si>
  <si>
    <t>SERVICIOS MÉDICOS MUNICIPALES</t>
  </si>
  <si>
    <t>153</t>
  </si>
  <si>
    <t>FRED DE JESUS VILLALOBOS CASTILLO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</si>
  <si>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</si>
  <si>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</si>
  <si>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</si>
  <si>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</si>
  <si>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</si>
  <si>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</si>
  <si>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</si>
  <si>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EDUARDO ROBLES CORONA</t>
  </si>
  <si>
    <t>158</t>
  </si>
  <si>
    <t>168</t>
  </si>
  <si>
    <t>173</t>
  </si>
  <si>
    <t>184</t>
  </si>
  <si>
    <t>MARCOS NUÑEZ SILVA</t>
  </si>
  <si>
    <t>JORGE CASTRO SANDOVAL</t>
  </si>
  <si>
    <t>DAVID CASTRO RAMIREZ</t>
  </si>
  <si>
    <t>AXILIAR DE ELECTRICISTA</t>
  </si>
  <si>
    <t>CHOFER DE ASEO PUBLICO</t>
  </si>
  <si>
    <t>SANTIAGO SOLIS CASILLAS</t>
  </si>
  <si>
    <t>195</t>
  </si>
  <si>
    <t>198</t>
  </si>
  <si>
    <t>210</t>
  </si>
  <si>
    <t>ENCARGADA DEL COMEDOR ESCOLAR</t>
  </si>
  <si>
    <t>MARIO AVILA AVILA</t>
  </si>
  <si>
    <t>220</t>
  </si>
  <si>
    <t>226</t>
  </si>
  <si>
    <t>HERIBERTA AVILA VEGA</t>
  </si>
  <si>
    <t>015</t>
  </si>
  <si>
    <t>248</t>
  </si>
  <si>
    <t>GILBERTO CASTRO BALTIERRA</t>
  </si>
  <si>
    <t>EMILIA RAMIREZ CASTRO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</si>
  <si>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</si>
  <si>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</si>
  <si>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</si>
  <si>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</si>
  <si>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</si>
  <si>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</si>
  <si>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</si>
  <si>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</si>
  <si>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</si>
  <si>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</si>
  <si>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</si>
  <si>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SECRETARIA HACIENDA MUNICIPAL</t>
  </si>
  <si>
    <t>270</t>
  </si>
  <si>
    <t>271</t>
  </si>
  <si>
    <t>ROSA ESMERALDA SANDOVAL MACHUCA</t>
  </si>
  <si>
    <t>MARGARITA SOLIS CASILLAS</t>
  </si>
  <si>
    <t>VICTORIANO SANDOVAL FLORES</t>
  </si>
  <si>
    <t>194</t>
  </si>
  <si>
    <t>EFRAIN SILVA NUÑEZ</t>
  </si>
  <si>
    <t>AFANADORA PRESIDENCIA MUNICIPAL</t>
  </si>
  <si>
    <t>136</t>
  </si>
  <si>
    <t>SINDICO MUNICIPAL</t>
  </si>
  <si>
    <t>CHOFER DE AUTOBUS</t>
  </si>
  <si>
    <t>SUPERVISOR DE TURNO</t>
  </si>
  <si>
    <t>296</t>
  </si>
  <si>
    <t>RAMIRO CASTRO HORTA</t>
  </si>
  <si>
    <t>JOSE BLANCO FRIAS</t>
  </si>
  <si>
    <t>MECANICO MUNICIPAL</t>
  </si>
  <si>
    <t>032</t>
  </si>
  <si>
    <t>298</t>
  </si>
  <si>
    <t>SECRETARIA DE PROYECTOS PRODUCTIVOS</t>
  </si>
  <si>
    <t>AUXILIAR DEL REGISTRO CIVIL</t>
  </si>
  <si>
    <t>ANGELBERTO CASILLAS SOLIS</t>
  </si>
  <si>
    <t>CULTURA</t>
  </si>
  <si>
    <t>ISR Salarios</t>
  </si>
  <si>
    <t>ALICIA CASTRO CASTRO</t>
  </si>
  <si>
    <t>307</t>
  </si>
  <si>
    <t>FEHA DE INGRESO</t>
  </si>
  <si>
    <t>FECHA DE INGRESO</t>
  </si>
  <si>
    <t>113</t>
  </si>
  <si>
    <t>MA. GUADALUPE CASTRO RAMIREZ</t>
  </si>
  <si>
    <t>CESAR ALBERTO GUZMAN LOPEZ</t>
  </si>
  <si>
    <t>315</t>
  </si>
  <si>
    <t>AGUSTIN ROBLES LUNA</t>
  </si>
  <si>
    <t>318</t>
  </si>
  <si>
    <t>PEDRO RAMIREZ CONTRERAS</t>
  </si>
  <si>
    <t>323</t>
  </si>
  <si>
    <t>326</t>
  </si>
  <si>
    <t>TURISMO</t>
  </si>
  <si>
    <t>LUZ MARIA GARCIA LOPEZ</t>
  </si>
  <si>
    <t>DIRECTORA MEDIOS AUDIOVISUALES</t>
  </si>
  <si>
    <t>AFANADOR UNIDAD DEPORTIVA</t>
  </si>
  <si>
    <t>J JESUS PEREZ RODRIGUEZ</t>
  </si>
  <si>
    <t>027</t>
  </si>
  <si>
    <t>HORTENCIA SANDOVAL GONZALEZ</t>
  </si>
  <si>
    <t>SECRETARIA DE OBRAS PÚBLICAS</t>
  </si>
  <si>
    <t>327</t>
  </si>
  <si>
    <t>335</t>
  </si>
  <si>
    <t>LUIS ENRIQUE GARCIA PEREZ</t>
  </si>
  <si>
    <t>336</t>
  </si>
  <si>
    <t>LAURA AZUCENA AVILA ORTEGA</t>
  </si>
  <si>
    <t>AFANADORA CASA CULTURA</t>
  </si>
  <si>
    <t>341</t>
  </si>
  <si>
    <t>342</t>
  </si>
  <si>
    <t>GUSTAVO GUTIERREZ LANDEROS</t>
  </si>
  <si>
    <t>AUXILIAR MEDIOS AUDIOVISUALES</t>
  </si>
  <si>
    <t>DIRECTORA DE PROYECTOS PRODUCTIVOS</t>
  </si>
  <si>
    <t>SUELDO  DEL 01 AL 15 DE OCTUBRE DE 2023</t>
  </si>
  <si>
    <t>245</t>
  </si>
  <si>
    <t>DAVID CASTRO AVILA</t>
  </si>
  <si>
    <t>344</t>
  </si>
  <si>
    <t xml:space="preserve"> </t>
  </si>
  <si>
    <t>346</t>
  </si>
  <si>
    <t>347</t>
  </si>
  <si>
    <t>348</t>
  </si>
  <si>
    <t>349</t>
  </si>
  <si>
    <t>350</t>
  </si>
  <si>
    <t>351</t>
  </si>
  <si>
    <t>MARIA VIRGINIA ESPARZA REYNOSO</t>
  </si>
  <si>
    <t>SE APLICARON CAMBIOS EN SUBSIDIO AL EMPLEO POR DECRETO PRESIDENCIAL DEL 01 MAY 2024</t>
  </si>
  <si>
    <t>356</t>
  </si>
  <si>
    <t>359</t>
  </si>
  <si>
    <t>COMPUTO E INFÓRMATICA</t>
  </si>
  <si>
    <t>AUXILIAR DE COMPUTACION</t>
  </si>
  <si>
    <t>360</t>
  </si>
  <si>
    <t>ENRIQUE CASTRO CASTRO</t>
  </si>
  <si>
    <t>361</t>
  </si>
  <si>
    <t>ISAIAS AGUILAR CASTRO</t>
  </si>
  <si>
    <t>AUXILIAR</t>
  </si>
  <si>
    <t>362</t>
  </si>
  <si>
    <t>363</t>
  </si>
  <si>
    <t>366</t>
  </si>
  <si>
    <t>06</t>
  </si>
  <si>
    <t>HECTOR ALEJANDRO VILLALOBOS GARCIA</t>
  </si>
  <si>
    <t>ALONSO CASILLAS GARCIA</t>
  </si>
  <si>
    <t>367</t>
  </si>
  <si>
    <t>KARINA GUZMAN CARDONA</t>
  </si>
  <si>
    <t>378</t>
  </si>
  <si>
    <t>013</t>
  </si>
  <si>
    <t>YADIRA SARAY OROZCO VILLALOBOS</t>
  </si>
  <si>
    <t>IORI MANUEL CASTILLO ALVAREZ</t>
  </si>
  <si>
    <t>384</t>
  </si>
  <si>
    <t>AUXILIAR  DE BIBLIOTECA MUNICIPAL</t>
  </si>
  <si>
    <t>YULISSA MAGALLANES CASTRO</t>
  </si>
  <si>
    <t>TATIANA ESTEPHANY GONZALEZ CASTRO</t>
  </si>
  <si>
    <t>379</t>
  </si>
  <si>
    <t>AFANADORA DE LA PLAZA PRINCIPAL</t>
  </si>
  <si>
    <t>J GUADALUPE IBARRA RODRIGUEZ</t>
  </si>
  <si>
    <t>DIRECTOR DEL RASTRO</t>
  </si>
  <si>
    <t>GABRIELA CASTRO RAMIREZ</t>
  </si>
  <si>
    <t>375</t>
  </si>
  <si>
    <t>MAURICIO CASTRO CASTRO</t>
  </si>
  <si>
    <t>370</t>
  </si>
  <si>
    <t>369</t>
  </si>
  <si>
    <t>DEPORTE</t>
  </si>
  <si>
    <t>299</t>
  </si>
  <si>
    <t>JORGE ALBERTO CASTRO RODRIGUEZ</t>
  </si>
  <si>
    <t>DIRECTOR DE DEPORTE</t>
  </si>
  <si>
    <t>PAULO CASTRO SANDOVAL</t>
  </si>
  <si>
    <t>386</t>
  </si>
  <si>
    <t>EFRAIN RAMIREZ CASTRO</t>
  </si>
  <si>
    <t>MARÍA DE LOURDES ALVARADO CONTRERAS</t>
  </si>
  <si>
    <t>JUAN JOSÉ MARIZCAL FLORES</t>
  </si>
  <si>
    <t xml:space="preserve">FIDEL FLORES RODRÍGUEZ </t>
  </si>
  <si>
    <t>LOIDA MARÍA OROZCO VILLALOBOS</t>
  </si>
  <si>
    <t>MARIA DE JESUS FLORES CASTRO</t>
  </si>
  <si>
    <t>046</t>
  </si>
  <si>
    <t>147</t>
  </si>
  <si>
    <t>JOSÉ DE JESÚS VALENCIA CERROS</t>
  </si>
  <si>
    <t>374</t>
  </si>
  <si>
    <t>ALDO JOSUE RUIZ GONZALEZ</t>
  </si>
  <si>
    <t>MARIA ABRIL SANCHEZ CHAVEZ</t>
  </si>
  <si>
    <t>JOSÉ LÓPEZ CASTRO</t>
  </si>
  <si>
    <t>MARÍA GUADALUPE RODRÍGUEZ AVELAR</t>
  </si>
  <si>
    <t>381</t>
  </si>
  <si>
    <t>372</t>
  </si>
  <si>
    <t>380</t>
  </si>
  <si>
    <t>385</t>
  </si>
  <si>
    <t>096</t>
  </si>
  <si>
    <t>387</t>
  </si>
  <si>
    <t>388</t>
  </si>
  <si>
    <t>389</t>
  </si>
  <si>
    <t>02</t>
  </si>
  <si>
    <t>JUZGADO MUNICIPAL</t>
  </si>
  <si>
    <t xml:space="preserve">JUEZ MUNICIPAL </t>
  </si>
  <si>
    <t>MÉDICO MUNICIPAL</t>
  </si>
  <si>
    <t>RODRIGO SALAZAR ALVAREZ DEL CASTILLO</t>
  </si>
  <si>
    <t>190</t>
  </si>
  <si>
    <t>ABRAHAM ANCO GARCIA</t>
  </si>
  <si>
    <t>393</t>
  </si>
  <si>
    <t>261</t>
  </si>
  <si>
    <t>ERIDANI OROZCO VILLALOBOS</t>
  </si>
  <si>
    <t>JOSE RIVERA FLORES</t>
  </si>
  <si>
    <t>395</t>
  </si>
  <si>
    <t>JOSE AVELAR FRIAS</t>
  </si>
  <si>
    <t>ARACELI AVELAR VALDEZ</t>
  </si>
  <si>
    <t>EDUCACIÓN</t>
  </si>
  <si>
    <t>HERIBERTO PEREZ CRUZ</t>
  </si>
  <si>
    <t>DIRECTOR GENERAL DE INFRAESTRUCTURA Y DESARROLLO SOCIAL</t>
  </si>
  <si>
    <t>DIRECTOR DE MAQUINARIA Y ALMACENES MUNICIPALES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</si>
  <si>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</si>
  <si>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</si>
  <si>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</si>
  <si>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</si>
  <si>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</si>
  <si>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</si>
  <si>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</si>
  <si>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</si>
  <si>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EJERCICIO 2025</t>
  </si>
  <si>
    <t>VIGENTES PARA 2025</t>
  </si>
  <si>
    <t>TABLAS PUBLICADAS En DICIEMBRE DE 2024</t>
  </si>
  <si>
    <t>SANDRA IBAÑEZ BENITES</t>
  </si>
  <si>
    <t>191</t>
  </si>
  <si>
    <t>401</t>
  </si>
  <si>
    <t>402</t>
  </si>
  <si>
    <t>403</t>
  </si>
  <si>
    <t>MARIO ERNESTO AVILA HERRERA</t>
  </si>
  <si>
    <t>ALEJANDRO RAMIREZ AVILA</t>
  </si>
  <si>
    <t>IMELDA AVELAR GARCIA</t>
  </si>
  <si>
    <t>AFANADORA</t>
  </si>
  <si>
    <t>TRANSPARENCIA</t>
  </si>
  <si>
    <t>JOSE FRANCISCO CHAVEZ NEVAREZ</t>
  </si>
  <si>
    <t xml:space="preserve">DIRECTOR DE TRANSPARENCIA </t>
  </si>
  <si>
    <t>JUAN JOSE GONZALEZ GONZALEZ</t>
  </si>
  <si>
    <t>404</t>
  </si>
  <si>
    <t>405</t>
  </si>
  <si>
    <t>407</t>
  </si>
  <si>
    <t>408</t>
  </si>
  <si>
    <t>409</t>
  </si>
  <si>
    <t xml:space="preserve">SECRETARIA HACIENDA MUNICIPAL </t>
  </si>
  <si>
    <t>JAIME HERNANDEZ PEREZ</t>
  </si>
  <si>
    <t>OPERADOR MOTOCONFORAMDORA</t>
  </si>
  <si>
    <t>410</t>
  </si>
  <si>
    <t>411</t>
  </si>
  <si>
    <t>412</t>
  </si>
  <si>
    <t>413</t>
  </si>
  <si>
    <t>MARIA LETICIA SANDOVAL SOTO</t>
  </si>
  <si>
    <t>ESTEBAN AGUAYO CASTRO</t>
  </si>
  <si>
    <t>CONTRALOR MUNICIPAL</t>
  </si>
  <si>
    <t>MATANCEREOS</t>
  </si>
  <si>
    <t>415</t>
  </si>
  <si>
    <t>PRUDENCIO BALTIERRA ESPINOZA</t>
  </si>
  <si>
    <t>416</t>
  </si>
  <si>
    <t>DAVID GALVEZ ALVARADO</t>
  </si>
  <si>
    <t>417</t>
  </si>
  <si>
    <t>418</t>
  </si>
  <si>
    <t>419</t>
  </si>
  <si>
    <t>ALENJANDRO CASTRO PEREZ</t>
  </si>
  <si>
    <t>LUIS GERARDO GONZALEZ JIMENEZ</t>
  </si>
  <si>
    <t>CARLOS ANTONIO CASTRO PEREZ</t>
  </si>
  <si>
    <t>420</t>
  </si>
  <si>
    <t>FELIPE IBARRA CASTRO</t>
  </si>
  <si>
    <t>272</t>
  </si>
  <si>
    <t>EFRAIN ROBLES FLORES</t>
  </si>
  <si>
    <t>DIRECTORA DE TURISMO, CULTURA Y FOMENTO ARTESANAL</t>
  </si>
  <si>
    <t>MARIA GUADALUPE BAÑUELOS RAMIREZ</t>
  </si>
  <si>
    <t>421</t>
  </si>
  <si>
    <t>RICARDO MARIZCAL REYNOSO</t>
  </si>
  <si>
    <t>422</t>
  </si>
  <si>
    <t>SUELDO  DEL 16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</si>
</sst>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0"/>
      <color theme="6" tint="-0.499984740745262"/>
      <name val="Arial"/>
      <family val="2"/>
    </font>
    <font>
      <sz val="14"/>
      <color rgb="FF404041"/>
      <name val="Montserrat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406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43" fontId="4" fillId="0" borderId="0" xfId="2" applyFont="1" applyProtection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5" fillId="3" borderId="0" xfId="0" applyFont="1" applyFill="1"/>
    <xf numFmtId="0" fontId="32" fillId="4" borderId="2" xfId="0" applyFont="1" applyFill="1" applyBorder="1" applyAlignment="1">
      <alignment horizontal="center" wrapText="1"/>
    </xf>
    <xf numFmtId="165" fontId="39" fillId="0" borderId="8" xfId="2" applyNumberFormat="1" applyFont="1" applyBorder="1" applyAlignment="1" applyProtection="1">
      <alignment horizontal="right"/>
    </xf>
    <xf numFmtId="165" fontId="39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0" fontId="39" fillId="4" borderId="4" xfId="0" applyFont="1" applyFill="1" applyBorder="1" applyAlignment="1">
      <alignment horizontal="center" wrapText="1"/>
    </xf>
    <xf numFmtId="0" fontId="39" fillId="4" borderId="4" xfId="0" applyFont="1" applyFill="1" applyBorder="1" applyAlignment="1">
      <alignment horizontal="center"/>
    </xf>
    <xf numFmtId="165" fontId="39" fillId="4" borderId="4" xfId="0" applyNumberFormat="1" applyFont="1" applyFill="1" applyBorder="1" applyAlignment="1">
      <alignment horizontal="center"/>
    </xf>
    <xf numFmtId="0" fontId="39" fillId="7" borderId="4" xfId="0" applyFont="1" applyFill="1" applyBorder="1" applyAlignment="1">
      <alignment horizontal="center"/>
    </xf>
    <xf numFmtId="0" fontId="39" fillId="4" borderId="2" xfId="0" applyFont="1" applyFill="1" applyBorder="1" applyAlignment="1">
      <alignment horizontal="center" wrapText="1"/>
    </xf>
    <xf numFmtId="0" fontId="39" fillId="4" borderId="2" xfId="0" applyFont="1" applyFill="1" applyBorder="1" applyAlignment="1">
      <alignment horizontal="center"/>
    </xf>
    <xf numFmtId="165" fontId="39" fillId="4" borderId="2" xfId="0" applyNumberFormat="1" applyFont="1" applyFill="1" applyBorder="1" applyAlignment="1">
      <alignment horizontal="center"/>
    </xf>
    <xf numFmtId="0" fontId="39" fillId="7" borderId="2" xfId="0" applyFont="1" applyFill="1" applyBorder="1" applyAlignment="1">
      <alignment horizontal="center"/>
    </xf>
    <xf numFmtId="165" fontId="39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39" fillId="4" borderId="3" xfId="0" applyFont="1" applyFill="1" applyBorder="1" applyAlignment="1">
      <alignment horizontal="center"/>
    </xf>
    <xf numFmtId="0" fontId="39" fillId="4" borderId="1" xfId="0" applyFont="1" applyFill="1" applyBorder="1" applyAlignment="1">
      <alignment horizontal="center"/>
    </xf>
    <xf numFmtId="0" fontId="39" fillId="4" borderId="1" xfId="0" applyFont="1" applyFill="1" applyBorder="1" applyAlignment="1">
      <alignment horizontal="center" wrapText="1"/>
    </xf>
    <xf numFmtId="0" fontId="39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49" fontId="38" fillId="5" borderId="2" xfId="5" applyNumberFormat="1" applyFont="1" applyFill="1" applyBorder="1" applyAlignment="1" applyProtection="1">
      <alignment vertical="center" wrapText="1"/>
      <protection locked="0"/>
    </xf>
    <xf numFmtId="49" fontId="38" fillId="5" borderId="14" xfId="5" applyNumberFormat="1" applyFont="1" applyFill="1" applyBorder="1" applyAlignment="1" applyProtection="1">
      <alignment vertical="center" wrapText="1"/>
      <protection locked="0"/>
    </xf>
    <xf numFmtId="49" fontId="38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38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166" fontId="33" fillId="0" borderId="4" xfId="2" applyNumberFormat="1" applyFont="1" applyBorder="1" applyAlignment="1" applyProtection="1">
      <alignment horizontal="right" vertical="center"/>
      <protection locked="0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38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38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5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38" fillId="0" borderId="3" xfId="0" applyFont="1" applyBorder="1" applyAlignment="1" applyProtection="1">
      <alignment horizontal="left" vertical="center" wrapText="1"/>
      <protection locked="0"/>
    </xf>
    <xf numFmtId="14" fontId="29" fillId="0" borderId="1" xfId="0" applyNumberFormat="1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49" fontId="29" fillId="0" borderId="18" xfId="0" applyNumberFormat="1" applyFont="1" applyBorder="1" applyAlignment="1">
      <alignment horizontal="center" vertical="center"/>
    </xf>
    <xf numFmtId="49" fontId="38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38" fillId="5" borderId="3" xfId="0" applyFont="1" applyFill="1" applyBorder="1" applyAlignment="1" applyProtection="1">
      <alignment horizontal="left" vertical="center" wrapText="1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166" fontId="33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38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9" fontId="18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37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38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14" fontId="33" fillId="0" borderId="3" xfId="0" applyNumberFormat="1" applyFont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9" fillId="5" borderId="4" xfId="0" applyFont="1" applyFill="1" applyBorder="1" applyAlignment="1">
      <alignment horizontal="center" vertical="center"/>
    </xf>
    <xf numFmtId="14" fontId="29" fillId="5" borderId="4" xfId="0" applyNumberFormat="1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18" fillId="4" borderId="4" xfId="0" applyFont="1" applyFill="1" applyBorder="1"/>
    <xf numFmtId="165" fontId="33" fillId="2" borderId="4" xfId="2" applyNumberFormat="1" applyFont="1" applyFill="1" applyBorder="1" applyAlignment="1" applyProtection="1">
      <alignment horizontal="right" vertical="center"/>
    </xf>
    <xf numFmtId="10" fontId="33" fillId="2" borderId="4" xfId="3" applyNumberFormat="1" applyFont="1" applyFill="1" applyBorder="1" applyAlignment="1" applyProtection="1">
      <alignment horizontal="right" vertical="center"/>
    </xf>
    <xf numFmtId="165" fontId="33" fillId="7" borderId="4" xfId="2" applyNumberFormat="1" applyFont="1" applyFill="1" applyBorder="1" applyAlignment="1" applyProtection="1">
      <alignment horizontal="right" vertical="center"/>
    </xf>
    <xf numFmtId="0" fontId="3" fillId="0" borderId="0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4" fillId="5" borderId="4" xfId="0" applyFont="1" applyFill="1" applyBorder="1"/>
    <xf numFmtId="0" fontId="13" fillId="0" borderId="0" xfId="0" applyFont="1" applyAlignment="1">
      <alignment horizontal="center"/>
    </xf>
    <xf numFmtId="0" fontId="33" fillId="0" borderId="4" xfId="0" applyFont="1" applyFill="1" applyBorder="1" applyAlignment="1">
      <alignment horizontal="center" vertical="center"/>
    </xf>
    <xf numFmtId="49" fontId="33" fillId="0" borderId="4" xfId="0" applyNumberFormat="1" applyFont="1" applyFill="1" applyBorder="1" applyAlignment="1">
      <alignment horizontal="center" vertical="center"/>
    </xf>
    <xf numFmtId="49" fontId="38" fillId="0" borderId="4" xfId="5" applyNumberFormat="1" applyFont="1" applyFill="1" applyBorder="1" applyAlignment="1" applyProtection="1">
      <alignment vertical="center" wrapText="1"/>
      <protection locked="0"/>
    </xf>
    <xf numFmtId="0" fontId="9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32" fillId="0" borderId="4" xfId="0" applyFont="1" applyBorder="1" applyAlignment="1">
      <alignment horizontal="center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9" fillId="4" borderId="15" xfId="0" applyFont="1" applyFill="1" applyBorder="1" applyAlignment="1">
      <alignment horizontal="center"/>
    </xf>
    <xf numFmtId="0" fontId="39" fillId="4" borderId="16" xfId="0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664029</xdr:colOff>
      <xdr:row>0</xdr:row>
      <xdr:rowOff>0</xdr:rowOff>
    </xdr:from>
    <xdr:to>
      <xdr:col>3</xdr:col>
      <xdr:colOff>1143000</xdr:colOff>
      <xdr:row>3</xdr:row>
      <xdr:rowOff>81643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0458" y="0"/>
          <a:ext cx="1145721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53148</xdr:colOff>
      <xdr:row>4</xdr:row>
      <xdr:rowOff>92281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F13" sqref="F13:G2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04" t="s">
        <v>158</v>
      </c>
    </row>
    <row r="3" spans="1:9" x14ac:dyDescent="0.2">
      <c r="B3" s="8" t="s">
        <v>47</v>
      </c>
      <c r="C3" s="7"/>
      <c r="D3" s="7"/>
      <c r="E3" s="7"/>
      <c r="F3" s="7"/>
      <c r="G3" s="7"/>
      <c r="I3" s="103">
        <v>278.8</v>
      </c>
    </row>
    <row r="4" spans="1:9" x14ac:dyDescent="0.2">
      <c r="B4" s="19" t="s">
        <v>325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342" t="s">
        <v>10</v>
      </c>
      <c r="C7" s="342"/>
      <c r="D7" s="342"/>
      <c r="E7" s="7"/>
      <c r="F7" s="343" t="s">
        <v>48</v>
      </c>
      <c r="G7" s="344"/>
      <c r="I7" s="104" t="s">
        <v>159</v>
      </c>
    </row>
    <row r="8" spans="1:9" ht="14.25" customHeight="1" x14ac:dyDescent="0.2">
      <c r="B8" s="345" t="s">
        <v>9</v>
      </c>
      <c r="C8" s="345"/>
      <c r="D8" s="345"/>
      <c r="E8" s="7"/>
      <c r="F8" s="346" t="s">
        <v>49</v>
      </c>
      <c r="G8" s="347"/>
      <c r="I8" s="103">
        <v>113.14</v>
      </c>
    </row>
    <row r="9" spans="1:9" ht="8.25" customHeight="1" x14ac:dyDescent="0.2">
      <c r="B9" s="339"/>
      <c r="C9" s="339"/>
      <c r="D9" s="339"/>
      <c r="E9" s="7"/>
      <c r="F9" s="340"/>
      <c r="G9" s="341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475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10171.01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10171.01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10171.01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10171.01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10171.01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10171.01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10171.01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10171.01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10171.01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10171.01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327</v>
      </c>
      <c r="C28" s="7"/>
      <c r="D28" s="7"/>
    </row>
    <row r="29" spans="1:8" x14ac:dyDescent="0.2">
      <c r="B29" s="32" t="s">
        <v>326</v>
      </c>
      <c r="C29" s="7"/>
      <c r="D29" s="7"/>
    </row>
    <row r="30" spans="1:8" x14ac:dyDescent="0.2">
      <c r="B30" s="180" t="s">
        <v>236</v>
      </c>
      <c r="C30" s="179"/>
      <c r="D30" s="179"/>
      <c r="E30" s="179"/>
      <c r="F30" s="179"/>
      <c r="G30" s="179"/>
      <c r="H30" s="179"/>
    </row>
    <row r="32" spans="1:8" ht="17.25" customHeight="1" x14ac:dyDescent="0.2">
      <c r="B32" s="5" t="s">
        <v>45</v>
      </c>
      <c r="E32" s="7"/>
      <c r="F32" s="343" t="s">
        <v>53</v>
      </c>
      <c r="G32" s="344"/>
    </row>
    <row r="33" spans="2:7" x14ac:dyDescent="0.2">
      <c r="E33" s="7"/>
      <c r="F33" s="346" t="s">
        <v>54</v>
      </c>
      <c r="G33" s="347"/>
    </row>
    <row r="34" spans="2:7" ht="5.25" customHeight="1" x14ac:dyDescent="0.2">
      <c r="E34" s="7"/>
      <c r="F34" s="340"/>
      <c r="G34" s="341"/>
    </row>
    <row r="35" spans="2:7" x14ac:dyDescent="0.2">
      <c r="B35" s="342" t="s">
        <v>10</v>
      </c>
      <c r="C35" s="342"/>
      <c r="D35" s="342"/>
      <c r="E35" s="7"/>
      <c r="F35" s="9" t="s">
        <v>16</v>
      </c>
      <c r="G35" s="9" t="s">
        <v>17</v>
      </c>
    </row>
    <row r="36" spans="2:7" x14ac:dyDescent="0.2">
      <c r="B36" s="345" t="s">
        <v>9</v>
      </c>
      <c r="C36" s="345"/>
      <c r="D36" s="345"/>
      <c r="E36" s="7"/>
      <c r="F36" s="9"/>
      <c r="G36" s="9" t="s">
        <v>18</v>
      </c>
    </row>
    <row r="37" spans="2:7" x14ac:dyDescent="0.2">
      <c r="B37" s="339"/>
      <c r="C37" s="339"/>
      <c r="D37" s="339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237.5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5085.51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5085.51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5085.51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5085.51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5085.51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5085.51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5085.51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5085.51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5085.51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5085.51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F7:G7"/>
    <mergeCell ref="F9:G9"/>
    <mergeCell ref="B8:D8"/>
    <mergeCell ref="F8:G8"/>
    <mergeCell ref="B7:D7"/>
    <mergeCell ref="B9:D9"/>
    <mergeCell ref="B37:D37"/>
    <mergeCell ref="F34:G34"/>
    <mergeCell ref="B35:D35"/>
    <mergeCell ref="F32:G32"/>
    <mergeCell ref="B36:D36"/>
    <mergeCell ref="F33:G33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19"/>
  <sheetViews>
    <sheetView topLeftCell="B1" zoomScale="73" zoomScaleNormal="73" workbookViewId="0">
      <selection activeCell="W9" sqref="W9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7.5703125" customWidth="1"/>
    <col min="5" max="5" width="17.7109375" customWidth="1"/>
    <col min="6" max="6" width="18.85546875" customWidth="1"/>
    <col min="7" max="7" width="8.28515625" hidden="1" customWidth="1"/>
    <col min="8" max="8" width="11.5703125" hidden="1" customWidth="1"/>
    <col min="9" max="9" width="17.7109375" customWidth="1"/>
    <col min="10" max="10" width="13.5703125" customWidth="1"/>
    <col min="11" max="11" width="16.85546875" customWidth="1"/>
    <col min="12" max="12" width="11.42578125" hidden="1" customWidth="1"/>
    <col min="13" max="15" width="16" hidden="1" customWidth="1"/>
    <col min="16" max="20" width="11.42578125" hidden="1" customWidth="1"/>
    <col min="21" max="21" width="12" hidden="1" customWidth="1"/>
    <col min="22" max="22" width="9" customWidth="1"/>
    <col min="23" max="24" width="14.42578125" customWidth="1"/>
    <col min="25" max="25" width="14.5703125" bestFit="1" customWidth="1"/>
    <col min="26" max="26" width="16.85546875" customWidth="1"/>
    <col min="27" max="27" width="73.140625" customWidth="1"/>
  </cols>
  <sheetData>
    <row r="1" spans="1:27" ht="18" x14ac:dyDescent="0.25">
      <c r="A1" s="362" t="s">
        <v>77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</row>
    <row r="2" spans="1:27" ht="18" x14ac:dyDescent="0.25">
      <c r="A2" s="362" t="s">
        <v>64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</row>
    <row r="3" spans="1:27" ht="19.5" x14ac:dyDescent="0.25">
      <c r="A3" s="352" t="str">
        <f>PRESIDENCIA!A3</f>
        <v>SUELDO  DEL 16 AL 30 DE JUNIO DE 2025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27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7" x14ac:dyDescent="0.2">
      <c r="A5" s="22"/>
      <c r="B5" s="392" t="s">
        <v>96</v>
      </c>
      <c r="C5" s="392" t="s">
        <v>109</v>
      </c>
      <c r="D5" s="22"/>
      <c r="E5" s="22"/>
      <c r="F5" s="22"/>
      <c r="G5" s="23" t="s">
        <v>22</v>
      </c>
      <c r="H5" s="23" t="s">
        <v>5</v>
      </c>
      <c r="I5" s="363" t="s">
        <v>1</v>
      </c>
      <c r="J5" s="364"/>
      <c r="K5" s="365"/>
      <c r="L5" s="24" t="s">
        <v>25</v>
      </c>
      <c r="M5" s="25"/>
      <c r="N5" s="366" t="s">
        <v>8</v>
      </c>
      <c r="O5" s="367"/>
      <c r="P5" s="367"/>
      <c r="Q5" s="367"/>
      <c r="R5" s="367"/>
      <c r="S5" s="368"/>
      <c r="T5" s="24" t="s">
        <v>29</v>
      </c>
      <c r="U5" s="24" t="s">
        <v>9</v>
      </c>
      <c r="V5" s="23" t="s">
        <v>52</v>
      </c>
      <c r="W5" s="369" t="s">
        <v>2</v>
      </c>
      <c r="X5" s="370"/>
      <c r="Y5" s="371"/>
      <c r="Z5" s="23" t="s">
        <v>0</v>
      </c>
      <c r="AA5" s="33"/>
    </row>
    <row r="6" spans="1:27" ht="12.75" customHeight="1" x14ac:dyDescent="0.2">
      <c r="A6" s="26" t="s">
        <v>20</v>
      </c>
      <c r="B6" s="393"/>
      <c r="C6" s="393"/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 t="s">
        <v>58</v>
      </c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23" t="s">
        <v>191</v>
      </c>
      <c r="X6" s="23" t="s">
        <v>56</v>
      </c>
      <c r="Y6" s="23" t="s">
        <v>6</v>
      </c>
      <c r="Z6" s="26" t="s">
        <v>3</v>
      </c>
      <c r="AA6" s="35" t="s">
        <v>57</v>
      </c>
    </row>
    <row r="7" spans="1:27" x14ac:dyDescent="0.2">
      <c r="A7" s="29"/>
      <c r="B7" s="394"/>
      <c r="C7" s="394"/>
      <c r="D7" s="29"/>
      <c r="E7" s="29"/>
      <c r="F7" s="29"/>
      <c r="G7" s="29"/>
      <c r="H7" s="29"/>
      <c r="I7" s="29" t="s">
        <v>46</v>
      </c>
      <c r="J7" s="29" t="s">
        <v>59</v>
      </c>
      <c r="K7" s="29" t="s">
        <v>28</v>
      </c>
      <c r="L7" s="30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9" t="s">
        <v>51</v>
      </c>
      <c r="W7" s="29"/>
      <c r="X7" s="29" t="s">
        <v>161</v>
      </c>
      <c r="Y7" s="29" t="s">
        <v>43</v>
      </c>
      <c r="Z7" s="29" t="s">
        <v>4</v>
      </c>
      <c r="AA7" s="34"/>
    </row>
    <row r="8" spans="1:27" ht="42" customHeight="1" x14ac:dyDescent="0.3">
      <c r="A8" s="121"/>
      <c r="B8" s="198"/>
      <c r="C8" s="186"/>
      <c r="D8" s="185" t="s">
        <v>313</v>
      </c>
      <c r="E8" s="185" t="s">
        <v>195</v>
      </c>
      <c r="F8" s="196" t="s">
        <v>61</v>
      </c>
      <c r="G8" s="196"/>
      <c r="H8" s="196"/>
      <c r="I8" s="196"/>
      <c r="J8" s="196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2"/>
      <c r="V8" s="121"/>
      <c r="W8" s="121"/>
      <c r="X8" s="121"/>
      <c r="Y8" s="121"/>
      <c r="Z8" s="121"/>
      <c r="AA8" s="40"/>
    </row>
    <row r="9" spans="1:27" s="223" customFormat="1" ht="230.25" customHeight="1" x14ac:dyDescent="0.2">
      <c r="A9" s="208" t="s">
        <v>84</v>
      </c>
      <c r="B9" s="232" t="s">
        <v>138</v>
      </c>
      <c r="C9" s="311" t="s">
        <v>108</v>
      </c>
      <c r="D9" s="206" t="s">
        <v>134</v>
      </c>
      <c r="E9" s="199">
        <v>43374</v>
      </c>
      <c r="F9" s="265" t="s">
        <v>110</v>
      </c>
      <c r="G9" s="215">
        <v>15</v>
      </c>
      <c r="H9" s="216">
        <f>I9/G9</f>
        <v>309.60000000000002</v>
      </c>
      <c r="I9" s="217">
        <v>4644</v>
      </c>
      <c r="J9" s="218">
        <v>0</v>
      </c>
      <c r="K9" s="219">
        <f>SUM(I9:J9)</f>
        <v>4644</v>
      </c>
      <c r="L9" s="240">
        <f>IF(I9/15&lt;=SMG,0,J9/2)</f>
        <v>0</v>
      </c>
      <c r="M9" s="259">
        <f>(I9+L9)/G9*30.4</f>
        <v>9411.84</v>
      </c>
      <c r="N9" s="259">
        <f>VLOOKUP(M9,Tarifa,1)</f>
        <v>6332.06</v>
      </c>
      <c r="O9" s="240">
        <f>M9-N9</f>
        <v>3079.7799999999997</v>
      </c>
      <c r="P9" s="241">
        <f>VLOOKUP(M9,Tarifa,3)</f>
        <v>0.10879999999999999</v>
      </c>
      <c r="Q9" s="240">
        <f>O9*P9</f>
        <v>335.08006399999994</v>
      </c>
      <c r="R9" s="242">
        <f>VLOOKUP(M9,Tarifa,2)</f>
        <v>371.83</v>
      </c>
      <c r="S9" s="240">
        <f>Q9+R9</f>
        <v>706.91006399999992</v>
      </c>
      <c r="T9" s="240">
        <f>VLOOKUP(M9,Credito,2)</f>
        <v>475</v>
      </c>
      <c r="U9" s="240">
        <f>ROUND((S9-T9)/30.4*G9,2)</f>
        <v>114.43</v>
      </c>
      <c r="V9" s="219">
        <f>-IF(U9&gt;0,0,0)</f>
        <v>0</v>
      </c>
      <c r="W9" s="219">
        <f t="shared" ref="W9:W11" si="0">IF(I9/15&lt;=SMG,0,IF(U9&lt;0,0,U9))</f>
        <v>114.43</v>
      </c>
      <c r="X9" s="220">
        <v>0</v>
      </c>
      <c r="Y9" s="219">
        <f t="shared" ref="Y9:Y11" si="1">SUM(W9:X9)</f>
        <v>114.43</v>
      </c>
      <c r="Z9" s="219">
        <f>K9+V9-Y9</f>
        <v>4529.57</v>
      </c>
      <c r="AA9" s="231"/>
    </row>
    <row r="10" spans="1:27" s="223" customFormat="1" ht="230.25" customHeight="1" x14ac:dyDescent="0.2">
      <c r="A10" s="249"/>
      <c r="B10" s="225">
        <v>188</v>
      </c>
      <c r="C10" s="311" t="s">
        <v>108</v>
      </c>
      <c r="D10" s="227" t="s">
        <v>139</v>
      </c>
      <c r="E10" s="312">
        <v>43389</v>
      </c>
      <c r="F10" s="214" t="s">
        <v>179</v>
      </c>
      <c r="G10" s="215">
        <v>15</v>
      </c>
      <c r="H10" s="216">
        <f>I10/G10</f>
        <v>482.44466666666665</v>
      </c>
      <c r="I10" s="217">
        <v>7236.67</v>
      </c>
      <c r="J10" s="218">
        <v>0</v>
      </c>
      <c r="K10" s="219">
        <f>SUM(I10:J10)</f>
        <v>7236.67</v>
      </c>
      <c r="L10" s="240">
        <f>IF(I10/15&lt;=SMG,0,J10/2)</f>
        <v>0</v>
      </c>
      <c r="M10" s="259">
        <f>(I10+L10)/G10*30.4</f>
        <v>14666.317866666666</v>
      </c>
      <c r="N10" s="259">
        <f>VLOOKUP(M10,Tarifa,1)</f>
        <v>12935.83</v>
      </c>
      <c r="O10" s="240">
        <f>M10-N10</f>
        <v>1730.4878666666664</v>
      </c>
      <c r="P10" s="241">
        <f>VLOOKUP(M10,Tarifa,3)</f>
        <v>0.1792</v>
      </c>
      <c r="Q10" s="240">
        <f>O10*P10</f>
        <v>310.1034257066666</v>
      </c>
      <c r="R10" s="242">
        <f>VLOOKUP(M10,Tarifa,2)</f>
        <v>1182.8800000000001</v>
      </c>
      <c r="S10" s="240">
        <f>Q10+R10</f>
        <v>1492.9834257066668</v>
      </c>
      <c r="T10" s="240">
        <f>VLOOKUP(M10,Credito,2)</f>
        <v>0</v>
      </c>
      <c r="U10" s="240">
        <f>ROUND((S10-T10)/30.4*G10,2)</f>
        <v>736.67</v>
      </c>
      <c r="V10" s="219">
        <f>-IF(U10&gt;0,0,0)</f>
        <v>0</v>
      </c>
      <c r="W10" s="219">
        <f>IF(I10/15&lt;=SMG,0,IF(U10&lt;0,0,U10))</f>
        <v>736.67</v>
      </c>
      <c r="X10" s="220">
        <v>0</v>
      </c>
      <c r="Y10" s="219">
        <f>SUM(W10:X10)</f>
        <v>736.67</v>
      </c>
      <c r="Z10" s="219">
        <f>K10+V10-Y10</f>
        <v>6500</v>
      </c>
      <c r="AA10" s="231"/>
    </row>
    <row r="11" spans="1:27" s="223" customFormat="1" ht="230.25" customHeight="1" x14ac:dyDescent="0.2">
      <c r="A11" s="313"/>
      <c r="B11" s="226" t="s">
        <v>174</v>
      </c>
      <c r="C11" s="226" t="s">
        <v>108</v>
      </c>
      <c r="D11" s="271" t="s">
        <v>175</v>
      </c>
      <c r="E11" s="184">
        <v>43512</v>
      </c>
      <c r="F11" s="265" t="s">
        <v>110</v>
      </c>
      <c r="G11" s="215">
        <v>15</v>
      </c>
      <c r="H11" s="216">
        <f>I11/G11</f>
        <v>309.60000000000002</v>
      </c>
      <c r="I11" s="217">
        <v>4644</v>
      </c>
      <c r="J11" s="218">
        <v>0</v>
      </c>
      <c r="K11" s="219">
        <f>SUM(I11:J11)</f>
        <v>4644</v>
      </c>
      <c r="L11" s="240">
        <f>IF(I11/15&lt;=SMG,0,J11/2)</f>
        <v>0</v>
      </c>
      <c r="M11" s="259">
        <f>(I11+L11)/G11*30.4</f>
        <v>9411.84</v>
      </c>
      <c r="N11" s="259">
        <f>VLOOKUP(M11,Tarifa,1)</f>
        <v>6332.06</v>
      </c>
      <c r="O11" s="240">
        <f>M11-N11</f>
        <v>3079.7799999999997</v>
      </c>
      <c r="P11" s="241">
        <f>VLOOKUP(M11,Tarifa,3)</f>
        <v>0.10879999999999999</v>
      </c>
      <c r="Q11" s="240">
        <f>O11*P11</f>
        <v>335.08006399999994</v>
      </c>
      <c r="R11" s="242">
        <f>VLOOKUP(M11,Tarifa,2)</f>
        <v>371.83</v>
      </c>
      <c r="S11" s="240">
        <f>Q11+R11</f>
        <v>706.91006399999992</v>
      </c>
      <c r="T11" s="240">
        <f>VLOOKUP(M11,Credito,2)</f>
        <v>475</v>
      </c>
      <c r="U11" s="240">
        <f>ROUND((S11-T11)/30.4*G11,2)</f>
        <v>114.43</v>
      </c>
      <c r="V11" s="219">
        <f>-IF(U11&gt;0,0,0)</f>
        <v>0</v>
      </c>
      <c r="W11" s="219">
        <f t="shared" si="0"/>
        <v>114.43</v>
      </c>
      <c r="X11" s="220">
        <v>603.94000000000005</v>
      </c>
      <c r="Y11" s="219">
        <f t="shared" si="1"/>
        <v>718.37000000000012</v>
      </c>
      <c r="Z11" s="219">
        <f>K11+V11-Y11</f>
        <v>3925.63</v>
      </c>
      <c r="AA11" s="231"/>
    </row>
    <row r="12" spans="1:27" s="223" customFormat="1" ht="230.25" customHeight="1" x14ac:dyDescent="0.2">
      <c r="A12" s="313"/>
      <c r="B12" s="225">
        <v>317</v>
      </c>
      <c r="C12" s="226" t="s">
        <v>108</v>
      </c>
      <c r="D12" s="205" t="s">
        <v>200</v>
      </c>
      <c r="E12" s="199">
        <v>45078</v>
      </c>
      <c r="F12" s="265" t="s">
        <v>110</v>
      </c>
      <c r="G12" s="215">
        <v>15</v>
      </c>
      <c r="H12" s="216">
        <f>I12/G12</f>
        <v>309.60000000000002</v>
      </c>
      <c r="I12" s="217">
        <v>4644</v>
      </c>
      <c r="J12" s="218">
        <v>0</v>
      </c>
      <c r="K12" s="219">
        <f>SUM(I12:J12)</f>
        <v>4644</v>
      </c>
      <c r="L12" s="240">
        <f>IF(I12/15&lt;=SMG,0,J12/2)</f>
        <v>0</v>
      </c>
      <c r="M12" s="259">
        <f>(I12+L12)/G12*30.4</f>
        <v>9411.84</v>
      </c>
      <c r="N12" s="259">
        <f>VLOOKUP(M12,Tarifa,1)</f>
        <v>6332.06</v>
      </c>
      <c r="O12" s="240">
        <f>M12-N12</f>
        <v>3079.7799999999997</v>
      </c>
      <c r="P12" s="241">
        <f>VLOOKUP(M12,Tarifa,3)</f>
        <v>0.10879999999999999</v>
      </c>
      <c r="Q12" s="240">
        <f>O12*P12</f>
        <v>335.08006399999994</v>
      </c>
      <c r="R12" s="242">
        <f>VLOOKUP(M12,Tarifa,2)</f>
        <v>371.83</v>
      </c>
      <c r="S12" s="240">
        <f>Q12+R12</f>
        <v>706.91006399999992</v>
      </c>
      <c r="T12" s="240">
        <f>VLOOKUP(M12,Credito,2)</f>
        <v>475</v>
      </c>
      <c r="U12" s="240">
        <f>ROUND((S12-T12)/30.4*G12,2)</f>
        <v>114.43</v>
      </c>
      <c r="V12" s="219">
        <f t="shared" ref="V12" si="2">-IF(U12&gt;0,0,0)</f>
        <v>0</v>
      </c>
      <c r="W12" s="219">
        <f t="shared" ref="W12:W16" si="3">IF(I12/15&lt;=SMG,0,IF(U12&lt;0,0,U12))</f>
        <v>114.43</v>
      </c>
      <c r="X12" s="220">
        <v>0</v>
      </c>
      <c r="Y12" s="219">
        <f t="shared" ref="Y12:Y14" si="4">SUM(W12:X12)</f>
        <v>114.43</v>
      </c>
      <c r="Z12" s="219">
        <f>K12+V12-Y12</f>
        <v>4529.57</v>
      </c>
      <c r="AA12" s="231"/>
    </row>
    <row r="13" spans="1:27" s="223" customFormat="1" ht="230.25" customHeight="1" x14ac:dyDescent="0.2">
      <c r="A13" s="313"/>
      <c r="B13" s="264">
        <v>353</v>
      </c>
      <c r="C13" s="226" t="s">
        <v>108</v>
      </c>
      <c r="D13" s="207" t="s">
        <v>235</v>
      </c>
      <c r="E13" s="204">
        <v>45391</v>
      </c>
      <c r="F13" s="265" t="s">
        <v>110</v>
      </c>
      <c r="G13" s="215">
        <v>15</v>
      </c>
      <c r="H13" s="216">
        <f>I13/G13</f>
        <v>309.60000000000002</v>
      </c>
      <c r="I13" s="217">
        <v>4644</v>
      </c>
      <c r="J13" s="218">
        <v>0</v>
      </c>
      <c r="K13" s="219">
        <f>SUM(I13:J13)</f>
        <v>4644</v>
      </c>
      <c r="L13" s="240">
        <f>IF(I13/15&lt;=SMG,0,J13/2)</f>
        <v>0</v>
      </c>
      <c r="M13" s="259">
        <f>(I13+L13)/G13*30.4</f>
        <v>9411.84</v>
      </c>
      <c r="N13" s="259">
        <f>VLOOKUP(M13,Tarifa,1)</f>
        <v>6332.06</v>
      </c>
      <c r="O13" s="240">
        <f>M13-N13</f>
        <v>3079.7799999999997</v>
      </c>
      <c r="P13" s="241">
        <f>VLOOKUP(M13,Tarifa,3)</f>
        <v>0.10879999999999999</v>
      </c>
      <c r="Q13" s="240">
        <f>O13*P13</f>
        <v>335.08006399999994</v>
      </c>
      <c r="R13" s="242">
        <f>VLOOKUP(M13,Tarifa,2)</f>
        <v>371.83</v>
      </c>
      <c r="S13" s="240">
        <f>Q13+R13</f>
        <v>706.91006399999992</v>
      </c>
      <c r="T13" s="240">
        <f>VLOOKUP(M13,Credito,2)</f>
        <v>475</v>
      </c>
      <c r="U13" s="240">
        <f>ROUND((S13-T13)/30.4*G13,2)</f>
        <v>114.43</v>
      </c>
      <c r="V13" s="219">
        <f t="shared" ref="V13:V16" si="5">-IF(U13&gt;0,0,0)</f>
        <v>0</v>
      </c>
      <c r="W13" s="219">
        <f t="shared" si="3"/>
        <v>114.43</v>
      </c>
      <c r="X13" s="220">
        <v>0</v>
      </c>
      <c r="Y13" s="219">
        <f t="shared" si="4"/>
        <v>114.43</v>
      </c>
      <c r="Z13" s="219">
        <f>K13+V13-Y13</f>
        <v>4529.57</v>
      </c>
      <c r="AA13" s="231"/>
    </row>
    <row r="14" spans="1:27" s="223" customFormat="1" ht="216.75" customHeight="1" x14ac:dyDescent="0.2">
      <c r="A14" s="313"/>
      <c r="B14" s="264">
        <v>398</v>
      </c>
      <c r="C14" s="226" t="s">
        <v>108</v>
      </c>
      <c r="D14" s="207" t="s">
        <v>311</v>
      </c>
      <c r="E14" s="204">
        <v>45597</v>
      </c>
      <c r="F14" s="265" t="s">
        <v>110</v>
      </c>
      <c r="G14" s="215">
        <v>15</v>
      </c>
      <c r="H14" s="216">
        <f>I14/G14</f>
        <v>309.60000000000002</v>
      </c>
      <c r="I14" s="217">
        <v>4644</v>
      </c>
      <c r="J14" s="218">
        <v>0</v>
      </c>
      <c r="K14" s="219">
        <f>SUM(I14:J14)</f>
        <v>4644</v>
      </c>
      <c r="L14" s="240">
        <f>IF(I14/15&lt;=SMG,0,J14/2)</f>
        <v>0</v>
      </c>
      <c r="M14" s="259">
        <f>(I14+L14)/G14*30.4</f>
        <v>9411.84</v>
      </c>
      <c r="N14" s="259">
        <f>VLOOKUP(M14,Tarifa,1)</f>
        <v>6332.06</v>
      </c>
      <c r="O14" s="240">
        <f>M14-N14</f>
        <v>3079.7799999999997</v>
      </c>
      <c r="P14" s="241">
        <f>VLOOKUP(M14,Tarifa,3)</f>
        <v>0.10879999999999999</v>
      </c>
      <c r="Q14" s="240">
        <f>O14*P14</f>
        <v>335.08006399999994</v>
      </c>
      <c r="R14" s="242">
        <f>VLOOKUP(M14,Tarifa,2)</f>
        <v>371.83</v>
      </c>
      <c r="S14" s="240">
        <f>Q14+R14</f>
        <v>706.91006399999992</v>
      </c>
      <c r="T14" s="240">
        <f>VLOOKUP(M14,Credito,2)</f>
        <v>475</v>
      </c>
      <c r="U14" s="240">
        <f>ROUND((S14-T14)/30.4*G14,2)</f>
        <v>114.43</v>
      </c>
      <c r="V14" s="219">
        <f t="shared" si="5"/>
        <v>0</v>
      </c>
      <c r="W14" s="219">
        <f t="shared" si="3"/>
        <v>114.43</v>
      </c>
      <c r="X14" s="220">
        <v>0</v>
      </c>
      <c r="Y14" s="219">
        <f t="shared" si="4"/>
        <v>114.43</v>
      </c>
      <c r="Z14" s="219">
        <f>K14+V14-Y14</f>
        <v>4529.57</v>
      </c>
      <c r="AA14" s="231"/>
    </row>
    <row r="15" spans="1:27" s="223" customFormat="1" ht="216.75" customHeight="1" x14ac:dyDescent="0.2">
      <c r="A15" s="313"/>
      <c r="B15" s="336">
        <v>422</v>
      </c>
      <c r="C15" s="337" t="s">
        <v>108</v>
      </c>
      <c r="D15" s="338" t="s">
        <v>374</v>
      </c>
      <c r="E15" s="204">
        <v>45809</v>
      </c>
      <c r="F15" s="265" t="s">
        <v>110</v>
      </c>
      <c r="G15" s="215">
        <v>15</v>
      </c>
      <c r="H15" s="216">
        <f>I15/G15</f>
        <v>309.60000000000002</v>
      </c>
      <c r="I15" s="217">
        <v>4644</v>
      </c>
      <c r="J15" s="218">
        <v>0</v>
      </c>
      <c r="K15" s="219">
        <f>SUM(I15:J15)</f>
        <v>4644</v>
      </c>
      <c r="L15" s="240">
        <f>IF(I15/15&lt;=SMG,0,J15/2)</f>
        <v>0</v>
      </c>
      <c r="M15" s="259">
        <f>(I15+L15)/G15*30.4</f>
        <v>9411.84</v>
      </c>
      <c r="N15" s="259">
        <f>VLOOKUP(M15,Tarifa,1)</f>
        <v>6332.06</v>
      </c>
      <c r="O15" s="240">
        <f>M15-N15</f>
        <v>3079.7799999999997</v>
      </c>
      <c r="P15" s="241">
        <f>VLOOKUP(M15,Tarifa,3)</f>
        <v>0.10879999999999999</v>
      </c>
      <c r="Q15" s="240">
        <f>O15*P15</f>
        <v>335.08006399999994</v>
      </c>
      <c r="R15" s="242">
        <f>VLOOKUP(M15,Tarifa,2)</f>
        <v>371.83</v>
      </c>
      <c r="S15" s="240">
        <f>Q15+R15</f>
        <v>706.91006399999992</v>
      </c>
      <c r="T15" s="240">
        <f>VLOOKUP(M15,Credito,2)</f>
        <v>475</v>
      </c>
      <c r="U15" s="240">
        <f>ROUND((S15-T15)/30.4*G15,2)</f>
        <v>114.43</v>
      </c>
      <c r="V15" s="219">
        <f t="shared" ref="V15" si="6">-IF(U15&gt;0,0,0)</f>
        <v>0</v>
      </c>
      <c r="W15" s="219">
        <f t="shared" ref="W15" si="7">IF(I15/15&lt;=SMG,0,IF(U15&lt;0,0,U15))</f>
        <v>114.43</v>
      </c>
      <c r="X15" s="220">
        <v>0</v>
      </c>
      <c r="Y15" s="219">
        <f t="shared" ref="Y15" si="8">SUM(W15:X15)</f>
        <v>114.43</v>
      </c>
      <c r="Z15" s="219">
        <f>K15+V15-Y15</f>
        <v>4529.57</v>
      </c>
      <c r="AA15" s="231"/>
    </row>
    <row r="16" spans="1:27" s="223" customFormat="1" ht="216.75" customHeight="1" x14ac:dyDescent="0.2">
      <c r="A16" s="313"/>
      <c r="B16" s="232" t="s">
        <v>153</v>
      </c>
      <c r="C16" s="226" t="s">
        <v>108</v>
      </c>
      <c r="D16" s="211" t="s">
        <v>80</v>
      </c>
      <c r="E16" s="213">
        <v>41410</v>
      </c>
      <c r="F16" s="214" t="s">
        <v>148</v>
      </c>
      <c r="G16" s="215">
        <v>15</v>
      </c>
      <c r="H16" s="216">
        <f>I16/G16</f>
        <v>253.33333333333334</v>
      </c>
      <c r="I16" s="217">
        <v>3800</v>
      </c>
      <c r="J16" s="218">
        <v>0</v>
      </c>
      <c r="K16" s="219">
        <f>SUM(I16:J16)</f>
        <v>3800</v>
      </c>
      <c r="L16" s="240">
        <f>IF(I16/15&lt;=SMG,0,J16/2)</f>
        <v>0</v>
      </c>
      <c r="M16" s="259">
        <f>(I16+L16)/G16*30.4</f>
        <v>7701.333333333333</v>
      </c>
      <c r="N16" s="259">
        <f>VLOOKUP(M16,Tarifa,1)</f>
        <v>6332.06</v>
      </c>
      <c r="O16" s="240">
        <f>M16-N16</f>
        <v>1369.2733333333326</v>
      </c>
      <c r="P16" s="241">
        <f>VLOOKUP(M16,Tarifa,3)</f>
        <v>0.10879999999999999</v>
      </c>
      <c r="Q16" s="240">
        <f>O16*P16</f>
        <v>148.97693866666657</v>
      </c>
      <c r="R16" s="242">
        <f>VLOOKUP(M16,Tarifa,2)</f>
        <v>371.83</v>
      </c>
      <c r="S16" s="240">
        <f>Q16+R16</f>
        <v>520.80693866666661</v>
      </c>
      <c r="T16" s="240">
        <f>VLOOKUP(M16,Credito,2)</f>
        <v>475</v>
      </c>
      <c r="U16" s="240">
        <f>ROUND((S16-T16)/30.4*G16,2)</f>
        <v>22.6</v>
      </c>
      <c r="V16" s="219">
        <f t="shared" si="5"/>
        <v>0</v>
      </c>
      <c r="W16" s="219">
        <f t="shared" si="3"/>
        <v>0</v>
      </c>
      <c r="X16" s="220">
        <v>0</v>
      </c>
      <c r="Y16" s="219">
        <f>SUM(W16:X16)</f>
        <v>0</v>
      </c>
      <c r="Z16" s="219">
        <f>K16+V16-Y16</f>
        <v>3800</v>
      </c>
      <c r="AA16" s="231"/>
    </row>
    <row r="17" spans="1:26" ht="18" x14ac:dyDescent="0.25">
      <c r="A17" s="130"/>
      <c r="B17" s="130"/>
      <c r="C17" s="130"/>
      <c r="D17" s="130"/>
      <c r="E17" s="130"/>
      <c r="F17" s="130"/>
      <c r="G17" s="131"/>
      <c r="H17" s="130"/>
      <c r="I17" s="132"/>
      <c r="J17" s="132"/>
      <c r="K17" s="132"/>
      <c r="L17" s="133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</row>
    <row r="18" spans="1:26" ht="45" customHeight="1" thickBot="1" x14ac:dyDescent="0.35">
      <c r="A18" s="348" t="s">
        <v>44</v>
      </c>
      <c r="B18" s="349"/>
      <c r="C18" s="349"/>
      <c r="D18" s="349"/>
      <c r="E18" s="349"/>
      <c r="F18" s="349"/>
      <c r="G18" s="349"/>
      <c r="H18" s="350"/>
      <c r="I18" s="182">
        <f t="shared" ref="I18:Z18" si="9">SUM(I9:I17)</f>
        <v>38900.67</v>
      </c>
      <c r="J18" s="182">
        <f t="shared" si="9"/>
        <v>0</v>
      </c>
      <c r="K18" s="182">
        <f t="shared" si="9"/>
        <v>38900.67</v>
      </c>
      <c r="L18" s="183">
        <f t="shared" si="9"/>
        <v>0</v>
      </c>
      <c r="M18" s="183">
        <f t="shared" si="9"/>
        <v>78838.691199999987</v>
      </c>
      <c r="N18" s="183">
        <f t="shared" si="9"/>
        <v>57260.249999999993</v>
      </c>
      <c r="O18" s="183">
        <f t="shared" si="9"/>
        <v>21578.441199999994</v>
      </c>
      <c r="P18" s="183">
        <f t="shared" si="9"/>
        <v>0.94079999999999997</v>
      </c>
      <c r="Q18" s="183">
        <f t="shared" si="9"/>
        <v>2469.5607483733329</v>
      </c>
      <c r="R18" s="183">
        <f t="shared" si="9"/>
        <v>3785.6899999999996</v>
      </c>
      <c r="S18" s="183">
        <f t="shared" si="9"/>
        <v>6255.2507483733316</v>
      </c>
      <c r="T18" s="183">
        <f t="shared" si="9"/>
        <v>3325</v>
      </c>
      <c r="U18" s="183">
        <f t="shared" si="9"/>
        <v>1445.8500000000001</v>
      </c>
      <c r="V18" s="182">
        <f t="shared" si="9"/>
        <v>0</v>
      </c>
      <c r="W18" s="182">
        <f t="shared" si="9"/>
        <v>1423.2500000000002</v>
      </c>
      <c r="X18" s="182">
        <f t="shared" si="9"/>
        <v>603.94000000000005</v>
      </c>
      <c r="Y18" s="182">
        <f t="shared" si="9"/>
        <v>2027.1900000000003</v>
      </c>
      <c r="Z18" s="182">
        <f t="shared" si="9"/>
        <v>36873.479999999996</v>
      </c>
    </row>
    <row r="19" spans="1:26" ht="13.5" thickTop="1" x14ac:dyDescent="0.2"/>
  </sheetData>
  <mergeCells count="9">
    <mergeCell ref="W5:Y5"/>
    <mergeCell ref="A18:H18"/>
    <mergeCell ref="A1:AA1"/>
    <mergeCell ref="A2:AA2"/>
    <mergeCell ref="A3:AA3"/>
    <mergeCell ref="I5:K5"/>
    <mergeCell ref="N5:S5"/>
    <mergeCell ref="B5:B7"/>
    <mergeCell ref="C5:C7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9:E9 D11:E16" xr:uid="{00000000-0002-0000-0900-000000000000}"/>
  </dataValidation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31"/>
  <sheetViews>
    <sheetView topLeftCell="B1" zoomScale="68" zoomScaleNormal="68" workbookViewId="0">
      <selection activeCell="Y9" sqref="Y9"/>
    </sheetView>
  </sheetViews>
  <sheetFormatPr baseColWidth="10" defaultColWidth="11.42578125" defaultRowHeight="12.75" x14ac:dyDescent="0.2"/>
  <cols>
    <col min="1" max="1" width="5.5703125" style="64" hidden="1" customWidth="1"/>
    <col min="2" max="2" width="10.5703125" style="64" customWidth="1"/>
    <col min="3" max="3" width="9" style="64" customWidth="1"/>
    <col min="4" max="4" width="16.28515625" style="64" customWidth="1"/>
    <col min="5" max="5" width="22" style="64" customWidth="1"/>
    <col min="6" max="7" width="11.28515625" style="64" hidden="1" customWidth="1"/>
    <col min="8" max="8" width="17.5703125" style="64" customWidth="1"/>
    <col min="9" max="9" width="16.5703125" style="64" customWidth="1"/>
    <col min="10" max="10" width="18" style="64" customWidth="1"/>
    <col min="11" max="11" width="12.7109375" style="64" hidden="1" customWidth="1"/>
    <col min="12" max="12" width="13.140625" style="64" hidden="1" customWidth="1"/>
    <col min="13" max="13" width="14.42578125" style="64" hidden="1" customWidth="1"/>
    <col min="14" max="14" width="15" style="64" hidden="1" customWidth="1"/>
    <col min="15" max="15" width="11" style="64" hidden="1" customWidth="1"/>
    <col min="16" max="17" width="13.140625" style="64" hidden="1" customWidth="1"/>
    <col min="18" max="18" width="15.42578125" style="64" hidden="1" customWidth="1"/>
    <col min="19" max="19" width="10.42578125" style="64" hidden="1" customWidth="1"/>
    <col min="20" max="20" width="13.140625" style="64" hidden="1" customWidth="1"/>
    <col min="21" max="21" width="11.5703125" style="64" customWidth="1"/>
    <col min="22" max="22" width="15.5703125" style="64" customWidth="1"/>
    <col min="23" max="23" width="14.5703125" style="64" customWidth="1"/>
    <col min="24" max="24" width="15.85546875" style="64" customWidth="1"/>
    <col min="25" max="25" width="18" style="64" customWidth="1"/>
    <col min="26" max="26" width="111.85546875" style="64" customWidth="1"/>
    <col min="27" max="27" width="73.42578125" style="64" customWidth="1"/>
    <col min="28" max="16384" width="11.42578125" style="64"/>
  </cols>
  <sheetData>
    <row r="1" spans="1:27" ht="18" x14ac:dyDescent="0.25">
      <c r="A1" s="362" t="s">
        <v>76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4"/>
    </row>
    <row r="2" spans="1:27" ht="18" x14ac:dyDescent="0.25">
      <c r="A2" s="362" t="s">
        <v>64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4"/>
    </row>
    <row r="3" spans="1:27" ht="18" x14ac:dyDescent="0.25">
      <c r="A3" s="335"/>
      <c r="B3" s="362" t="str">
        <f>PRESIDENCIA!A3</f>
        <v>SUELDO  DEL 16 AL 30 DE JUNIO DE 2025</v>
      </c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362"/>
      <c r="T3" s="362"/>
      <c r="U3" s="362"/>
      <c r="V3" s="362"/>
      <c r="W3" s="362"/>
      <c r="X3" s="362"/>
      <c r="Y3" s="362"/>
      <c r="Z3" s="362"/>
      <c r="AA3" s="4"/>
    </row>
    <row r="4" spans="1:27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"/>
    </row>
    <row r="5" spans="1:27" x14ac:dyDescent="0.2">
      <c r="A5" s="22"/>
      <c r="B5" s="22"/>
      <c r="C5" s="22"/>
      <c r="D5" s="22"/>
      <c r="E5" s="22"/>
      <c r="F5" s="23" t="s">
        <v>22</v>
      </c>
      <c r="G5" s="314"/>
      <c r="H5" s="363" t="s">
        <v>1</v>
      </c>
      <c r="I5" s="364"/>
      <c r="J5" s="365"/>
      <c r="K5" s="24" t="s">
        <v>25</v>
      </c>
      <c r="L5" s="25"/>
      <c r="M5" s="366" t="s">
        <v>8</v>
      </c>
      <c r="N5" s="367"/>
      <c r="O5" s="367"/>
      <c r="P5" s="367"/>
      <c r="Q5" s="367"/>
      <c r="R5" s="368"/>
      <c r="S5" s="24" t="s">
        <v>29</v>
      </c>
      <c r="T5" s="24" t="s">
        <v>9</v>
      </c>
      <c r="U5" s="23" t="s">
        <v>52</v>
      </c>
      <c r="V5" s="369" t="s">
        <v>2</v>
      </c>
      <c r="W5" s="370"/>
      <c r="X5" s="371"/>
      <c r="Y5" s="23" t="s">
        <v>0</v>
      </c>
      <c r="Z5" s="95"/>
      <c r="AA5" s="4"/>
    </row>
    <row r="6" spans="1:27" ht="32.25" customHeight="1" x14ac:dyDescent="0.2">
      <c r="A6" s="26" t="s">
        <v>20</v>
      </c>
      <c r="B6" s="43" t="s">
        <v>96</v>
      </c>
      <c r="C6" s="43" t="s">
        <v>109</v>
      </c>
      <c r="D6" s="26"/>
      <c r="E6" s="26"/>
      <c r="F6" s="27" t="s">
        <v>23</v>
      </c>
      <c r="G6" s="27"/>
      <c r="H6" s="23" t="s">
        <v>5</v>
      </c>
      <c r="I6" s="23" t="s">
        <v>58</v>
      </c>
      <c r="J6" s="23" t="s">
        <v>27</v>
      </c>
      <c r="K6" s="28" t="s">
        <v>26</v>
      </c>
      <c r="L6" s="25" t="s">
        <v>31</v>
      </c>
      <c r="M6" s="25" t="s">
        <v>11</v>
      </c>
      <c r="N6" s="25" t="s">
        <v>33</v>
      </c>
      <c r="O6" s="25" t="s">
        <v>35</v>
      </c>
      <c r="P6" s="25" t="s">
        <v>36</v>
      </c>
      <c r="Q6" s="25" t="s">
        <v>13</v>
      </c>
      <c r="R6" s="25" t="s">
        <v>9</v>
      </c>
      <c r="S6" s="28" t="s">
        <v>39</v>
      </c>
      <c r="T6" s="28" t="s">
        <v>40</v>
      </c>
      <c r="U6" s="26" t="s">
        <v>30</v>
      </c>
      <c r="V6" s="23" t="s">
        <v>191</v>
      </c>
      <c r="W6" s="23" t="s">
        <v>56</v>
      </c>
      <c r="X6" s="23" t="s">
        <v>6</v>
      </c>
      <c r="Y6" s="26" t="s">
        <v>3</v>
      </c>
      <c r="Z6" s="35" t="s">
        <v>57</v>
      </c>
      <c r="AA6" s="4"/>
    </row>
    <row r="7" spans="1:27" x14ac:dyDescent="0.2">
      <c r="A7" s="29"/>
      <c r="B7" s="26"/>
      <c r="C7" s="26"/>
      <c r="D7" s="26"/>
      <c r="E7" s="26"/>
      <c r="F7" s="26"/>
      <c r="G7" s="26"/>
      <c r="H7" s="26" t="s">
        <v>46</v>
      </c>
      <c r="I7" s="26" t="s">
        <v>59</v>
      </c>
      <c r="J7" s="26" t="s">
        <v>28</v>
      </c>
      <c r="K7" s="28" t="s">
        <v>42</v>
      </c>
      <c r="L7" s="24" t="s">
        <v>32</v>
      </c>
      <c r="M7" s="24" t="s">
        <v>12</v>
      </c>
      <c r="N7" s="24" t="s">
        <v>34</v>
      </c>
      <c r="O7" s="24" t="s">
        <v>34</v>
      </c>
      <c r="P7" s="24" t="s">
        <v>37</v>
      </c>
      <c r="Q7" s="24" t="s">
        <v>14</v>
      </c>
      <c r="R7" s="24" t="s">
        <v>38</v>
      </c>
      <c r="S7" s="28" t="s">
        <v>18</v>
      </c>
      <c r="T7" s="31" t="s">
        <v>118</v>
      </c>
      <c r="U7" s="26" t="s">
        <v>51</v>
      </c>
      <c r="V7" s="26"/>
      <c r="W7" s="26"/>
      <c r="X7" s="26" t="s">
        <v>43</v>
      </c>
      <c r="Y7" s="26" t="s">
        <v>4</v>
      </c>
      <c r="Z7" s="96"/>
      <c r="AA7" s="4"/>
    </row>
    <row r="8" spans="1:27" ht="42" customHeight="1" x14ac:dyDescent="0.3">
      <c r="A8" s="38"/>
      <c r="B8" s="395" t="s">
        <v>107</v>
      </c>
      <c r="C8" s="396"/>
      <c r="D8" s="185" t="s">
        <v>195</v>
      </c>
      <c r="E8" s="186" t="s">
        <v>61</v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0"/>
      <c r="AA8" s="4"/>
    </row>
    <row r="9" spans="1:27" s="318" customFormat="1" ht="172.5" customHeight="1" x14ac:dyDescent="0.2">
      <c r="A9" s="208" t="s">
        <v>82</v>
      </c>
      <c r="B9" s="226" t="s">
        <v>230</v>
      </c>
      <c r="C9" s="226" t="s">
        <v>108</v>
      </c>
      <c r="D9" s="294">
        <v>45367</v>
      </c>
      <c r="E9" s="265" t="s">
        <v>66</v>
      </c>
      <c r="F9" s="215">
        <v>15</v>
      </c>
      <c r="G9" s="215">
        <f t="shared" ref="G9:G15" si="0">H9/F9</f>
        <v>728</v>
      </c>
      <c r="H9" s="217">
        <v>10920</v>
      </c>
      <c r="I9" s="218">
        <v>4077.88</v>
      </c>
      <c r="J9" s="219">
        <f t="shared" ref="J9" si="1">SUM(H9:I9)</f>
        <v>14997.880000000001</v>
      </c>
      <c r="K9" s="240">
        <f t="shared" ref="K9:K15" si="2">IF(H9/15&lt;=SMG,0,I9/2)</f>
        <v>2038.94</v>
      </c>
      <c r="L9" s="259">
        <f t="shared" ref="L9:L15" si="3">(H9+K9)/F9*30.4</f>
        <v>26263.451733333335</v>
      </c>
      <c r="M9" s="259">
        <f t="shared" ref="M9:M15" si="4">VLOOKUP(L9,Tarifa,1)</f>
        <v>15487.72</v>
      </c>
      <c r="N9" s="240">
        <f t="shared" ref="N9:N15" si="5">L9-M9</f>
        <v>10775.731733333336</v>
      </c>
      <c r="O9" s="241">
        <f t="shared" ref="O9:O15" si="6">VLOOKUP(L9,Tarifa,3)</f>
        <v>0.21360000000000001</v>
      </c>
      <c r="P9" s="240">
        <f t="shared" ref="P9:P15" si="7">N9*O9</f>
        <v>2301.6962982400005</v>
      </c>
      <c r="Q9" s="242">
        <f t="shared" ref="Q9:Q15" si="8">VLOOKUP(L9,Tarifa,2)</f>
        <v>1640.18</v>
      </c>
      <c r="R9" s="240">
        <f t="shared" ref="R9:R15" si="9">P9+Q9</f>
        <v>3941.8762982400003</v>
      </c>
      <c r="S9" s="240">
        <f t="shared" ref="S9:S15" si="10">VLOOKUP(L9,Credito,2)</f>
        <v>0</v>
      </c>
      <c r="T9" s="240">
        <f t="shared" ref="T9:T15" si="11">ROUND((R9-S9)/30.4*F9,2)</f>
        <v>1945</v>
      </c>
      <c r="U9" s="219">
        <f>-IF(T9&gt;0,0,0)</f>
        <v>0</v>
      </c>
      <c r="V9" s="219">
        <f t="shared" ref="V9" si="12">IF(H9/15&lt;=SMG,0,IF(T9&lt;0,0,T9))</f>
        <v>1945</v>
      </c>
      <c r="W9" s="220">
        <v>0</v>
      </c>
      <c r="X9" s="219">
        <f t="shared" ref="X9" si="13">SUM(V9:W9)</f>
        <v>1945</v>
      </c>
      <c r="Y9" s="219">
        <f>J9+U9-V9</f>
        <v>13052.880000000001</v>
      </c>
      <c r="Z9" s="317"/>
      <c r="AA9" s="277"/>
    </row>
    <row r="10" spans="1:27" s="223" customFormat="1" ht="172.5" customHeight="1" x14ac:dyDescent="0.2">
      <c r="A10" s="313"/>
      <c r="B10" s="226" t="s">
        <v>147</v>
      </c>
      <c r="C10" s="226" t="s">
        <v>108</v>
      </c>
      <c r="D10" s="294">
        <v>43601</v>
      </c>
      <c r="E10" s="214" t="s">
        <v>78</v>
      </c>
      <c r="F10" s="215">
        <v>15</v>
      </c>
      <c r="G10" s="215">
        <f t="shared" si="0"/>
        <v>594.76666666666665</v>
      </c>
      <c r="H10" s="217">
        <v>8921.5</v>
      </c>
      <c r="I10" s="218">
        <v>3396.85</v>
      </c>
      <c r="J10" s="219">
        <f t="shared" ref="J10:J12" si="14">SUM(H10:I10)</f>
        <v>12318.35</v>
      </c>
      <c r="K10" s="240">
        <f t="shared" si="2"/>
        <v>1698.425</v>
      </c>
      <c r="L10" s="259">
        <f t="shared" si="3"/>
        <v>21523.047999999999</v>
      </c>
      <c r="M10" s="259">
        <f t="shared" si="4"/>
        <v>15487.72</v>
      </c>
      <c r="N10" s="240">
        <f t="shared" si="5"/>
        <v>6035.3279999999995</v>
      </c>
      <c r="O10" s="241">
        <f t="shared" si="6"/>
        <v>0.21360000000000001</v>
      </c>
      <c r="P10" s="240">
        <f t="shared" si="7"/>
        <v>1289.1460608</v>
      </c>
      <c r="Q10" s="242">
        <f t="shared" si="8"/>
        <v>1640.18</v>
      </c>
      <c r="R10" s="240">
        <f t="shared" si="9"/>
        <v>2929.3260608000001</v>
      </c>
      <c r="S10" s="240">
        <f t="shared" si="10"/>
        <v>0</v>
      </c>
      <c r="T10" s="240">
        <f t="shared" si="11"/>
        <v>1445.39</v>
      </c>
      <c r="U10" s="219">
        <f t="shared" ref="U10:U12" si="15">-IF(T10&gt;0,0,0)</f>
        <v>0</v>
      </c>
      <c r="V10" s="219">
        <f t="shared" ref="V10" si="16">IF(H10/15&lt;=SMG,0,IF(T10&lt;0,0,T10))</f>
        <v>1445.39</v>
      </c>
      <c r="W10" s="220">
        <v>0</v>
      </c>
      <c r="X10" s="219">
        <f t="shared" ref="X10:X12" si="17">SUM(V10:W10)</f>
        <v>1445.39</v>
      </c>
      <c r="Y10" s="219">
        <f t="shared" ref="Y10:Y12" si="18">J10+U10-X10</f>
        <v>10872.960000000001</v>
      </c>
      <c r="Z10" s="317"/>
      <c r="AA10" s="277"/>
    </row>
    <row r="11" spans="1:27" s="223" customFormat="1" ht="172.5" customHeight="1" x14ac:dyDescent="0.2">
      <c r="A11" s="313"/>
      <c r="B11" s="226" t="s">
        <v>232</v>
      </c>
      <c r="C11" s="226" t="s">
        <v>108</v>
      </c>
      <c r="D11" s="269">
        <v>45367</v>
      </c>
      <c r="E11" s="214" t="s">
        <v>78</v>
      </c>
      <c r="F11" s="215">
        <v>15</v>
      </c>
      <c r="G11" s="215">
        <f t="shared" si="0"/>
        <v>594.76666666666665</v>
      </c>
      <c r="H11" s="217">
        <v>8921.5</v>
      </c>
      <c r="I11" s="218">
        <v>0</v>
      </c>
      <c r="J11" s="219">
        <f t="shared" ref="J11" si="19">SUM(H11:I11)</f>
        <v>8921.5</v>
      </c>
      <c r="K11" s="240">
        <f t="shared" si="2"/>
        <v>0</v>
      </c>
      <c r="L11" s="259">
        <f t="shared" si="3"/>
        <v>18080.906666666666</v>
      </c>
      <c r="M11" s="259">
        <f t="shared" si="4"/>
        <v>15487.72</v>
      </c>
      <c r="N11" s="240">
        <f t="shared" si="5"/>
        <v>2593.1866666666665</v>
      </c>
      <c r="O11" s="241">
        <f t="shared" si="6"/>
        <v>0.21360000000000001</v>
      </c>
      <c r="P11" s="240">
        <f t="shared" si="7"/>
        <v>553.90467200000001</v>
      </c>
      <c r="Q11" s="242">
        <f t="shared" si="8"/>
        <v>1640.18</v>
      </c>
      <c r="R11" s="240">
        <f t="shared" si="9"/>
        <v>2194.084672</v>
      </c>
      <c r="S11" s="240">
        <f t="shared" si="10"/>
        <v>0</v>
      </c>
      <c r="T11" s="240">
        <f t="shared" si="11"/>
        <v>1082.6099999999999</v>
      </c>
      <c r="U11" s="219">
        <f t="shared" ref="U11" si="20">-IF(T11&gt;0,0,0)</f>
        <v>0</v>
      </c>
      <c r="V11" s="219">
        <f t="shared" ref="V11" si="21">IF(H11/15&lt;=SMG,0,IF(T11&lt;0,0,T11))</f>
        <v>1082.6099999999999</v>
      </c>
      <c r="W11" s="220">
        <v>0</v>
      </c>
      <c r="X11" s="219">
        <f t="shared" ref="X11" si="22">SUM(V11:W11)</f>
        <v>1082.6099999999999</v>
      </c>
      <c r="Y11" s="219">
        <f t="shared" ref="Y11" si="23">J11+U11-X11</f>
        <v>7838.89</v>
      </c>
      <c r="Z11" s="317"/>
      <c r="AA11" s="277"/>
    </row>
    <row r="12" spans="1:27" s="223" customFormat="1" ht="172.5" customHeight="1" x14ac:dyDescent="0.2">
      <c r="A12" s="313"/>
      <c r="B12" s="226" t="s">
        <v>231</v>
      </c>
      <c r="C12" s="226" t="s">
        <v>108</v>
      </c>
      <c r="D12" s="294">
        <v>45367</v>
      </c>
      <c r="E12" s="214" t="s">
        <v>180</v>
      </c>
      <c r="F12" s="215">
        <v>15</v>
      </c>
      <c r="G12" s="215">
        <f t="shared" si="0"/>
        <v>566.93333333333328</v>
      </c>
      <c r="H12" s="217">
        <v>8504</v>
      </c>
      <c r="I12" s="218">
        <v>3254.58</v>
      </c>
      <c r="J12" s="219">
        <f t="shared" si="14"/>
        <v>11758.58</v>
      </c>
      <c r="K12" s="240">
        <f t="shared" si="2"/>
        <v>1627.29</v>
      </c>
      <c r="L12" s="259">
        <f t="shared" si="3"/>
        <v>20532.747733333334</v>
      </c>
      <c r="M12" s="259">
        <f t="shared" si="4"/>
        <v>15487.72</v>
      </c>
      <c r="N12" s="240">
        <f t="shared" si="5"/>
        <v>5045.0277333333343</v>
      </c>
      <c r="O12" s="241">
        <f t="shared" si="6"/>
        <v>0.21360000000000001</v>
      </c>
      <c r="P12" s="240">
        <f t="shared" si="7"/>
        <v>1077.6179238400002</v>
      </c>
      <c r="Q12" s="242">
        <f t="shared" si="8"/>
        <v>1640.18</v>
      </c>
      <c r="R12" s="240">
        <f t="shared" si="9"/>
        <v>2717.7979238400003</v>
      </c>
      <c r="S12" s="240">
        <f t="shared" si="10"/>
        <v>0</v>
      </c>
      <c r="T12" s="240">
        <f t="shared" si="11"/>
        <v>1341.02</v>
      </c>
      <c r="U12" s="219">
        <f t="shared" si="15"/>
        <v>0</v>
      </c>
      <c r="V12" s="219">
        <f t="shared" ref="V12" si="24">IF(H12/15&lt;=SMG,0,IF(T12&lt;0,0,T12))</f>
        <v>1341.02</v>
      </c>
      <c r="W12" s="220">
        <v>0</v>
      </c>
      <c r="X12" s="219">
        <f t="shared" si="17"/>
        <v>1341.02</v>
      </c>
      <c r="Y12" s="219">
        <f t="shared" si="18"/>
        <v>10417.56</v>
      </c>
      <c r="Z12" s="317"/>
      <c r="AA12" s="277"/>
    </row>
    <row r="13" spans="1:27" s="223" customFormat="1" ht="172.5" customHeight="1" x14ac:dyDescent="0.2">
      <c r="A13" s="313"/>
      <c r="B13" s="226" t="s">
        <v>229</v>
      </c>
      <c r="C13" s="226" t="s">
        <v>108</v>
      </c>
      <c r="D13" s="269">
        <v>45352</v>
      </c>
      <c r="E13" s="214" t="s">
        <v>180</v>
      </c>
      <c r="F13" s="215">
        <v>15</v>
      </c>
      <c r="G13" s="215">
        <f t="shared" si="0"/>
        <v>566.93333333333328</v>
      </c>
      <c r="H13" s="217">
        <v>8504</v>
      </c>
      <c r="I13" s="218">
        <v>3254.58</v>
      </c>
      <c r="J13" s="219">
        <f t="shared" ref="J13" si="25">SUM(H13:I13)</f>
        <v>11758.58</v>
      </c>
      <c r="K13" s="240">
        <f t="shared" si="2"/>
        <v>1627.29</v>
      </c>
      <c r="L13" s="259">
        <f t="shared" si="3"/>
        <v>20532.747733333334</v>
      </c>
      <c r="M13" s="259">
        <f t="shared" si="4"/>
        <v>15487.72</v>
      </c>
      <c r="N13" s="240">
        <f t="shared" si="5"/>
        <v>5045.0277333333343</v>
      </c>
      <c r="O13" s="241">
        <f t="shared" si="6"/>
        <v>0.21360000000000001</v>
      </c>
      <c r="P13" s="240">
        <f t="shared" si="7"/>
        <v>1077.6179238400002</v>
      </c>
      <c r="Q13" s="242">
        <f t="shared" si="8"/>
        <v>1640.18</v>
      </c>
      <c r="R13" s="240">
        <f t="shared" si="9"/>
        <v>2717.7979238400003</v>
      </c>
      <c r="S13" s="240">
        <f t="shared" si="10"/>
        <v>0</v>
      </c>
      <c r="T13" s="240">
        <f t="shared" si="11"/>
        <v>1341.02</v>
      </c>
      <c r="U13" s="219">
        <f t="shared" ref="U13:U14" si="26">-IF(T13&gt;0,0,0)</f>
        <v>0</v>
      </c>
      <c r="V13" s="219">
        <f t="shared" ref="V13:V14" si="27">IF(H13/15&lt;=SMG,0,IF(T13&lt;0,0,T13))</f>
        <v>1341.02</v>
      </c>
      <c r="W13" s="220">
        <v>0</v>
      </c>
      <c r="X13" s="219">
        <f t="shared" ref="X13:X14" si="28">SUM(V13:W13)</f>
        <v>1341.02</v>
      </c>
      <c r="Y13" s="219">
        <f t="shared" ref="Y13:Y14" si="29">J13+U13-X13</f>
        <v>10417.56</v>
      </c>
      <c r="Z13" s="317"/>
      <c r="AA13" s="277"/>
    </row>
    <row r="14" spans="1:27" s="223" customFormat="1" ht="172.5" customHeight="1" x14ac:dyDescent="0.2">
      <c r="A14" s="313"/>
      <c r="B14" s="226" t="s">
        <v>234</v>
      </c>
      <c r="C14" s="226" t="s">
        <v>108</v>
      </c>
      <c r="D14" s="269">
        <v>45367</v>
      </c>
      <c r="E14" s="214" t="s">
        <v>180</v>
      </c>
      <c r="F14" s="215">
        <v>15</v>
      </c>
      <c r="G14" s="215">
        <f t="shared" si="0"/>
        <v>566.93333333333328</v>
      </c>
      <c r="H14" s="217">
        <v>8504</v>
      </c>
      <c r="I14" s="218">
        <v>3254.58</v>
      </c>
      <c r="J14" s="219">
        <f t="shared" ref="J14" si="30">SUM(H14:I14)</f>
        <v>11758.58</v>
      </c>
      <c r="K14" s="240">
        <f t="shared" si="2"/>
        <v>1627.29</v>
      </c>
      <c r="L14" s="259">
        <f t="shared" si="3"/>
        <v>20532.747733333334</v>
      </c>
      <c r="M14" s="259">
        <f t="shared" si="4"/>
        <v>15487.72</v>
      </c>
      <c r="N14" s="240">
        <f t="shared" si="5"/>
        <v>5045.0277333333343</v>
      </c>
      <c r="O14" s="241">
        <f t="shared" si="6"/>
        <v>0.21360000000000001</v>
      </c>
      <c r="P14" s="240">
        <f t="shared" si="7"/>
        <v>1077.6179238400002</v>
      </c>
      <c r="Q14" s="242">
        <f t="shared" si="8"/>
        <v>1640.18</v>
      </c>
      <c r="R14" s="240">
        <f t="shared" si="9"/>
        <v>2717.7979238400003</v>
      </c>
      <c r="S14" s="240">
        <f t="shared" si="10"/>
        <v>0</v>
      </c>
      <c r="T14" s="240">
        <f t="shared" si="11"/>
        <v>1341.02</v>
      </c>
      <c r="U14" s="219">
        <f t="shared" si="26"/>
        <v>0</v>
      </c>
      <c r="V14" s="219">
        <f t="shared" si="27"/>
        <v>1341.02</v>
      </c>
      <c r="W14" s="220">
        <v>0</v>
      </c>
      <c r="X14" s="219">
        <f t="shared" si="28"/>
        <v>1341.02</v>
      </c>
      <c r="Y14" s="219">
        <f t="shared" si="29"/>
        <v>10417.56</v>
      </c>
      <c r="Z14" s="317"/>
      <c r="AA14" s="277"/>
    </row>
    <row r="15" spans="1:27" s="223" customFormat="1" ht="172.5" customHeight="1" x14ac:dyDescent="0.2">
      <c r="A15" s="313"/>
      <c r="B15" s="226" t="s">
        <v>100</v>
      </c>
      <c r="C15" s="226" t="s">
        <v>108</v>
      </c>
      <c r="D15" s="269">
        <v>41898</v>
      </c>
      <c r="E15" s="214" t="s">
        <v>79</v>
      </c>
      <c r="F15" s="215">
        <v>15</v>
      </c>
      <c r="G15" s="215">
        <f t="shared" si="0"/>
        <v>539.13333333333333</v>
      </c>
      <c r="H15" s="217">
        <v>8087</v>
      </c>
      <c r="I15" s="218">
        <v>0</v>
      </c>
      <c r="J15" s="219">
        <f t="shared" ref="J15" si="31">SUM(H15:I15)</f>
        <v>8087</v>
      </c>
      <c r="K15" s="240">
        <f t="shared" si="2"/>
        <v>0</v>
      </c>
      <c r="L15" s="259">
        <f t="shared" si="3"/>
        <v>16389.653333333332</v>
      </c>
      <c r="M15" s="259">
        <f t="shared" si="4"/>
        <v>15487.72</v>
      </c>
      <c r="N15" s="240">
        <f t="shared" si="5"/>
        <v>901.93333333333248</v>
      </c>
      <c r="O15" s="241">
        <f t="shared" si="6"/>
        <v>0.21360000000000001</v>
      </c>
      <c r="P15" s="240">
        <f t="shared" si="7"/>
        <v>192.65295999999984</v>
      </c>
      <c r="Q15" s="242">
        <f t="shared" si="8"/>
        <v>1640.18</v>
      </c>
      <c r="R15" s="240">
        <f t="shared" si="9"/>
        <v>1832.83296</v>
      </c>
      <c r="S15" s="240">
        <f t="shared" si="10"/>
        <v>0</v>
      </c>
      <c r="T15" s="240">
        <f t="shared" si="11"/>
        <v>904.36</v>
      </c>
      <c r="U15" s="219">
        <f t="shared" ref="U15" si="32">-IF(T15&gt;0,0,0)</f>
        <v>0</v>
      </c>
      <c r="V15" s="219">
        <f t="shared" ref="V15" si="33">IF(H15/15&lt;=SMG,0,IF(T15&lt;0,0,T15))</f>
        <v>904.36</v>
      </c>
      <c r="W15" s="220">
        <v>0</v>
      </c>
      <c r="X15" s="219">
        <f t="shared" ref="X15:X17" si="34">SUM(V15:W15)</f>
        <v>904.36</v>
      </c>
      <c r="Y15" s="219">
        <f t="shared" ref="Y15" si="35">J15+U15-X15</f>
        <v>7182.64</v>
      </c>
      <c r="Z15" s="317"/>
      <c r="AA15" s="277"/>
    </row>
    <row r="16" spans="1:27" s="223" customFormat="1" ht="172.5" customHeight="1" x14ac:dyDescent="0.2">
      <c r="A16" s="313"/>
      <c r="B16" s="226" t="s">
        <v>203</v>
      </c>
      <c r="C16" s="226" t="s">
        <v>108</v>
      </c>
      <c r="D16" s="269">
        <v>45092</v>
      </c>
      <c r="E16" s="214" t="s">
        <v>79</v>
      </c>
      <c r="F16" s="215">
        <v>15</v>
      </c>
      <c r="G16" s="215">
        <f t="shared" ref="G16:G17" si="36">H16/F16</f>
        <v>539.13333333333333</v>
      </c>
      <c r="H16" s="217">
        <v>8087</v>
      </c>
      <c r="I16" s="218">
        <v>0</v>
      </c>
      <c r="J16" s="219">
        <f t="shared" ref="J16:J17" si="37">SUM(H16:I16)</f>
        <v>8087</v>
      </c>
      <c r="K16" s="240">
        <f t="shared" ref="K16:K17" si="38">IF(H16/15&lt;=SMG,0,I16/2)</f>
        <v>0</v>
      </c>
      <c r="L16" s="259">
        <f t="shared" ref="L16:L17" si="39">(H16+K16)/F16*30.4</f>
        <v>16389.653333333332</v>
      </c>
      <c r="M16" s="259">
        <f t="shared" ref="M16:M17" si="40">VLOOKUP(L16,Tarifa,1)</f>
        <v>15487.72</v>
      </c>
      <c r="N16" s="240">
        <f t="shared" ref="N16:N17" si="41">L16-M16</f>
        <v>901.93333333333248</v>
      </c>
      <c r="O16" s="241">
        <f t="shared" ref="O16:O17" si="42">VLOOKUP(L16,Tarifa,3)</f>
        <v>0.21360000000000001</v>
      </c>
      <c r="P16" s="240">
        <f t="shared" ref="P16:P17" si="43">N16*O16</f>
        <v>192.65295999999984</v>
      </c>
      <c r="Q16" s="242">
        <f t="shared" ref="Q16:Q17" si="44">VLOOKUP(L16,Tarifa,2)</f>
        <v>1640.18</v>
      </c>
      <c r="R16" s="240">
        <f t="shared" ref="R16:R17" si="45">P16+Q16</f>
        <v>1832.83296</v>
      </c>
      <c r="S16" s="240">
        <f t="shared" ref="S16:S17" si="46">VLOOKUP(L16,Credito,2)</f>
        <v>0</v>
      </c>
      <c r="T16" s="240">
        <f t="shared" ref="T16:T17" si="47">ROUND((R16-S16)/30.4*F16,2)</f>
        <v>904.36</v>
      </c>
      <c r="U16" s="219">
        <f t="shared" ref="U16:U17" si="48">-IF(T16&gt;0,0,0)</f>
        <v>0</v>
      </c>
      <c r="V16" s="219">
        <f t="shared" ref="V16:V17" si="49">IF(H16/15&lt;=SMG,0,IF(T16&lt;0,0,T16))</f>
        <v>904.36</v>
      </c>
      <c r="W16" s="220">
        <v>0</v>
      </c>
      <c r="X16" s="219">
        <f t="shared" si="34"/>
        <v>904.36</v>
      </c>
      <c r="Y16" s="219">
        <f t="shared" ref="Y16:Y17" si="50">J16+U16-X16</f>
        <v>7182.64</v>
      </c>
      <c r="Z16" s="317"/>
      <c r="AA16" s="277"/>
    </row>
    <row r="17" spans="1:27" s="223" customFormat="1" ht="172.5" customHeight="1" x14ac:dyDescent="0.2">
      <c r="A17" s="313"/>
      <c r="B17" s="226" t="s">
        <v>233</v>
      </c>
      <c r="C17" s="226" t="s">
        <v>108</v>
      </c>
      <c r="D17" s="269">
        <v>45367</v>
      </c>
      <c r="E17" s="214" t="s">
        <v>79</v>
      </c>
      <c r="F17" s="215">
        <v>15</v>
      </c>
      <c r="G17" s="215">
        <f t="shared" si="36"/>
        <v>539.13333333333333</v>
      </c>
      <c r="H17" s="217">
        <v>8087</v>
      </c>
      <c r="I17" s="218">
        <v>0</v>
      </c>
      <c r="J17" s="219">
        <f t="shared" si="37"/>
        <v>8087</v>
      </c>
      <c r="K17" s="240">
        <f t="shared" si="38"/>
        <v>0</v>
      </c>
      <c r="L17" s="259">
        <f t="shared" si="39"/>
        <v>16389.653333333332</v>
      </c>
      <c r="M17" s="259">
        <f t="shared" si="40"/>
        <v>15487.72</v>
      </c>
      <c r="N17" s="240">
        <f t="shared" si="41"/>
        <v>901.93333333333248</v>
      </c>
      <c r="O17" s="241">
        <f t="shared" si="42"/>
        <v>0.21360000000000001</v>
      </c>
      <c r="P17" s="240">
        <f t="shared" si="43"/>
        <v>192.65295999999984</v>
      </c>
      <c r="Q17" s="242">
        <f t="shared" si="44"/>
        <v>1640.18</v>
      </c>
      <c r="R17" s="240">
        <f t="shared" si="45"/>
        <v>1832.83296</v>
      </c>
      <c r="S17" s="240">
        <f t="shared" si="46"/>
        <v>0</v>
      </c>
      <c r="T17" s="240">
        <f t="shared" si="47"/>
        <v>904.36</v>
      </c>
      <c r="U17" s="219">
        <f t="shared" si="48"/>
        <v>0</v>
      </c>
      <c r="V17" s="219">
        <f t="shared" si="49"/>
        <v>904.36</v>
      </c>
      <c r="W17" s="220">
        <v>0</v>
      </c>
      <c r="X17" s="219">
        <f t="shared" si="34"/>
        <v>904.36</v>
      </c>
      <c r="Y17" s="219">
        <f t="shared" si="50"/>
        <v>7182.64</v>
      </c>
      <c r="Z17" s="276"/>
      <c r="AA17" s="277"/>
    </row>
    <row r="18" spans="1:27" s="318" customFormat="1" ht="178.5" customHeight="1" x14ac:dyDescent="0.2">
      <c r="A18" s="313"/>
      <c r="B18" s="226" t="s">
        <v>220</v>
      </c>
      <c r="C18" s="226" t="s">
        <v>108</v>
      </c>
      <c r="D18" s="269">
        <v>45200</v>
      </c>
      <c r="E18" s="214" t="s">
        <v>79</v>
      </c>
      <c r="F18" s="215">
        <v>15</v>
      </c>
      <c r="G18" s="215">
        <f t="shared" ref="G18:G24" si="51">H18/F18</f>
        <v>539.13333333333333</v>
      </c>
      <c r="H18" s="217">
        <v>8087</v>
      </c>
      <c r="I18" s="218">
        <v>0</v>
      </c>
      <c r="J18" s="219">
        <f t="shared" ref="J18:J24" si="52">SUM(H18:I18)</f>
        <v>8087</v>
      </c>
      <c r="K18" s="240">
        <f t="shared" ref="K18:K24" si="53">IF(H18/15&lt;=SMG,0,I18/2)</f>
        <v>0</v>
      </c>
      <c r="L18" s="259">
        <f t="shared" ref="L18:L24" si="54">(H18+K18)/F18*30.4</f>
        <v>16389.653333333332</v>
      </c>
      <c r="M18" s="259">
        <f t="shared" ref="M18:M24" si="55">VLOOKUP(L18,Tarifa,1)</f>
        <v>15487.72</v>
      </c>
      <c r="N18" s="240">
        <f t="shared" ref="N18:N24" si="56">L18-M18</f>
        <v>901.93333333333248</v>
      </c>
      <c r="O18" s="241">
        <f t="shared" ref="O18:O24" si="57">VLOOKUP(L18,Tarifa,3)</f>
        <v>0.21360000000000001</v>
      </c>
      <c r="P18" s="240">
        <f t="shared" ref="P18:P24" si="58">N18*O18</f>
        <v>192.65295999999984</v>
      </c>
      <c r="Q18" s="242">
        <f t="shared" ref="Q18:Q24" si="59">VLOOKUP(L18,Tarifa,2)</f>
        <v>1640.18</v>
      </c>
      <c r="R18" s="240">
        <f t="shared" ref="R18:R24" si="60">P18+Q18</f>
        <v>1832.83296</v>
      </c>
      <c r="S18" s="240">
        <f t="shared" ref="S18:S24" si="61">VLOOKUP(L18,Credito,2)</f>
        <v>0</v>
      </c>
      <c r="T18" s="240">
        <f t="shared" ref="T18:T24" si="62">ROUND((R18-S18)/30.4*F18,2)</f>
        <v>904.36</v>
      </c>
      <c r="U18" s="219">
        <f t="shared" ref="U18:U24" si="63">-IF(T18&gt;0,0,0)</f>
        <v>0</v>
      </c>
      <c r="V18" s="219">
        <f t="shared" ref="V18:V24" si="64">IF(H18/15&lt;=SMG,0,IF(T18&lt;0,0,T18))</f>
        <v>904.36</v>
      </c>
      <c r="W18" s="220">
        <v>0</v>
      </c>
      <c r="X18" s="219">
        <f t="shared" ref="X18:X24" si="65">SUM(V18:W18)</f>
        <v>904.36</v>
      </c>
      <c r="Y18" s="219">
        <f t="shared" ref="Y18:Y24" si="66">J18+U18-X18</f>
        <v>7182.64</v>
      </c>
      <c r="Z18" s="276"/>
      <c r="AA18" s="277"/>
    </row>
    <row r="19" spans="1:27" s="318" customFormat="1" ht="178.5" customHeight="1" x14ac:dyDescent="0.2">
      <c r="A19" s="313"/>
      <c r="B19" s="226" t="s">
        <v>227</v>
      </c>
      <c r="C19" s="226" t="s">
        <v>108</v>
      </c>
      <c r="D19" s="269">
        <v>45292</v>
      </c>
      <c r="E19" s="214" t="s">
        <v>79</v>
      </c>
      <c r="F19" s="215">
        <v>15</v>
      </c>
      <c r="G19" s="215">
        <f t="shared" si="51"/>
        <v>539.13333333333333</v>
      </c>
      <c r="H19" s="217">
        <v>8087</v>
      </c>
      <c r="I19" s="218">
        <v>0</v>
      </c>
      <c r="J19" s="219">
        <f t="shared" si="52"/>
        <v>8087</v>
      </c>
      <c r="K19" s="240">
        <f t="shared" si="53"/>
        <v>0</v>
      </c>
      <c r="L19" s="259">
        <f t="shared" si="54"/>
        <v>16389.653333333332</v>
      </c>
      <c r="M19" s="259">
        <f t="shared" si="55"/>
        <v>15487.72</v>
      </c>
      <c r="N19" s="240">
        <f t="shared" si="56"/>
        <v>901.93333333333248</v>
      </c>
      <c r="O19" s="241">
        <f t="shared" si="57"/>
        <v>0.21360000000000001</v>
      </c>
      <c r="P19" s="240">
        <f t="shared" si="58"/>
        <v>192.65295999999984</v>
      </c>
      <c r="Q19" s="242">
        <f t="shared" si="59"/>
        <v>1640.18</v>
      </c>
      <c r="R19" s="240">
        <f t="shared" si="60"/>
        <v>1832.83296</v>
      </c>
      <c r="S19" s="240">
        <f t="shared" si="61"/>
        <v>0</v>
      </c>
      <c r="T19" s="240">
        <f t="shared" si="62"/>
        <v>904.36</v>
      </c>
      <c r="U19" s="219">
        <f t="shared" si="63"/>
        <v>0</v>
      </c>
      <c r="V19" s="219">
        <f t="shared" si="64"/>
        <v>904.36</v>
      </c>
      <c r="W19" s="220">
        <v>0</v>
      </c>
      <c r="X19" s="219">
        <f t="shared" si="65"/>
        <v>904.36</v>
      </c>
      <c r="Y19" s="219">
        <f t="shared" si="66"/>
        <v>7182.64</v>
      </c>
      <c r="Z19" s="276"/>
      <c r="AA19" s="277"/>
    </row>
    <row r="20" spans="1:27" s="318" customFormat="1" ht="178.5" customHeight="1" x14ac:dyDescent="0.2">
      <c r="A20" s="313"/>
      <c r="B20" s="226" t="s">
        <v>237</v>
      </c>
      <c r="C20" s="226" t="s">
        <v>108</v>
      </c>
      <c r="D20" s="269">
        <v>45413</v>
      </c>
      <c r="E20" s="214" t="s">
        <v>79</v>
      </c>
      <c r="F20" s="215">
        <v>15</v>
      </c>
      <c r="G20" s="215">
        <f t="shared" si="51"/>
        <v>539.13333333333333</v>
      </c>
      <c r="H20" s="217">
        <v>8087</v>
      </c>
      <c r="I20" s="218">
        <v>0</v>
      </c>
      <c r="J20" s="219">
        <f t="shared" si="52"/>
        <v>8087</v>
      </c>
      <c r="K20" s="240">
        <f t="shared" si="53"/>
        <v>0</v>
      </c>
      <c r="L20" s="259">
        <f t="shared" si="54"/>
        <v>16389.653333333332</v>
      </c>
      <c r="M20" s="259">
        <f t="shared" si="55"/>
        <v>15487.72</v>
      </c>
      <c r="N20" s="240">
        <f t="shared" si="56"/>
        <v>901.93333333333248</v>
      </c>
      <c r="O20" s="241">
        <f t="shared" si="57"/>
        <v>0.21360000000000001</v>
      </c>
      <c r="P20" s="240">
        <f t="shared" si="58"/>
        <v>192.65295999999984</v>
      </c>
      <c r="Q20" s="242">
        <f t="shared" si="59"/>
        <v>1640.18</v>
      </c>
      <c r="R20" s="240">
        <f t="shared" si="60"/>
        <v>1832.83296</v>
      </c>
      <c r="S20" s="240">
        <f t="shared" si="61"/>
        <v>0</v>
      </c>
      <c r="T20" s="240">
        <f t="shared" si="62"/>
        <v>904.36</v>
      </c>
      <c r="U20" s="219">
        <f t="shared" si="63"/>
        <v>0</v>
      </c>
      <c r="V20" s="219">
        <f t="shared" si="64"/>
        <v>904.36</v>
      </c>
      <c r="W20" s="220">
        <v>0</v>
      </c>
      <c r="X20" s="219">
        <f t="shared" si="65"/>
        <v>904.36</v>
      </c>
      <c r="Y20" s="219">
        <f t="shared" si="66"/>
        <v>7182.64</v>
      </c>
      <c r="Z20" s="276"/>
      <c r="AA20" s="277"/>
    </row>
    <row r="21" spans="1:27" s="318" customFormat="1" ht="178.5" customHeight="1" x14ac:dyDescent="0.2">
      <c r="A21" s="313"/>
      <c r="B21" s="226" t="s">
        <v>238</v>
      </c>
      <c r="C21" s="226" t="s">
        <v>108</v>
      </c>
      <c r="D21" s="269">
        <v>45444</v>
      </c>
      <c r="E21" s="214" t="s">
        <v>79</v>
      </c>
      <c r="F21" s="215">
        <v>15</v>
      </c>
      <c r="G21" s="215">
        <f t="shared" si="51"/>
        <v>539.13333333333333</v>
      </c>
      <c r="H21" s="217">
        <v>8087</v>
      </c>
      <c r="I21" s="218">
        <v>0</v>
      </c>
      <c r="J21" s="219">
        <f t="shared" si="52"/>
        <v>8087</v>
      </c>
      <c r="K21" s="240">
        <f t="shared" si="53"/>
        <v>0</v>
      </c>
      <c r="L21" s="259">
        <f t="shared" si="54"/>
        <v>16389.653333333332</v>
      </c>
      <c r="M21" s="259">
        <f t="shared" si="55"/>
        <v>15487.72</v>
      </c>
      <c r="N21" s="240">
        <f t="shared" si="56"/>
        <v>901.93333333333248</v>
      </c>
      <c r="O21" s="241">
        <f t="shared" si="57"/>
        <v>0.21360000000000001</v>
      </c>
      <c r="P21" s="240">
        <f t="shared" si="58"/>
        <v>192.65295999999984</v>
      </c>
      <c r="Q21" s="242">
        <f t="shared" si="59"/>
        <v>1640.18</v>
      </c>
      <c r="R21" s="240">
        <f t="shared" si="60"/>
        <v>1832.83296</v>
      </c>
      <c r="S21" s="240">
        <f t="shared" si="61"/>
        <v>0</v>
      </c>
      <c r="T21" s="240">
        <f t="shared" si="62"/>
        <v>904.36</v>
      </c>
      <c r="U21" s="219">
        <f t="shared" si="63"/>
        <v>0</v>
      </c>
      <c r="V21" s="219">
        <f t="shared" si="64"/>
        <v>904.36</v>
      </c>
      <c r="W21" s="220">
        <v>0</v>
      </c>
      <c r="X21" s="219">
        <f t="shared" si="65"/>
        <v>904.36</v>
      </c>
      <c r="Y21" s="219">
        <f t="shared" si="66"/>
        <v>7182.64</v>
      </c>
      <c r="Z21" s="276"/>
      <c r="AA21" s="277"/>
    </row>
    <row r="22" spans="1:27" s="318" customFormat="1" ht="178.5" customHeight="1" x14ac:dyDescent="0.2">
      <c r="A22" s="313"/>
      <c r="B22" s="226" t="s">
        <v>246</v>
      </c>
      <c r="C22" s="226" t="s">
        <v>108</v>
      </c>
      <c r="D22" s="269">
        <v>45459</v>
      </c>
      <c r="E22" s="214" t="s">
        <v>79</v>
      </c>
      <c r="F22" s="215">
        <v>15</v>
      </c>
      <c r="G22" s="215">
        <f t="shared" si="51"/>
        <v>539.13333333333333</v>
      </c>
      <c r="H22" s="217">
        <v>8087</v>
      </c>
      <c r="I22" s="218">
        <v>0</v>
      </c>
      <c r="J22" s="219">
        <f t="shared" si="52"/>
        <v>8087</v>
      </c>
      <c r="K22" s="240">
        <f t="shared" si="53"/>
        <v>0</v>
      </c>
      <c r="L22" s="259">
        <f t="shared" si="54"/>
        <v>16389.653333333332</v>
      </c>
      <c r="M22" s="259">
        <f t="shared" si="55"/>
        <v>15487.72</v>
      </c>
      <c r="N22" s="240">
        <f t="shared" si="56"/>
        <v>901.93333333333248</v>
      </c>
      <c r="O22" s="241">
        <f t="shared" si="57"/>
        <v>0.21360000000000001</v>
      </c>
      <c r="P22" s="240">
        <f t="shared" si="58"/>
        <v>192.65295999999984</v>
      </c>
      <c r="Q22" s="242">
        <f t="shared" si="59"/>
        <v>1640.18</v>
      </c>
      <c r="R22" s="240">
        <f t="shared" si="60"/>
        <v>1832.83296</v>
      </c>
      <c r="S22" s="240">
        <f t="shared" si="61"/>
        <v>0</v>
      </c>
      <c r="T22" s="240">
        <f t="shared" si="62"/>
        <v>904.36</v>
      </c>
      <c r="U22" s="219">
        <f t="shared" si="63"/>
        <v>0</v>
      </c>
      <c r="V22" s="219">
        <f t="shared" si="64"/>
        <v>904.36</v>
      </c>
      <c r="W22" s="220">
        <v>0</v>
      </c>
      <c r="X22" s="219">
        <f t="shared" si="65"/>
        <v>904.36</v>
      </c>
      <c r="Y22" s="219">
        <f t="shared" si="66"/>
        <v>7182.64</v>
      </c>
      <c r="Z22" s="276"/>
      <c r="AA22" s="277"/>
    </row>
    <row r="23" spans="1:27" s="318" customFormat="1" ht="178.5" customHeight="1" x14ac:dyDescent="0.2">
      <c r="A23" s="313"/>
      <c r="B23" s="279" t="s">
        <v>247</v>
      </c>
      <c r="C23" s="279" t="s">
        <v>108</v>
      </c>
      <c r="D23" s="319">
        <v>45459</v>
      </c>
      <c r="E23" s="282" t="s">
        <v>79</v>
      </c>
      <c r="F23" s="215">
        <v>15</v>
      </c>
      <c r="G23" s="215">
        <f t="shared" si="51"/>
        <v>539.13333333333333</v>
      </c>
      <c r="H23" s="217">
        <v>8087</v>
      </c>
      <c r="I23" s="284">
        <v>0</v>
      </c>
      <c r="J23" s="285">
        <f t="shared" si="52"/>
        <v>8087</v>
      </c>
      <c r="K23" s="240">
        <f t="shared" si="53"/>
        <v>0</v>
      </c>
      <c r="L23" s="259">
        <f t="shared" si="54"/>
        <v>16389.653333333332</v>
      </c>
      <c r="M23" s="259">
        <f t="shared" si="55"/>
        <v>15487.72</v>
      </c>
      <c r="N23" s="240">
        <f t="shared" si="56"/>
        <v>901.93333333333248</v>
      </c>
      <c r="O23" s="241">
        <f t="shared" si="57"/>
        <v>0.21360000000000001</v>
      </c>
      <c r="P23" s="240">
        <f t="shared" si="58"/>
        <v>192.65295999999984</v>
      </c>
      <c r="Q23" s="242">
        <f t="shared" si="59"/>
        <v>1640.18</v>
      </c>
      <c r="R23" s="240">
        <f t="shared" si="60"/>
        <v>1832.83296</v>
      </c>
      <c r="S23" s="240">
        <f t="shared" si="61"/>
        <v>0</v>
      </c>
      <c r="T23" s="240">
        <f t="shared" si="62"/>
        <v>904.36</v>
      </c>
      <c r="U23" s="285">
        <f t="shared" si="63"/>
        <v>0</v>
      </c>
      <c r="V23" s="285">
        <f t="shared" si="64"/>
        <v>904.36</v>
      </c>
      <c r="W23" s="286">
        <v>0</v>
      </c>
      <c r="X23" s="285">
        <f t="shared" si="65"/>
        <v>904.36</v>
      </c>
      <c r="Y23" s="285">
        <f t="shared" si="66"/>
        <v>7182.64</v>
      </c>
      <c r="Z23" s="276"/>
      <c r="AA23" s="277"/>
    </row>
    <row r="24" spans="1:27" s="318" customFormat="1" ht="178.5" customHeight="1" x14ac:dyDescent="0.2">
      <c r="A24" s="313"/>
      <c r="B24" s="226" t="s">
        <v>252</v>
      </c>
      <c r="C24" s="226" t="s">
        <v>108</v>
      </c>
      <c r="D24" s="269">
        <v>45520</v>
      </c>
      <c r="E24" s="214" t="s">
        <v>79</v>
      </c>
      <c r="F24" s="215">
        <v>15</v>
      </c>
      <c r="G24" s="215">
        <f t="shared" si="51"/>
        <v>539.13333333333333</v>
      </c>
      <c r="H24" s="217">
        <v>8087</v>
      </c>
      <c r="I24" s="218">
        <v>0</v>
      </c>
      <c r="J24" s="219">
        <f t="shared" si="52"/>
        <v>8087</v>
      </c>
      <c r="K24" s="240">
        <f t="shared" si="53"/>
        <v>0</v>
      </c>
      <c r="L24" s="259">
        <f t="shared" si="54"/>
        <v>16389.653333333332</v>
      </c>
      <c r="M24" s="259">
        <f t="shared" si="55"/>
        <v>15487.72</v>
      </c>
      <c r="N24" s="240">
        <f t="shared" si="56"/>
        <v>901.93333333333248</v>
      </c>
      <c r="O24" s="241">
        <f t="shared" si="57"/>
        <v>0.21360000000000001</v>
      </c>
      <c r="P24" s="240">
        <f t="shared" si="58"/>
        <v>192.65295999999984</v>
      </c>
      <c r="Q24" s="242">
        <f t="shared" si="59"/>
        <v>1640.18</v>
      </c>
      <c r="R24" s="240">
        <f t="shared" si="60"/>
        <v>1832.83296</v>
      </c>
      <c r="S24" s="240">
        <f t="shared" si="61"/>
        <v>0</v>
      </c>
      <c r="T24" s="240">
        <f t="shared" si="62"/>
        <v>904.36</v>
      </c>
      <c r="U24" s="219">
        <f t="shared" si="63"/>
        <v>0</v>
      </c>
      <c r="V24" s="219">
        <f t="shared" si="64"/>
        <v>904.36</v>
      </c>
      <c r="W24" s="220">
        <v>0</v>
      </c>
      <c r="X24" s="219">
        <f t="shared" si="65"/>
        <v>904.36</v>
      </c>
      <c r="Y24" s="219">
        <f t="shared" si="66"/>
        <v>7182.64</v>
      </c>
      <c r="Z24" s="276"/>
      <c r="AA24" s="277"/>
    </row>
    <row r="25" spans="1:27" s="318" customFormat="1" ht="178.5" customHeight="1" x14ac:dyDescent="0.2">
      <c r="A25" s="313"/>
      <c r="B25" s="226" t="s">
        <v>343</v>
      </c>
      <c r="C25" s="226" t="s">
        <v>108</v>
      </c>
      <c r="D25" s="269">
        <v>45704</v>
      </c>
      <c r="E25" s="214" t="s">
        <v>79</v>
      </c>
      <c r="F25" s="215">
        <v>15</v>
      </c>
      <c r="G25" s="215">
        <f t="shared" ref="G25:G26" si="67">H25/F25</f>
        <v>539.13333333333333</v>
      </c>
      <c r="H25" s="217">
        <v>8087</v>
      </c>
      <c r="I25" s="218">
        <v>0</v>
      </c>
      <c r="J25" s="219">
        <f t="shared" ref="J25:J26" si="68">SUM(H25:I25)</f>
        <v>8087</v>
      </c>
      <c r="K25" s="240">
        <f t="shared" ref="K25:K26" si="69">IF(H25/15&lt;=SMG,0,I25/2)</f>
        <v>0</v>
      </c>
      <c r="L25" s="259">
        <f t="shared" ref="L25:L26" si="70">(H25+K25)/F25*30.4</f>
        <v>16389.653333333332</v>
      </c>
      <c r="M25" s="259">
        <f t="shared" ref="M25:M26" si="71">VLOOKUP(L25,Tarifa,1)</f>
        <v>15487.72</v>
      </c>
      <c r="N25" s="240">
        <f t="shared" ref="N25:N26" si="72">L25-M25</f>
        <v>901.93333333333248</v>
      </c>
      <c r="O25" s="241">
        <f t="shared" ref="O25:O26" si="73">VLOOKUP(L25,Tarifa,3)</f>
        <v>0.21360000000000001</v>
      </c>
      <c r="P25" s="240">
        <f t="shared" ref="P25:P26" si="74">N25*O25</f>
        <v>192.65295999999984</v>
      </c>
      <c r="Q25" s="242">
        <f t="shared" ref="Q25:Q26" si="75">VLOOKUP(L25,Tarifa,2)</f>
        <v>1640.18</v>
      </c>
      <c r="R25" s="240">
        <f t="shared" ref="R25:R26" si="76">P25+Q25</f>
        <v>1832.83296</v>
      </c>
      <c r="S25" s="240">
        <f t="shared" ref="S25:S26" si="77">VLOOKUP(L25,Credito,2)</f>
        <v>0</v>
      </c>
      <c r="T25" s="240">
        <f t="shared" ref="T25:T26" si="78">ROUND((R25-S25)/30.4*F25,2)</f>
        <v>904.36</v>
      </c>
      <c r="U25" s="219">
        <f t="shared" ref="U25:U26" si="79">-IF(T25&gt;0,0,0)</f>
        <v>0</v>
      </c>
      <c r="V25" s="219">
        <f t="shared" ref="V25:V26" si="80">IF(H25/15&lt;=SMG,0,IF(T25&lt;0,0,T25))</f>
        <v>904.36</v>
      </c>
      <c r="W25" s="220">
        <v>0</v>
      </c>
      <c r="X25" s="219">
        <f t="shared" ref="X25:X26" si="81">SUM(V25:W25)</f>
        <v>904.36</v>
      </c>
      <c r="Y25" s="219">
        <f t="shared" ref="Y25:Y26" si="82">J25+U25-X25</f>
        <v>7182.64</v>
      </c>
      <c r="Z25" s="276"/>
      <c r="AA25" s="277"/>
    </row>
    <row r="26" spans="1:27" s="318" customFormat="1" ht="178.5" customHeight="1" x14ac:dyDescent="0.2">
      <c r="A26" s="313"/>
      <c r="B26" s="226" t="s">
        <v>344</v>
      </c>
      <c r="C26" s="226" t="s">
        <v>108</v>
      </c>
      <c r="D26" s="269">
        <v>45704</v>
      </c>
      <c r="E26" s="214" t="s">
        <v>79</v>
      </c>
      <c r="F26" s="215">
        <v>15</v>
      </c>
      <c r="G26" s="215">
        <f t="shared" si="67"/>
        <v>539.13333333333333</v>
      </c>
      <c r="H26" s="217">
        <v>8087</v>
      </c>
      <c r="I26" s="218">
        <v>0</v>
      </c>
      <c r="J26" s="219">
        <f t="shared" si="68"/>
        <v>8087</v>
      </c>
      <c r="K26" s="240">
        <f t="shared" si="69"/>
        <v>0</v>
      </c>
      <c r="L26" s="259">
        <f t="shared" si="70"/>
        <v>16389.653333333332</v>
      </c>
      <c r="M26" s="259">
        <f t="shared" si="71"/>
        <v>15487.72</v>
      </c>
      <c r="N26" s="240">
        <f t="shared" si="72"/>
        <v>901.93333333333248</v>
      </c>
      <c r="O26" s="241">
        <f t="shared" si="73"/>
        <v>0.21360000000000001</v>
      </c>
      <c r="P26" s="240">
        <f t="shared" si="74"/>
        <v>192.65295999999984</v>
      </c>
      <c r="Q26" s="242">
        <f t="shared" si="75"/>
        <v>1640.18</v>
      </c>
      <c r="R26" s="240">
        <f t="shared" si="76"/>
        <v>1832.83296</v>
      </c>
      <c r="S26" s="240">
        <f t="shared" si="77"/>
        <v>0</v>
      </c>
      <c r="T26" s="240">
        <f t="shared" si="78"/>
        <v>904.36</v>
      </c>
      <c r="U26" s="219">
        <f t="shared" si="79"/>
        <v>0</v>
      </c>
      <c r="V26" s="219">
        <f t="shared" si="80"/>
        <v>904.36</v>
      </c>
      <c r="W26" s="220">
        <v>0</v>
      </c>
      <c r="X26" s="219">
        <f t="shared" si="81"/>
        <v>904.36</v>
      </c>
      <c r="Y26" s="219">
        <f t="shared" si="82"/>
        <v>7182.64</v>
      </c>
      <c r="Z26" s="276"/>
      <c r="AA26" s="277"/>
    </row>
    <row r="27" spans="1:27" s="318" customFormat="1" ht="171" customHeight="1" x14ac:dyDescent="0.2">
      <c r="A27" s="313"/>
      <c r="B27" s="226" t="s">
        <v>345</v>
      </c>
      <c r="C27" s="226" t="s">
        <v>108</v>
      </c>
      <c r="D27" s="269">
        <v>45704</v>
      </c>
      <c r="E27" s="214" t="s">
        <v>79</v>
      </c>
      <c r="F27" s="215">
        <v>15</v>
      </c>
      <c r="G27" s="215">
        <f t="shared" ref="G27:G28" si="83">H27/F27</f>
        <v>539.13333333333333</v>
      </c>
      <c r="H27" s="217">
        <v>8087</v>
      </c>
      <c r="I27" s="218">
        <v>0</v>
      </c>
      <c r="J27" s="219">
        <f t="shared" ref="J27" si="84">SUM(H27:I27)</f>
        <v>8087</v>
      </c>
      <c r="K27" s="240">
        <f t="shared" ref="K27:K28" si="85">IF(H27/15&lt;=SMG,0,I27/2)</f>
        <v>0</v>
      </c>
      <c r="L27" s="259">
        <f t="shared" ref="L27:L28" si="86">(H27+K27)/F27*30.4</f>
        <v>16389.653333333332</v>
      </c>
      <c r="M27" s="259">
        <f t="shared" ref="M27:M28" si="87">VLOOKUP(L27,Tarifa,1)</f>
        <v>15487.72</v>
      </c>
      <c r="N27" s="240">
        <f t="shared" ref="N27:N28" si="88">L27-M27</f>
        <v>901.93333333333248</v>
      </c>
      <c r="O27" s="241">
        <f t="shared" ref="O27:O28" si="89">VLOOKUP(L27,Tarifa,3)</f>
        <v>0.21360000000000001</v>
      </c>
      <c r="P27" s="240">
        <f t="shared" ref="P27:P28" si="90">N27*O27</f>
        <v>192.65295999999984</v>
      </c>
      <c r="Q27" s="242">
        <f t="shared" ref="Q27:Q28" si="91">VLOOKUP(L27,Tarifa,2)</f>
        <v>1640.18</v>
      </c>
      <c r="R27" s="240">
        <f t="shared" ref="R27:R28" si="92">P27+Q27</f>
        <v>1832.83296</v>
      </c>
      <c r="S27" s="240">
        <f t="shared" ref="S27:S28" si="93">VLOOKUP(L27,Credito,2)</f>
        <v>0</v>
      </c>
      <c r="T27" s="240">
        <f t="shared" ref="T27:T28" si="94">ROUND((R27-S27)/30.4*F27,2)</f>
        <v>904.36</v>
      </c>
      <c r="U27" s="219">
        <f t="shared" ref="U27:U28" si="95">-IF(T27&gt;0,0,0)</f>
        <v>0</v>
      </c>
      <c r="V27" s="219">
        <f t="shared" ref="V27:V28" si="96">IF(H27/15&lt;=SMG,0,IF(T27&lt;0,0,T27))</f>
        <v>904.36</v>
      </c>
      <c r="W27" s="220">
        <v>0</v>
      </c>
      <c r="X27" s="219">
        <f t="shared" ref="X27:X28" si="97">SUM(V27:W27)</f>
        <v>904.36</v>
      </c>
      <c r="Y27" s="219">
        <f t="shared" ref="Y27:Y28" si="98">J27+U27-X27</f>
        <v>7182.64</v>
      </c>
      <c r="Z27" s="276"/>
      <c r="AA27" s="277"/>
    </row>
    <row r="28" spans="1:27" s="318" customFormat="1" ht="171" customHeight="1" x14ac:dyDescent="0.2">
      <c r="A28" s="313"/>
      <c r="B28" s="226" t="s">
        <v>349</v>
      </c>
      <c r="C28" s="226" t="s">
        <v>108</v>
      </c>
      <c r="D28" s="269">
        <v>45717</v>
      </c>
      <c r="E28" s="214" t="s">
        <v>79</v>
      </c>
      <c r="F28" s="215">
        <v>15</v>
      </c>
      <c r="G28" s="215">
        <f t="shared" si="83"/>
        <v>539.13333333333333</v>
      </c>
      <c r="H28" s="217">
        <v>8087</v>
      </c>
      <c r="I28" s="218">
        <v>0</v>
      </c>
      <c r="J28" s="219">
        <f t="shared" ref="J28" si="99">SUM(H28:I28)</f>
        <v>8087</v>
      </c>
      <c r="K28" s="240">
        <f t="shared" si="85"/>
        <v>0</v>
      </c>
      <c r="L28" s="259">
        <f t="shared" si="86"/>
        <v>16389.653333333332</v>
      </c>
      <c r="M28" s="259">
        <f t="shared" si="87"/>
        <v>15487.72</v>
      </c>
      <c r="N28" s="240">
        <f t="shared" si="88"/>
        <v>901.93333333333248</v>
      </c>
      <c r="O28" s="241">
        <f t="shared" si="89"/>
        <v>0.21360000000000001</v>
      </c>
      <c r="P28" s="240">
        <f t="shared" si="90"/>
        <v>192.65295999999984</v>
      </c>
      <c r="Q28" s="242">
        <f t="shared" si="91"/>
        <v>1640.18</v>
      </c>
      <c r="R28" s="240">
        <f t="shared" si="92"/>
        <v>1832.83296</v>
      </c>
      <c r="S28" s="240">
        <f t="shared" si="93"/>
        <v>0</v>
      </c>
      <c r="T28" s="240">
        <f t="shared" si="94"/>
        <v>904.36</v>
      </c>
      <c r="U28" s="219">
        <f t="shared" si="95"/>
        <v>0</v>
      </c>
      <c r="V28" s="219">
        <f t="shared" si="96"/>
        <v>904.36</v>
      </c>
      <c r="W28" s="220">
        <v>0</v>
      </c>
      <c r="X28" s="219">
        <f t="shared" si="97"/>
        <v>904.36</v>
      </c>
      <c r="Y28" s="219">
        <f t="shared" si="98"/>
        <v>7182.64</v>
      </c>
      <c r="Z28" s="276"/>
      <c r="AA28" s="277"/>
    </row>
    <row r="29" spans="1:27" s="318" customFormat="1" ht="171" customHeight="1" x14ac:dyDescent="0.2">
      <c r="A29" s="313"/>
      <c r="B29" s="226" t="s">
        <v>375</v>
      </c>
      <c r="C29" s="226" t="s">
        <v>299</v>
      </c>
      <c r="D29" s="269">
        <v>45809</v>
      </c>
      <c r="E29" s="214" t="s">
        <v>79</v>
      </c>
      <c r="F29" s="215">
        <v>15</v>
      </c>
      <c r="G29" s="215">
        <f t="shared" ref="G29" si="100">H29/F29</f>
        <v>539.13333333333333</v>
      </c>
      <c r="H29" s="217">
        <v>8087</v>
      </c>
      <c r="I29" s="218">
        <v>0</v>
      </c>
      <c r="J29" s="219">
        <f t="shared" ref="J29" si="101">SUM(H29:I29)</f>
        <v>8087</v>
      </c>
      <c r="K29" s="240">
        <f t="shared" ref="K29" si="102">IF(H29/15&lt;=SMG,0,I29/2)</f>
        <v>0</v>
      </c>
      <c r="L29" s="259">
        <f t="shared" ref="L29" si="103">(H29+K29)/F29*30.4</f>
        <v>16389.653333333332</v>
      </c>
      <c r="M29" s="259">
        <f t="shared" ref="M29" si="104">VLOOKUP(L29,Tarifa,1)</f>
        <v>15487.72</v>
      </c>
      <c r="N29" s="240">
        <f t="shared" ref="N29" si="105">L29-M29</f>
        <v>901.93333333333248</v>
      </c>
      <c r="O29" s="241">
        <f t="shared" ref="O29" si="106">VLOOKUP(L29,Tarifa,3)</f>
        <v>0.21360000000000001</v>
      </c>
      <c r="P29" s="240">
        <f t="shared" ref="P29" si="107">N29*O29</f>
        <v>192.65295999999984</v>
      </c>
      <c r="Q29" s="242">
        <f t="shared" ref="Q29" si="108">VLOOKUP(L29,Tarifa,2)</f>
        <v>1640.18</v>
      </c>
      <c r="R29" s="240">
        <f t="shared" ref="R29" si="109">P29+Q29</f>
        <v>1832.83296</v>
      </c>
      <c r="S29" s="240">
        <f t="shared" ref="S29" si="110">VLOOKUP(L29,Credito,2)</f>
        <v>0</v>
      </c>
      <c r="T29" s="240">
        <f t="shared" ref="T29" si="111">ROUND((R29-S29)/30.4*F29,2)</f>
        <v>904.36</v>
      </c>
      <c r="U29" s="219">
        <f t="shared" ref="U29" si="112">-IF(T29&gt;0,0,0)</f>
        <v>0</v>
      </c>
      <c r="V29" s="219">
        <f t="shared" ref="V29" si="113">IF(H29/15&lt;=SMG,0,IF(T29&lt;0,0,T29))</f>
        <v>904.36</v>
      </c>
      <c r="W29" s="220">
        <v>0</v>
      </c>
      <c r="X29" s="219">
        <f t="shared" ref="X29" si="114">SUM(V29:W29)</f>
        <v>904.36</v>
      </c>
      <c r="Y29" s="219">
        <f t="shared" ref="Y29" si="115">J29+U29-X29</f>
        <v>7182.64</v>
      </c>
      <c r="Z29" s="276"/>
      <c r="AA29" s="277"/>
    </row>
    <row r="30" spans="1:27" ht="29.25" customHeight="1" thickBot="1" x14ac:dyDescent="0.35">
      <c r="A30" s="348" t="s">
        <v>44</v>
      </c>
      <c r="B30" s="349"/>
      <c r="C30" s="349"/>
      <c r="D30" s="349"/>
      <c r="E30" s="349"/>
      <c r="F30" s="349"/>
      <c r="G30" s="315"/>
      <c r="H30" s="182">
        <f>SUM(H9:H29)</f>
        <v>175580</v>
      </c>
      <c r="I30" s="182">
        <f>SUM(I9:I29)</f>
        <v>17238.47</v>
      </c>
      <c r="J30" s="182">
        <f>SUM(J9:J29)</f>
        <v>192818.47</v>
      </c>
      <c r="K30" s="183">
        <f t="shared" ref="K30:T30" si="116">SUM(K9:K17)</f>
        <v>8619.2350000000006</v>
      </c>
      <c r="L30" s="183">
        <f t="shared" si="116"/>
        <v>176634.60959999997</v>
      </c>
      <c r="M30" s="183">
        <f t="shared" si="116"/>
        <v>139389.47999999998</v>
      </c>
      <c r="N30" s="183">
        <f t="shared" si="116"/>
        <v>37245.129600000015</v>
      </c>
      <c r="O30" s="183">
        <f t="shared" si="116"/>
        <v>1.9224000000000001</v>
      </c>
      <c r="P30" s="183">
        <f t="shared" si="116"/>
        <v>7955.5596825599987</v>
      </c>
      <c r="Q30" s="183">
        <f t="shared" si="116"/>
        <v>14761.62</v>
      </c>
      <c r="R30" s="183">
        <f t="shared" si="116"/>
        <v>22717.179682559999</v>
      </c>
      <c r="S30" s="183">
        <f t="shared" si="116"/>
        <v>0</v>
      </c>
      <c r="T30" s="183">
        <f t="shared" si="116"/>
        <v>11209.140000000003</v>
      </c>
      <c r="U30" s="182">
        <f>SUM(U9:U29)</f>
        <v>0</v>
      </c>
      <c r="V30" s="182">
        <f>SUM(V9:V29)</f>
        <v>22061.46000000001</v>
      </c>
      <c r="W30" s="182">
        <f>SUM(W9:W29)</f>
        <v>0</v>
      </c>
      <c r="X30" s="182">
        <f>SUM(X9:X29)</f>
        <v>22061.46000000001</v>
      </c>
      <c r="Y30" s="182">
        <f>SUM(Y9:Y29)</f>
        <v>170757.01000000007</v>
      </c>
      <c r="Z30" s="4"/>
      <c r="AA30" s="4"/>
    </row>
    <row r="31" spans="1:27" ht="13.5" thickTop="1" x14ac:dyDescent="0.2"/>
  </sheetData>
  <mergeCells count="8">
    <mergeCell ref="A30:F30"/>
    <mergeCell ref="A1:Z1"/>
    <mergeCell ref="A2:Z2"/>
    <mergeCell ref="H5:J5"/>
    <mergeCell ref="M5:R5"/>
    <mergeCell ref="V5:X5"/>
    <mergeCell ref="B8:C8"/>
    <mergeCell ref="B3:Z3"/>
  </mergeCells>
  <pageMargins left="0.35433070866141736" right="0.15748031496062992" top="0.19685039370078741" bottom="7.874015748031496E-2" header="0.31496062992125984" footer="0.31496062992125984"/>
  <pageSetup scale="34" orientation="landscape" horizontalDpi="4294967293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18"/>
  <sheetViews>
    <sheetView tabSelected="1" topLeftCell="B1" zoomScale="73" zoomScaleNormal="73" workbookViewId="0">
      <selection activeCell="I10" sqref="I10"/>
    </sheetView>
  </sheetViews>
  <sheetFormatPr baseColWidth="10" defaultColWidth="11.42578125" defaultRowHeight="12.75" x14ac:dyDescent="0.2"/>
  <cols>
    <col min="1" max="1" width="5.5703125" style="64" hidden="1" customWidth="1"/>
    <col min="2" max="2" width="9.42578125" style="64" customWidth="1"/>
    <col min="3" max="3" width="7.7109375" style="64" customWidth="1"/>
    <col min="4" max="4" width="27.5703125" style="64" customWidth="1"/>
    <col min="5" max="5" width="17.5703125" style="64" customWidth="1"/>
    <col min="6" max="6" width="19.5703125" style="64" customWidth="1"/>
    <col min="7" max="7" width="6.5703125" style="64" hidden="1" customWidth="1"/>
    <col min="8" max="8" width="10" style="64" hidden="1" customWidth="1"/>
    <col min="9" max="9" width="16.28515625" style="64" customWidth="1"/>
    <col min="10" max="10" width="16" style="64" customWidth="1"/>
    <col min="11" max="11" width="16.85546875" style="64" customWidth="1"/>
    <col min="12" max="12" width="13.140625" style="64" hidden="1" customWidth="1"/>
    <col min="13" max="15" width="14.28515625" style="64" hidden="1" customWidth="1"/>
    <col min="16" max="17" width="13.140625" style="64" hidden="1" customWidth="1"/>
    <col min="18" max="18" width="10.5703125" style="64" hidden="1" customWidth="1"/>
    <col min="19" max="20" width="13.140625" style="64" hidden="1" customWidth="1"/>
    <col min="21" max="21" width="11.5703125" style="64" hidden="1" customWidth="1"/>
    <col min="22" max="22" width="9.7109375" style="64" customWidth="1"/>
    <col min="23" max="23" width="14.42578125" style="64" customWidth="1"/>
    <col min="24" max="24" width="13.28515625" style="64" customWidth="1"/>
    <col min="25" max="25" width="15" style="64" customWidth="1"/>
    <col min="26" max="26" width="15.85546875" style="64" customWidth="1"/>
    <col min="27" max="27" width="61.42578125" style="64" customWidth="1"/>
    <col min="28" max="16384" width="11.42578125" style="64"/>
  </cols>
  <sheetData>
    <row r="1" spans="1:27" ht="18" x14ac:dyDescent="0.25">
      <c r="A1" s="362" t="s">
        <v>76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</row>
    <row r="2" spans="1:27" ht="18" x14ac:dyDescent="0.25">
      <c r="A2" s="362" t="s">
        <v>64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</row>
    <row r="3" spans="1:27" ht="19.5" x14ac:dyDescent="0.25">
      <c r="A3" s="352" t="str">
        <f>CHOFERES!A3</f>
        <v>SUELDO  DEL 16 AL 30 DE JUNIO DE 2025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27" ht="15" x14ac:dyDescent="0.2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</row>
    <row r="5" spans="1:27" x14ac:dyDescent="0.2">
      <c r="A5" s="65"/>
      <c r="B5" s="65"/>
      <c r="C5" s="65"/>
      <c r="D5" s="65"/>
      <c r="E5" s="65"/>
      <c r="F5" s="65"/>
      <c r="G5" s="66" t="s">
        <v>22</v>
      </c>
      <c r="H5" s="66" t="s">
        <v>5</v>
      </c>
      <c r="I5" s="397" t="s">
        <v>1</v>
      </c>
      <c r="J5" s="398"/>
      <c r="K5" s="399"/>
      <c r="L5" s="67" t="s">
        <v>25</v>
      </c>
      <c r="M5" s="68"/>
      <c r="N5" s="400" t="s">
        <v>8</v>
      </c>
      <c r="O5" s="401"/>
      <c r="P5" s="401"/>
      <c r="Q5" s="401"/>
      <c r="R5" s="401"/>
      <c r="S5" s="402"/>
      <c r="T5" s="67" t="s">
        <v>29</v>
      </c>
      <c r="U5" s="67" t="s">
        <v>9</v>
      </c>
      <c r="V5" s="66" t="s">
        <v>52</v>
      </c>
      <c r="W5" s="403" t="s">
        <v>2</v>
      </c>
      <c r="X5" s="404"/>
      <c r="Y5" s="405"/>
      <c r="Z5" s="66" t="s">
        <v>0</v>
      </c>
      <c r="AA5" s="69"/>
    </row>
    <row r="6" spans="1:27" ht="22.5" x14ac:dyDescent="0.2">
      <c r="A6" s="70" t="s">
        <v>20</v>
      </c>
      <c r="B6" s="71" t="s">
        <v>96</v>
      </c>
      <c r="C6" s="71" t="s">
        <v>109</v>
      </c>
      <c r="D6" s="70" t="s">
        <v>21</v>
      </c>
      <c r="E6" s="70"/>
      <c r="F6" s="70"/>
      <c r="G6" s="72" t="s">
        <v>23</v>
      </c>
      <c r="H6" s="70" t="s">
        <v>24</v>
      </c>
      <c r="I6" s="66" t="s">
        <v>5</v>
      </c>
      <c r="J6" s="66" t="s">
        <v>58</v>
      </c>
      <c r="K6" s="66" t="s">
        <v>27</v>
      </c>
      <c r="L6" s="73" t="s">
        <v>26</v>
      </c>
      <c r="M6" s="68" t="s">
        <v>31</v>
      </c>
      <c r="N6" s="68" t="s">
        <v>11</v>
      </c>
      <c r="O6" s="68" t="s">
        <v>33</v>
      </c>
      <c r="P6" s="68" t="s">
        <v>35</v>
      </c>
      <c r="Q6" s="68" t="s">
        <v>36</v>
      </c>
      <c r="R6" s="68" t="s">
        <v>13</v>
      </c>
      <c r="S6" s="68" t="s">
        <v>9</v>
      </c>
      <c r="T6" s="73" t="s">
        <v>39</v>
      </c>
      <c r="U6" s="73" t="s">
        <v>40</v>
      </c>
      <c r="V6" s="70" t="s">
        <v>30</v>
      </c>
      <c r="W6" s="23" t="s">
        <v>191</v>
      </c>
      <c r="X6" s="66" t="s">
        <v>56</v>
      </c>
      <c r="Y6" s="66" t="s">
        <v>6</v>
      </c>
      <c r="Z6" s="70" t="s">
        <v>3</v>
      </c>
      <c r="AA6" s="74" t="s">
        <v>57</v>
      </c>
    </row>
    <row r="7" spans="1:27" x14ac:dyDescent="0.2">
      <c r="A7" s="75"/>
      <c r="B7" s="70"/>
      <c r="C7" s="70"/>
      <c r="D7" s="70"/>
      <c r="E7" s="70"/>
      <c r="F7" s="70"/>
      <c r="G7" s="70"/>
      <c r="H7" s="70"/>
      <c r="I7" s="70" t="s">
        <v>46</v>
      </c>
      <c r="J7" s="70" t="s">
        <v>59</v>
      </c>
      <c r="K7" s="70" t="s">
        <v>28</v>
      </c>
      <c r="L7" s="73" t="s">
        <v>42</v>
      </c>
      <c r="M7" s="67" t="s">
        <v>32</v>
      </c>
      <c r="N7" s="67" t="s">
        <v>12</v>
      </c>
      <c r="O7" s="67" t="s">
        <v>34</v>
      </c>
      <c r="P7" s="67" t="s">
        <v>34</v>
      </c>
      <c r="Q7" s="67" t="s">
        <v>37</v>
      </c>
      <c r="R7" s="67" t="s">
        <v>14</v>
      </c>
      <c r="S7" s="67" t="s">
        <v>38</v>
      </c>
      <c r="T7" s="73" t="s">
        <v>18</v>
      </c>
      <c r="U7" s="76" t="s">
        <v>118</v>
      </c>
      <c r="V7" s="70" t="s">
        <v>51</v>
      </c>
      <c r="W7" s="70"/>
      <c r="X7" s="70"/>
      <c r="Y7" s="70" t="s">
        <v>43</v>
      </c>
      <c r="Z7" s="70" t="s">
        <v>4</v>
      </c>
      <c r="AA7" s="77"/>
    </row>
    <row r="8" spans="1:27" ht="37.5" customHeight="1" x14ac:dyDescent="0.25">
      <c r="A8" s="78"/>
      <c r="B8" s="79"/>
      <c r="C8" s="79"/>
      <c r="D8" s="123" t="s">
        <v>124</v>
      </c>
      <c r="E8" s="92" t="s">
        <v>194</v>
      </c>
      <c r="F8" s="80" t="s">
        <v>61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81"/>
    </row>
    <row r="9" spans="1:27" s="318" customFormat="1" ht="117" customHeight="1" x14ac:dyDescent="0.2">
      <c r="A9" s="320"/>
      <c r="B9" s="321">
        <v>391</v>
      </c>
      <c r="C9" s="210" t="s">
        <v>108</v>
      </c>
      <c r="D9" s="292" t="s">
        <v>303</v>
      </c>
      <c r="E9" s="322">
        <v>45586</v>
      </c>
      <c r="F9" s="323" t="s">
        <v>302</v>
      </c>
      <c r="G9" s="293">
        <v>15</v>
      </c>
      <c r="H9" s="293">
        <f t="shared" ref="H9:H15" si="0">I9/G9</f>
        <v>675.23333333333335</v>
      </c>
      <c r="I9" s="217">
        <v>10128.5</v>
      </c>
      <c r="J9" s="218">
        <v>0</v>
      </c>
      <c r="K9" s="219">
        <f t="shared" ref="K9" si="1">SUM(I9:J9)</f>
        <v>10128.5</v>
      </c>
      <c r="L9" s="329">
        <f t="shared" ref="L9:L15" si="2">IF(I9/15&lt;=SMG,0,J9/2)</f>
        <v>0</v>
      </c>
      <c r="M9" s="329">
        <f t="shared" ref="M9:M15" si="3">(I9+L9)/G9*30.4</f>
        <v>20527.093333333334</v>
      </c>
      <c r="N9" s="329">
        <f t="shared" ref="N9:N15" si="4">VLOOKUP(M9,Tarifa,1)</f>
        <v>15487.72</v>
      </c>
      <c r="O9" s="329">
        <f t="shared" ref="O9:O15" si="5">M9-N9</f>
        <v>5039.3733333333348</v>
      </c>
      <c r="P9" s="330">
        <f t="shared" ref="P9:P15" si="6">VLOOKUP(M9,Tarifa,3)</f>
        <v>0.21360000000000001</v>
      </c>
      <c r="Q9" s="329">
        <f t="shared" ref="Q9:Q15" si="7">O9*P9</f>
        <v>1076.4101440000004</v>
      </c>
      <c r="R9" s="331">
        <f t="shared" ref="R9:R15" si="8">VLOOKUP(M9,Tarifa,2)</f>
        <v>1640.18</v>
      </c>
      <c r="S9" s="329">
        <f t="shared" ref="S9:S15" si="9">Q9+R9</f>
        <v>2716.5901440000007</v>
      </c>
      <c r="T9" s="329">
        <f t="shared" ref="T9:T15" si="10">VLOOKUP(M9,Credito,2)</f>
        <v>0</v>
      </c>
      <c r="U9" s="329">
        <f t="shared" ref="U9:U15" si="11">ROUND((S9-T9)/30.4*G9,2)</f>
        <v>1340.42</v>
      </c>
      <c r="V9" s="219">
        <f>-IF(U9&gt;0,0,0)</f>
        <v>0</v>
      </c>
      <c r="W9" s="219">
        <f t="shared" ref="W9" si="12">IF(I9/15&lt;=SMG,0,IF(U9&lt;0,0,U9))</f>
        <v>1340.42</v>
      </c>
      <c r="X9" s="220">
        <v>0</v>
      </c>
      <c r="Y9" s="219">
        <f t="shared" ref="Y9" si="13">SUM(W9:X9)</f>
        <v>1340.42</v>
      </c>
      <c r="Z9" s="219">
        <f t="shared" ref="Z9" si="14">K9+V9-Y9</f>
        <v>8788.08</v>
      </c>
      <c r="AA9" s="293"/>
    </row>
    <row r="10" spans="1:27" s="223" customFormat="1" ht="117" customHeight="1" x14ac:dyDescent="0.2">
      <c r="A10" s="208"/>
      <c r="B10" s="210" t="s">
        <v>330</v>
      </c>
      <c r="C10" s="210" t="s">
        <v>108</v>
      </c>
      <c r="D10" s="316" t="s">
        <v>328</v>
      </c>
      <c r="E10" s="324">
        <v>45658</v>
      </c>
      <c r="F10" s="323" t="s">
        <v>302</v>
      </c>
      <c r="G10" s="293">
        <v>15</v>
      </c>
      <c r="H10" s="293">
        <f t="shared" si="0"/>
        <v>774.58933333333334</v>
      </c>
      <c r="I10" s="217">
        <v>11618.84</v>
      </c>
      <c r="J10" s="218">
        <v>0</v>
      </c>
      <c r="K10" s="219">
        <f t="shared" ref="K10" si="15">SUM(I10:J10)</f>
        <v>11618.84</v>
      </c>
      <c r="L10" s="329">
        <f t="shared" si="2"/>
        <v>0</v>
      </c>
      <c r="M10" s="329">
        <f t="shared" si="3"/>
        <v>23547.515733333334</v>
      </c>
      <c r="N10" s="329">
        <f t="shared" si="4"/>
        <v>15487.72</v>
      </c>
      <c r="O10" s="329">
        <f t="shared" si="5"/>
        <v>8059.7957333333343</v>
      </c>
      <c r="P10" s="330">
        <f t="shared" si="6"/>
        <v>0.21360000000000001</v>
      </c>
      <c r="Q10" s="329">
        <f t="shared" si="7"/>
        <v>1721.5723686400004</v>
      </c>
      <c r="R10" s="331">
        <f t="shared" si="8"/>
        <v>1640.18</v>
      </c>
      <c r="S10" s="329">
        <f t="shared" si="9"/>
        <v>3361.7523686400004</v>
      </c>
      <c r="T10" s="329">
        <f t="shared" si="10"/>
        <v>0</v>
      </c>
      <c r="U10" s="329">
        <f t="shared" si="11"/>
        <v>1658.76</v>
      </c>
      <c r="V10" s="219">
        <f>-IF(U10&gt;0,0,0)</f>
        <v>0</v>
      </c>
      <c r="W10" s="219">
        <f t="shared" ref="W10" si="16">IF(I10/15&lt;=SMG,0,IF(U10&lt;0,0,U10))</f>
        <v>1658.76</v>
      </c>
      <c r="X10" s="220">
        <v>0</v>
      </c>
      <c r="Y10" s="219">
        <f t="shared" ref="Y10" si="17">SUM(W10:X10)</f>
        <v>1658.76</v>
      </c>
      <c r="Z10" s="219">
        <f t="shared" ref="Z10" si="18">K10+V10-Y10</f>
        <v>9960.08</v>
      </c>
      <c r="AA10" s="221"/>
    </row>
    <row r="11" spans="1:27" s="223" customFormat="1" ht="117" customHeight="1" x14ac:dyDescent="0.2">
      <c r="A11" s="208"/>
      <c r="B11" s="210" t="s">
        <v>157</v>
      </c>
      <c r="C11" s="210" t="s">
        <v>108</v>
      </c>
      <c r="D11" s="316" t="s">
        <v>156</v>
      </c>
      <c r="E11" s="324">
        <v>43998</v>
      </c>
      <c r="F11" s="212" t="s">
        <v>122</v>
      </c>
      <c r="G11" s="293">
        <v>15</v>
      </c>
      <c r="H11" s="293">
        <f t="shared" si="0"/>
        <v>407.9</v>
      </c>
      <c r="I11" s="217">
        <v>6118.5</v>
      </c>
      <c r="J11" s="218">
        <v>0</v>
      </c>
      <c r="K11" s="219">
        <f t="shared" ref="K11" si="19">SUM(I11:J11)</f>
        <v>6118.5</v>
      </c>
      <c r="L11" s="329">
        <f t="shared" si="2"/>
        <v>0</v>
      </c>
      <c r="M11" s="329">
        <f t="shared" si="3"/>
        <v>12400.159999999998</v>
      </c>
      <c r="N11" s="329">
        <f t="shared" si="4"/>
        <v>11128.02</v>
      </c>
      <c r="O11" s="329">
        <f t="shared" si="5"/>
        <v>1272.1399999999976</v>
      </c>
      <c r="P11" s="330">
        <f t="shared" si="6"/>
        <v>0.16</v>
      </c>
      <c r="Q11" s="329">
        <f t="shared" si="7"/>
        <v>203.54239999999962</v>
      </c>
      <c r="R11" s="331">
        <f t="shared" si="8"/>
        <v>893.63</v>
      </c>
      <c r="S11" s="329">
        <f t="shared" si="9"/>
        <v>1097.1723999999997</v>
      </c>
      <c r="T11" s="329">
        <f t="shared" si="10"/>
        <v>0</v>
      </c>
      <c r="U11" s="329">
        <f t="shared" si="11"/>
        <v>541.37</v>
      </c>
      <c r="V11" s="219">
        <f t="shared" ref="V11" si="20">-IF(U11&gt;0,0,0)</f>
        <v>0</v>
      </c>
      <c r="W11" s="219">
        <f t="shared" ref="W11" si="21">IF(I11/15&lt;=SMG,0,IF(U11&lt;0,0,U11))</f>
        <v>541.37</v>
      </c>
      <c r="X11" s="220">
        <v>0</v>
      </c>
      <c r="Y11" s="219">
        <f t="shared" ref="Y11" si="22">SUM(W11:X11)</f>
        <v>541.37</v>
      </c>
      <c r="Z11" s="219">
        <f t="shared" ref="Z11" si="23">K11+V11-Y11</f>
        <v>5577.13</v>
      </c>
      <c r="AA11" s="231"/>
    </row>
    <row r="12" spans="1:27" s="223" customFormat="1" ht="117" customHeight="1" x14ac:dyDescent="0.2">
      <c r="A12" s="208"/>
      <c r="B12" s="210" t="s">
        <v>248</v>
      </c>
      <c r="C12" s="210" t="s">
        <v>249</v>
      </c>
      <c r="D12" s="316" t="s">
        <v>250</v>
      </c>
      <c r="E12" s="324">
        <v>45481</v>
      </c>
      <c r="F12" s="212" t="s">
        <v>122</v>
      </c>
      <c r="G12" s="293">
        <v>15</v>
      </c>
      <c r="H12" s="293">
        <f t="shared" si="0"/>
        <v>407.9</v>
      </c>
      <c r="I12" s="217">
        <v>6118.5</v>
      </c>
      <c r="J12" s="218">
        <v>0</v>
      </c>
      <c r="K12" s="219">
        <f t="shared" ref="K12:K13" si="24">SUM(I12:J12)</f>
        <v>6118.5</v>
      </c>
      <c r="L12" s="329">
        <f t="shared" si="2"/>
        <v>0</v>
      </c>
      <c r="M12" s="329">
        <f t="shared" si="3"/>
        <v>12400.159999999998</v>
      </c>
      <c r="N12" s="329">
        <f t="shared" si="4"/>
        <v>11128.02</v>
      </c>
      <c r="O12" s="329">
        <f t="shared" si="5"/>
        <v>1272.1399999999976</v>
      </c>
      <c r="P12" s="330">
        <f t="shared" si="6"/>
        <v>0.16</v>
      </c>
      <c r="Q12" s="329">
        <f t="shared" si="7"/>
        <v>203.54239999999962</v>
      </c>
      <c r="R12" s="331">
        <f t="shared" si="8"/>
        <v>893.63</v>
      </c>
      <c r="S12" s="329">
        <f t="shared" si="9"/>
        <v>1097.1723999999997</v>
      </c>
      <c r="T12" s="329">
        <f t="shared" si="10"/>
        <v>0</v>
      </c>
      <c r="U12" s="329">
        <f t="shared" si="11"/>
        <v>541.37</v>
      </c>
      <c r="V12" s="219">
        <f t="shared" ref="V12:V13" si="25">-IF(U12&gt;0,0,0)</f>
        <v>0</v>
      </c>
      <c r="W12" s="219">
        <f t="shared" ref="W12:W13" si="26">IF(I12/15&lt;=SMG,0,IF(U12&lt;0,0,U12))</f>
        <v>541.37</v>
      </c>
      <c r="X12" s="220">
        <v>0</v>
      </c>
      <c r="Y12" s="219">
        <f t="shared" ref="Y12:Y13" si="27">SUM(W12:X12)</f>
        <v>541.37</v>
      </c>
      <c r="Z12" s="219">
        <f t="shared" ref="Z12:Z13" si="28">K12+V12-Y12</f>
        <v>5577.13</v>
      </c>
      <c r="AA12" s="231"/>
    </row>
    <row r="13" spans="1:27" s="223" customFormat="1" ht="117" customHeight="1" x14ac:dyDescent="0.2">
      <c r="A13" s="208"/>
      <c r="B13" s="210" t="s">
        <v>125</v>
      </c>
      <c r="C13" s="210" t="s">
        <v>108</v>
      </c>
      <c r="D13" s="316" t="s">
        <v>121</v>
      </c>
      <c r="E13" s="324">
        <v>43101</v>
      </c>
      <c r="F13" s="229" t="s">
        <v>123</v>
      </c>
      <c r="G13" s="293">
        <v>15</v>
      </c>
      <c r="H13" s="293">
        <f t="shared" si="0"/>
        <v>366.73333333333335</v>
      </c>
      <c r="I13" s="217">
        <v>5501</v>
      </c>
      <c r="J13" s="218">
        <v>0</v>
      </c>
      <c r="K13" s="219">
        <f t="shared" si="24"/>
        <v>5501</v>
      </c>
      <c r="L13" s="329">
        <f t="shared" si="2"/>
        <v>0</v>
      </c>
      <c r="M13" s="329">
        <f t="shared" si="3"/>
        <v>11148.693333333333</v>
      </c>
      <c r="N13" s="329">
        <f t="shared" si="4"/>
        <v>11128.02</v>
      </c>
      <c r="O13" s="329">
        <f t="shared" si="5"/>
        <v>20.673333333332266</v>
      </c>
      <c r="P13" s="330">
        <f t="shared" si="6"/>
        <v>0.16</v>
      </c>
      <c r="Q13" s="329">
        <f t="shared" si="7"/>
        <v>3.3077333333331627</v>
      </c>
      <c r="R13" s="331">
        <f t="shared" si="8"/>
        <v>893.63</v>
      </c>
      <c r="S13" s="329">
        <f t="shared" si="9"/>
        <v>896.9377333333332</v>
      </c>
      <c r="T13" s="329">
        <f t="shared" si="10"/>
        <v>0</v>
      </c>
      <c r="U13" s="329">
        <f t="shared" si="11"/>
        <v>442.57</v>
      </c>
      <c r="V13" s="219">
        <f t="shared" si="25"/>
        <v>0</v>
      </c>
      <c r="W13" s="219">
        <f t="shared" si="26"/>
        <v>442.57</v>
      </c>
      <c r="X13" s="220">
        <v>0</v>
      </c>
      <c r="Y13" s="219">
        <f t="shared" si="27"/>
        <v>442.57</v>
      </c>
      <c r="Z13" s="219">
        <f t="shared" si="28"/>
        <v>5058.43</v>
      </c>
      <c r="AA13" s="231"/>
    </row>
    <row r="14" spans="1:27" s="223" customFormat="1" ht="117" customHeight="1" x14ac:dyDescent="0.2">
      <c r="A14" s="208"/>
      <c r="B14" s="325">
        <v>328</v>
      </c>
      <c r="C14" s="210" t="s">
        <v>108</v>
      </c>
      <c r="D14" s="205" t="s">
        <v>251</v>
      </c>
      <c r="E14" s="324">
        <v>45505</v>
      </c>
      <c r="F14" s="229" t="s">
        <v>123</v>
      </c>
      <c r="G14" s="293">
        <v>15</v>
      </c>
      <c r="H14" s="293">
        <f t="shared" si="0"/>
        <v>366.73333333333335</v>
      </c>
      <c r="I14" s="217">
        <v>5501</v>
      </c>
      <c r="J14" s="218">
        <v>0</v>
      </c>
      <c r="K14" s="219">
        <f t="shared" ref="K14" si="29">SUM(I14:J14)</f>
        <v>5501</v>
      </c>
      <c r="L14" s="329">
        <f t="shared" si="2"/>
        <v>0</v>
      </c>
      <c r="M14" s="329">
        <f t="shared" si="3"/>
        <v>11148.693333333333</v>
      </c>
      <c r="N14" s="329">
        <f t="shared" si="4"/>
        <v>11128.02</v>
      </c>
      <c r="O14" s="329">
        <f t="shared" si="5"/>
        <v>20.673333333332266</v>
      </c>
      <c r="P14" s="330">
        <f t="shared" si="6"/>
        <v>0.16</v>
      </c>
      <c r="Q14" s="329">
        <f t="shared" si="7"/>
        <v>3.3077333333331627</v>
      </c>
      <c r="R14" s="331">
        <f t="shared" si="8"/>
        <v>893.63</v>
      </c>
      <c r="S14" s="329">
        <f t="shared" si="9"/>
        <v>896.9377333333332</v>
      </c>
      <c r="T14" s="329">
        <f t="shared" si="10"/>
        <v>0</v>
      </c>
      <c r="U14" s="329">
        <f t="shared" si="11"/>
        <v>442.57</v>
      </c>
      <c r="V14" s="219">
        <f t="shared" ref="V14" si="30">-IF(U14&gt;0,0,0)</f>
        <v>0</v>
      </c>
      <c r="W14" s="219">
        <f t="shared" ref="W14:W15" si="31">IF(I14/15&lt;=SMG,0,IF(U14&lt;0,0,U14))</f>
        <v>442.57</v>
      </c>
      <c r="X14" s="220">
        <v>0</v>
      </c>
      <c r="Y14" s="219">
        <f t="shared" ref="Y14" si="32">SUM(W14:X14)</f>
        <v>442.57</v>
      </c>
      <c r="Z14" s="219">
        <f t="shared" ref="Z14" si="33">K14+V14-Y14</f>
        <v>5058.43</v>
      </c>
      <c r="AA14" s="231"/>
    </row>
    <row r="15" spans="1:27" s="223" customFormat="1" ht="117" customHeight="1" x14ac:dyDescent="0.2">
      <c r="A15" s="208"/>
      <c r="B15" s="325">
        <v>406</v>
      </c>
      <c r="C15" s="210" t="s">
        <v>299</v>
      </c>
      <c r="D15" s="205" t="s">
        <v>335</v>
      </c>
      <c r="E15" s="324">
        <v>45689</v>
      </c>
      <c r="F15" s="229" t="s">
        <v>336</v>
      </c>
      <c r="G15" s="293">
        <v>15</v>
      </c>
      <c r="H15" s="293">
        <f t="shared" si="0"/>
        <v>272.93333333333334</v>
      </c>
      <c r="I15" s="217">
        <v>4094</v>
      </c>
      <c r="J15" s="218">
        <v>0</v>
      </c>
      <c r="K15" s="219">
        <f>SUM(I15:J15)</f>
        <v>4094</v>
      </c>
      <c r="L15" s="329">
        <f t="shared" si="2"/>
        <v>0</v>
      </c>
      <c r="M15" s="329">
        <f t="shared" si="3"/>
        <v>8297.1733333333323</v>
      </c>
      <c r="N15" s="329">
        <f t="shared" si="4"/>
        <v>6332.06</v>
      </c>
      <c r="O15" s="329">
        <f t="shared" si="5"/>
        <v>1965.1133333333319</v>
      </c>
      <c r="P15" s="330">
        <f t="shared" si="6"/>
        <v>0.10879999999999999</v>
      </c>
      <c r="Q15" s="329">
        <f t="shared" si="7"/>
        <v>213.80433066666649</v>
      </c>
      <c r="R15" s="331">
        <f t="shared" si="8"/>
        <v>371.83</v>
      </c>
      <c r="S15" s="329">
        <f t="shared" si="9"/>
        <v>585.63433066666653</v>
      </c>
      <c r="T15" s="329">
        <f t="shared" si="10"/>
        <v>475</v>
      </c>
      <c r="U15" s="329">
        <f t="shared" si="11"/>
        <v>54.59</v>
      </c>
      <c r="V15" s="219">
        <f>-IF(U15&gt;0,0,0)</f>
        <v>0</v>
      </c>
      <c r="W15" s="219">
        <f t="shared" si="31"/>
        <v>0</v>
      </c>
      <c r="X15" s="220">
        <v>0</v>
      </c>
      <c r="Y15" s="219">
        <f>SUM(W15:X15)</f>
        <v>0</v>
      </c>
      <c r="Z15" s="219">
        <f>K15+V15-Y15</f>
        <v>4094</v>
      </c>
      <c r="AA15" s="231"/>
    </row>
    <row r="16" spans="1:27" ht="40.5" customHeight="1" thickBot="1" x14ac:dyDescent="0.3">
      <c r="A16" s="348" t="s">
        <v>44</v>
      </c>
      <c r="B16" s="349"/>
      <c r="C16" s="349"/>
      <c r="D16" s="349"/>
      <c r="E16" s="349"/>
      <c r="F16" s="349"/>
      <c r="G16" s="349"/>
      <c r="H16" s="350"/>
      <c r="I16" s="128">
        <f>SUM(I9:I15)</f>
        <v>49080.34</v>
      </c>
      <c r="J16" s="128">
        <f>SUM(J9:J15)</f>
        <v>0</v>
      </c>
      <c r="K16" s="128">
        <f>SUM(K9:K15)</f>
        <v>49080.34</v>
      </c>
      <c r="L16" s="129">
        <f t="shared" ref="L16:U16" si="34">SUM(L10:L15)</f>
        <v>0</v>
      </c>
      <c r="M16" s="129">
        <f t="shared" si="34"/>
        <v>78942.395733333309</v>
      </c>
      <c r="N16" s="129">
        <f t="shared" si="34"/>
        <v>66331.86</v>
      </c>
      <c r="O16" s="129">
        <f t="shared" si="34"/>
        <v>12610.535733333327</v>
      </c>
      <c r="P16" s="129">
        <f t="shared" si="34"/>
        <v>0.96240000000000014</v>
      </c>
      <c r="Q16" s="129">
        <f t="shared" si="34"/>
        <v>2349.0769659733323</v>
      </c>
      <c r="R16" s="129">
        <f t="shared" si="34"/>
        <v>5586.53</v>
      </c>
      <c r="S16" s="129">
        <f t="shared" si="34"/>
        <v>7935.606965973333</v>
      </c>
      <c r="T16" s="129">
        <f t="shared" si="34"/>
        <v>475</v>
      </c>
      <c r="U16" s="129">
        <f t="shared" si="34"/>
        <v>3681.2300000000005</v>
      </c>
      <c r="V16" s="128">
        <f>SUM(V9:V15)</f>
        <v>0</v>
      </c>
      <c r="W16" s="128">
        <f>SUM(W9:W15)</f>
        <v>4967.0599999999995</v>
      </c>
      <c r="X16" s="128">
        <f>SUM(X9:X15)</f>
        <v>0</v>
      </c>
      <c r="Y16" s="128">
        <f>SUM(Y9:Y15)</f>
        <v>4967.0599999999995</v>
      </c>
      <c r="Z16" s="128">
        <f>SUM(Z9:Z15)</f>
        <v>44113.280000000006</v>
      </c>
    </row>
    <row r="17" spans="1:26" ht="18.75" thickTop="1" x14ac:dyDescent="0.25">
      <c r="A17" s="102"/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</row>
    <row r="18" spans="1:26" ht="18" x14ac:dyDescent="0.25">
      <c r="A18" s="102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</row>
  </sheetData>
  <mergeCells count="7">
    <mergeCell ref="A16:H16"/>
    <mergeCell ref="A1:AA1"/>
    <mergeCell ref="A2:AA2"/>
    <mergeCell ref="A3:AA3"/>
    <mergeCell ref="I5:K5"/>
    <mergeCell ref="N5:S5"/>
    <mergeCell ref="W5:Y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4:D15" xr:uid="{00000000-0002-0000-0B00-000000000000}"/>
  </dataValidations>
  <pageMargins left="0.27559055118110237" right="0.27559055118110237" top="0.55118110236220474" bottom="0.15748031496062992" header="0.31496062992125984" footer="0.31496062992125984"/>
  <pageSetup scale="42" orientation="landscape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23"/>
  <sheetViews>
    <sheetView topLeftCell="B1" zoomScale="70" zoomScaleNormal="70" workbookViewId="0">
      <pane ySplit="1" topLeftCell="A2" activePane="bottomLeft" state="frozen"/>
      <selection activeCell="B1" sqref="B1"/>
      <selection pane="bottomLeft" activeCell="F10" sqref="F10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7" customWidth="1"/>
    <col min="5" max="5" width="17.140625" customWidth="1"/>
    <col min="6" max="6" width="26.28515625" customWidth="1"/>
    <col min="7" max="7" width="6.42578125" hidden="1" customWidth="1"/>
    <col min="8" max="8" width="10" hidden="1" customWidth="1"/>
    <col min="9" max="9" width="13.42578125" customWidth="1"/>
    <col min="10" max="10" width="10.28515625" customWidth="1"/>
    <col min="11" max="11" width="14.42578125" bestFit="1" customWidth="1"/>
    <col min="12" max="12" width="11.7109375" hidden="1" customWidth="1"/>
    <col min="13" max="15" width="14.42578125" hidden="1" customWidth="1"/>
    <col min="16" max="16" width="13.42578125" hidden="1" customWidth="1"/>
    <col min="17" max="18" width="12.85546875" hidden="1" customWidth="1"/>
    <col min="19" max="19" width="14.42578125" hidden="1" customWidth="1"/>
    <col min="20" max="20" width="11" hidden="1" customWidth="1"/>
    <col min="21" max="21" width="14.42578125" hidden="1" customWidth="1"/>
    <col min="22" max="22" width="12.85546875" bestFit="1" customWidth="1"/>
    <col min="23" max="23" width="14.28515625" customWidth="1"/>
    <col min="24" max="24" width="13.28515625" customWidth="1"/>
    <col min="25" max="25" width="13.85546875" customWidth="1"/>
    <col min="26" max="26" width="13.7109375" customWidth="1"/>
    <col min="27" max="27" width="75.140625" customWidth="1"/>
  </cols>
  <sheetData>
    <row r="1" spans="1:27" ht="19.5" x14ac:dyDescent="0.25">
      <c r="A1" s="351" t="s">
        <v>76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</row>
    <row r="2" spans="1:27" ht="19.5" x14ac:dyDescent="0.25">
      <c r="A2" s="351" t="s">
        <v>64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</row>
    <row r="3" spans="1:27" ht="19.5" x14ac:dyDescent="0.25">
      <c r="A3" s="352" t="s">
        <v>376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27" ht="12" customHeight="1" x14ac:dyDescent="0.2">
      <c r="A4" s="41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</row>
    <row r="5" spans="1:27" s="50" customFormat="1" ht="15.75" x14ac:dyDescent="0.25">
      <c r="A5" s="46"/>
      <c r="B5" s="108"/>
      <c r="C5" s="108"/>
      <c r="D5" s="108"/>
      <c r="E5" s="108"/>
      <c r="F5" s="171"/>
      <c r="G5" s="109" t="s">
        <v>22</v>
      </c>
      <c r="H5" s="174" t="s">
        <v>5</v>
      </c>
      <c r="I5" s="353" t="s">
        <v>1</v>
      </c>
      <c r="J5" s="354"/>
      <c r="K5" s="355"/>
      <c r="L5" s="110" t="s">
        <v>25</v>
      </c>
      <c r="M5" s="111"/>
      <c r="N5" s="356" t="s">
        <v>8</v>
      </c>
      <c r="O5" s="357"/>
      <c r="P5" s="357"/>
      <c r="Q5" s="357"/>
      <c r="R5" s="357"/>
      <c r="S5" s="358"/>
      <c r="T5" s="110" t="s">
        <v>52</v>
      </c>
      <c r="U5" s="110" t="s">
        <v>9</v>
      </c>
      <c r="V5" s="109" t="s">
        <v>52</v>
      </c>
      <c r="W5" s="359" t="s">
        <v>2</v>
      </c>
      <c r="X5" s="360"/>
      <c r="Y5" s="361"/>
      <c r="Z5" s="109" t="s">
        <v>0</v>
      </c>
      <c r="AA5" s="46"/>
    </row>
    <row r="6" spans="1:27" s="50" customFormat="1" ht="29.25" customHeight="1" x14ac:dyDescent="0.25">
      <c r="A6" s="51" t="s">
        <v>20</v>
      </c>
      <c r="B6" s="112" t="s">
        <v>96</v>
      </c>
      <c r="C6" s="112" t="s">
        <v>114</v>
      </c>
      <c r="D6" s="113" t="s">
        <v>21</v>
      </c>
      <c r="E6" s="112" t="s">
        <v>195</v>
      </c>
      <c r="F6" s="172" t="s">
        <v>61</v>
      </c>
      <c r="G6" s="177" t="s">
        <v>23</v>
      </c>
      <c r="H6" s="175" t="s">
        <v>24</v>
      </c>
      <c r="I6" s="109" t="s">
        <v>5</v>
      </c>
      <c r="J6" s="109" t="s">
        <v>58</v>
      </c>
      <c r="K6" s="109" t="s">
        <v>27</v>
      </c>
      <c r="L6" s="114" t="s">
        <v>26</v>
      </c>
      <c r="M6" s="111" t="s">
        <v>31</v>
      </c>
      <c r="N6" s="111" t="s">
        <v>11</v>
      </c>
      <c r="O6" s="111" t="s">
        <v>33</v>
      </c>
      <c r="P6" s="111" t="s">
        <v>35</v>
      </c>
      <c r="Q6" s="111" t="s">
        <v>36</v>
      </c>
      <c r="R6" s="111" t="s">
        <v>13</v>
      </c>
      <c r="S6" s="111" t="s">
        <v>9</v>
      </c>
      <c r="T6" s="114" t="s">
        <v>39</v>
      </c>
      <c r="U6" s="114" t="s">
        <v>40</v>
      </c>
      <c r="V6" s="113" t="s">
        <v>30</v>
      </c>
      <c r="W6" s="109" t="s">
        <v>191</v>
      </c>
      <c r="X6" s="109" t="s">
        <v>56</v>
      </c>
      <c r="Y6" s="109" t="s">
        <v>6</v>
      </c>
      <c r="Z6" s="113" t="s">
        <v>3</v>
      </c>
      <c r="AA6" s="51" t="s">
        <v>57</v>
      </c>
    </row>
    <row r="7" spans="1:27" s="50" customFormat="1" ht="15.75" x14ac:dyDescent="0.25">
      <c r="A7" s="59"/>
      <c r="B7" s="115"/>
      <c r="C7" s="115"/>
      <c r="D7" s="116"/>
      <c r="E7" s="116"/>
      <c r="F7" s="173"/>
      <c r="G7" s="116"/>
      <c r="H7" s="176"/>
      <c r="I7" s="116" t="s">
        <v>46</v>
      </c>
      <c r="J7" s="116" t="s">
        <v>59</v>
      </c>
      <c r="K7" s="116" t="s">
        <v>28</v>
      </c>
      <c r="L7" s="117" t="s">
        <v>42</v>
      </c>
      <c r="M7" s="110" t="s">
        <v>32</v>
      </c>
      <c r="N7" s="110" t="s">
        <v>12</v>
      </c>
      <c r="O7" s="110" t="s">
        <v>34</v>
      </c>
      <c r="P7" s="110" t="s">
        <v>34</v>
      </c>
      <c r="Q7" s="110" t="s">
        <v>37</v>
      </c>
      <c r="R7" s="110" t="s">
        <v>14</v>
      </c>
      <c r="S7" s="110" t="s">
        <v>38</v>
      </c>
      <c r="T7" s="114" t="s">
        <v>51</v>
      </c>
      <c r="U7" s="118" t="s">
        <v>166</v>
      </c>
      <c r="V7" s="116" t="s">
        <v>51</v>
      </c>
      <c r="W7" s="116"/>
      <c r="X7" s="116"/>
      <c r="Y7" s="116" t="s">
        <v>43</v>
      </c>
      <c r="Z7" s="116" t="s">
        <v>4</v>
      </c>
      <c r="AA7" s="56"/>
    </row>
    <row r="8" spans="1:27" s="50" customFormat="1" ht="25.5" customHeight="1" x14ac:dyDescent="0.25">
      <c r="A8" s="143"/>
      <c r="B8" s="326" t="s">
        <v>96</v>
      </c>
      <c r="C8" s="326" t="s">
        <v>114</v>
      </c>
      <c r="D8" s="146" t="s">
        <v>62</v>
      </c>
      <c r="E8" s="326" t="s">
        <v>195</v>
      </c>
      <c r="F8" s="143" t="s">
        <v>61</v>
      </c>
      <c r="G8" s="143"/>
      <c r="H8" s="143"/>
      <c r="I8" s="147">
        <f>SUM(I9:I11)</f>
        <v>50268.5</v>
      </c>
      <c r="J8" s="147">
        <f>SUM(J9:J11)</f>
        <v>0</v>
      </c>
      <c r="K8" s="147">
        <f>SUM(K9:K11)</f>
        <v>50268.5</v>
      </c>
      <c r="L8" s="143"/>
      <c r="M8" s="143"/>
      <c r="N8" s="143"/>
      <c r="O8" s="143"/>
      <c r="P8" s="143"/>
      <c r="Q8" s="143"/>
      <c r="R8" s="143"/>
      <c r="S8" s="143"/>
      <c r="T8" s="143"/>
      <c r="U8" s="148"/>
      <c r="V8" s="147">
        <f>SUM(V9:V11)</f>
        <v>0</v>
      </c>
      <c r="W8" s="147">
        <f>SUM(W9:W11)</f>
        <v>8965.6699999999983</v>
      </c>
      <c r="X8" s="147">
        <f>SUM(X9:X11)</f>
        <v>0</v>
      </c>
      <c r="Y8" s="147">
        <f>SUM(Y9:Y11)</f>
        <v>8965.6699999999983</v>
      </c>
      <c r="Z8" s="147">
        <f>SUM(Z9:Z11)</f>
        <v>41302.83</v>
      </c>
      <c r="AA8" s="62"/>
    </row>
    <row r="9" spans="1:27" s="245" customFormat="1" ht="265.5" customHeight="1" x14ac:dyDescent="0.2">
      <c r="A9" s="210" t="s">
        <v>82</v>
      </c>
      <c r="B9" s="209" t="s">
        <v>254</v>
      </c>
      <c r="C9" s="210" t="s">
        <v>108</v>
      </c>
      <c r="D9" s="211" t="s">
        <v>253</v>
      </c>
      <c r="E9" s="236">
        <v>45566</v>
      </c>
      <c r="F9" s="229" t="s">
        <v>162</v>
      </c>
      <c r="G9" s="230">
        <v>15</v>
      </c>
      <c r="H9" s="246">
        <v>1959.4669999999999</v>
      </c>
      <c r="I9" s="237">
        <v>29392</v>
      </c>
      <c r="J9" s="238">
        <v>0</v>
      </c>
      <c r="K9" s="239">
        <f>SUM(I9:J9)</f>
        <v>29392</v>
      </c>
      <c r="L9" s="240">
        <f>IF(I9/15&lt;=SMG,0,J9/2)</f>
        <v>0</v>
      </c>
      <c r="M9" s="259">
        <f>(I9+L9)/G9*30.4</f>
        <v>59567.786666666667</v>
      </c>
      <c r="N9" s="259">
        <f>VLOOKUP(M9,Tarifa,1)</f>
        <v>49233.01</v>
      </c>
      <c r="O9" s="240">
        <f>M9-N9</f>
        <v>10334.776666666665</v>
      </c>
      <c r="P9" s="241">
        <f>VLOOKUP(M9,Tarifa,3)</f>
        <v>0.3</v>
      </c>
      <c r="Q9" s="240">
        <f>O9*P9</f>
        <v>3100.4329999999995</v>
      </c>
      <c r="R9" s="242">
        <f>VLOOKUP(M9,Tarifa,2)</f>
        <v>9236.89</v>
      </c>
      <c r="S9" s="240">
        <f>Q9+R9</f>
        <v>12337.322999999999</v>
      </c>
      <c r="T9" s="240">
        <f>VLOOKUP(M9,Credito,2)</f>
        <v>0</v>
      </c>
      <c r="U9" s="240">
        <f>ROUND((S9-T9)/30.4*G9,2)</f>
        <v>6087.49</v>
      </c>
      <c r="V9" s="239">
        <f>-IF(U9&gt;0,0,0)</f>
        <v>0</v>
      </c>
      <c r="W9" s="239">
        <f>IF(I9/15&lt;=SMG,0,IF(U9&lt;0,0,U9))</f>
        <v>6087.49</v>
      </c>
      <c r="X9" s="243">
        <v>0</v>
      </c>
      <c r="Y9" s="239">
        <f>SUM(W9:X9)</f>
        <v>6087.49</v>
      </c>
      <c r="Z9" s="239">
        <f>K9+V9-Y9</f>
        <v>23304.510000000002</v>
      </c>
      <c r="AA9" s="244"/>
    </row>
    <row r="10" spans="1:27" s="245" customFormat="1" ht="265.5" customHeight="1" x14ac:dyDescent="0.2">
      <c r="A10" s="210" t="s">
        <v>83</v>
      </c>
      <c r="B10" s="209" t="s">
        <v>164</v>
      </c>
      <c r="C10" s="210" t="s">
        <v>108</v>
      </c>
      <c r="D10" s="211" t="s">
        <v>165</v>
      </c>
      <c r="E10" s="236">
        <v>45566</v>
      </c>
      <c r="F10" s="229" t="s">
        <v>163</v>
      </c>
      <c r="G10" s="230">
        <v>15</v>
      </c>
      <c r="H10" s="246">
        <v>993.23399999999992</v>
      </c>
      <c r="I10" s="237">
        <v>14898.5</v>
      </c>
      <c r="J10" s="238">
        <v>0</v>
      </c>
      <c r="K10" s="239">
        <f>SUM(I10:J10)</f>
        <v>14898.5</v>
      </c>
      <c r="L10" s="240">
        <f>IF(I10/15&lt;=SMG,0,J10/2)</f>
        <v>0</v>
      </c>
      <c r="M10" s="259">
        <f>(I10+L10)/G10*30.4</f>
        <v>30194.293333333331</v>
      </c>
      <c r="N10" s="259">
        <f>VLOOKUP(M10,Tarifa,1)</f>
        <v>15487.72</v>
      </c>
      <c r="O10" s="240">
        <f>M10-N10</f>
        <v>14706.573333333332</v>
      </c>
      <c r="P10" s="241">
        <f>VLOOKUP(M10,Tarifa,3)</f>
        <v>0.21360000000000001</v>
      </c>
      <c r="Q10" s="240">
        <f>O10*P10</f>
        <v>3141.3240639999999</v>
      </c>
      <c r="R10" s="242">
        <f>VLOOKUP(M10,Tarifa,2)</f>
        <v>1640.18</v>
      </c>
      <c r="S10" s="240">
        <f>Q10+R10</f>
        <v>4781.5040639999997</v>
      </c>
      <c r="T10" s="240">
        <f>VLOOKUP(M10,Credito,2)</f>
        <v>0</v>
      </c>
      <c r="U10" s="240">
        <f>ROUND((S10-T10)/30.4*G10,2)</f>
        <v>2359.29</v>
      </c>
      <c r="V10" s="239">
        <f>-IF(U10&gt;0,0,0)</f>
        <v>0</v>
      </c>
      <c r="W10" s="239">
        <f>IF(I10/15&lt;=SMG,0,IF(U10&lt;0,0,U10))</f>
        <v>2359.29</v>
      </c>
      <c r="X10" s="243">
        <v>0</v>
      </c>
      <c r="Y10" s="239">
        <f>SUM(W10:X10)</f>
        <v>2359.29</v>
      </c>
      <c r="Z10" s="239">
        <f>K10+V10-Y10</f>
        <v>12539.21</v>
      </c>
      <c r="AA10" s="244"/>
    </row>
    <row r="11" spans="1:27" s="245" customFormat="1" ht="265.5" customHeight="1" x14ac:dyDescent="0.2">
      <c r="A11" s="210"/>
      <c r="B11" s="210" t="s">
        <v>102</v>
      </c>
      <c r="C11" s="209" t="s">
        <v>108</v>
      </c>
      <c r="D11" s="211" t="s">
        <v>65</v>
      </c>
      <c r="E11" s="236">
        <v>40026</v>
      </c>
      <c r="F11" s="212" t="s">
        <v>63</v>
      </c>
      <c r="G11" s="230">
        <v>15</v>
      </c>
      <c r="H11" s="246">
        <v>398.53399999999999</v>
      </c>
      <c r="I11" s="237">
        <v>5978</v>
      </c>
      <c r="J11" s="238">
        <v>0</v>
      </c>
      <c r="K11" s="239">
        <f>SUM(I11:J11)</f>
        <v>5978</v>
      </c>
      <c r="L11" s="240">
        <f>IF(I11/15&lt;=SMG,0,J11/2)</f>
        <v>0</v>
      </c>
      <c r="M11" s="259">
        <f>(I11+L11)/G11*30.4</f>
        <v>12115.413333333334</v>
      </c>
      <c r="N11" s="259">
        <f>VLOOKUP(M11,Tarifa,1)</f>
        <v>11128.02</v>
      </c>
      <c r="O11" s="240">
        <f>M11-N11</f>
        <v>987.39333333333343</v>
      </c>
      <c r="P11" s="241">
        <f>VLOOKUP(M11,Tarifa,3)</f>
        <v>0.16</v>
      </c>
      <c r="Q11" s="240">
        <f>O11*P11</f>
        <v>157.98293333333336</v>
      </c>
      <c r="R11" s="242">
        <f>VLOOKUP(M11,Tarifa,2)</f>
        <v>893.63</v>
      </c>
      <c r="S11" s="240">
        <f>Q11+R11</f>
        <v>1051.6129333333333</v>
      </c>
      <c r="T11" s="240">
        <f>VLOOKUP(M11,Credito,2)</f>
        <v>0</v>
      </c>
      <c r="U11" s="240">
        <f>ROUND((S11-T11)/30.4*G11,2)</f>
        <v>518.89</v>
      </c>
      <c r="V11" s="239">
        <f>-IF(U11&gt;0,0,0)</f>
        <v>0</v>
      </c>
      <c r="W11" s="239">
        <f>IF(I11/15&lt;=SMG,0,IF(U11&lt;0,0,U11))</f>
        <v>518.89</v>
      </c>
      <c r="X11" s="243">
        <v>0</v>
      </c>
      <c r="Y11" s="239">
        <f>SUM(W11:X11)</f>
        <v>518.89</v>
      </c>
      <c r="Z11" s="239">
        <f>K11+V11-Y11-X11</f>
        <v>5459.11</v>
      </c>
      <c r="AA11" s="244"/>
    </row>
    <row r="12" spans="1:27" s="50" customFormat="1" ht="30.75" customHeight="1" x14ac:dyDescent="0.25">
      <c r="A12" s="127"/>
      <c r="B12" s="326" t="s">
        <v>96</v>
      </c>
      <c r="C12" s="326" t="s">
        <v>114</v>
      </c>
      <c r="D12" s="146" t="s">
        <v>111</v>
      </c>
      <c r="E12" s="326" t="s">
        <v>195</v>
      </c>
      <c r="F12" s="143" t="s">
        <v>61</v>
      </c>
      <c r="G12" s="143"/>
      <c r="H12" s="143"/>
      <c r="I12" s="147">
        <f>I13</f>
        <v>5944.5</v>
      </c>
      <c r="J12" s="147">
        <f>J13</f>
        <v>0</v>
      </c>
      <c r="K12" s="147">
        <f>K13</f>
        <v>5944.5</v>
      </c>
      <c r="L12" s="143"/>
      <c r="M12" s="143"/>
      <c r="N12" s="143"/>
      <c r="O12" s="143"/>
      <c r="P12" s="143"/>
      <c r="Q12" s="143"/>
      <c r="R12" s="149"/>
      <c r="S12" s="143"/>
      <c r="T12" s="143"/>
      <c r="U12" s="148"/>
      <c r="V12" s="147">
        <f>V13</f>
        <v>0</v>
      </c>
      <c r="W12" s="147">
        <f>W13</f>
        <v>513.53</v>
      </c>
      <c r="X12" s="147">
        <f>X13</f>
        <v>0</v>
      </c>
      <c r="Y12" s="147">
        <f>Y13</f>
        <v>513.53</v>
      </c>
      <c r="Z12" s="147">
        <f>Z13</f>
        <v>5430.97</v>
      </c>
      <c r="AA12" s="62"/>
    </row>
    <row r="13" spans="1:27" s="245" customFormat="1" ht="266.25" customHeight="1" x14ac:dyDescent="0.2">
      <c r="A13" s="210" t="s">
        <v>86</v>
      </c>
      <c r="B13" s="210" t="s">
        <v>169</v>
      </c>
      <c r="C13" s="210" t="s">
        <v>228</v>
      </c>
      <c r="D13" s="211" t="s">
        <v>171</v>
      </c>
      <c r="E13" s="236">
        <v>44470</v>
      </c>
      <c r="F13" s="229" t="s">
        <v>188</v>
      </c>
      <c r="G13" s="230">
        <v>15</v>
      </c>
      <c r="H13" s="246">
        <v>396.3</v>
      </c>
      <c r="I13" s="237">
        <v>5944.5</v>
      </c>
      <c r="J13" s="238">
        <v>0</v>
      </c>
      <c r="K13" s="239">
        <f>SUM(I13:J13)</f>
        <v>5944.5</v>
      </c>
      <c r="L13" s="240">
        <f>IF(I13/15&lt;=SMG,0,J13/2)</f>
        <v>0</v>
      </c>
      <c r="M13" s="259">
        <f>(I13+L13)/G13*30.4</f>
        <v>12047.52</v>
      </c>
      <c r="N13" s="259">
        <f>VLOOKUP(M13,Tarifa,1)</f>
        <v>11128.02</v>
      </c>
      <c r="O13" s="240">
        <f>M13-N13</f>
        <v>919.5</v>
      </c>
      <c r="P13" s="241">
        <f>VLOOKUP(M13,Tarifa,3)</f>
        <v>0.16</v>
      </c>
      <c r="Q13" s="240">
        <f>O13*P13</f>
        <v>147.12</v>
      </c>
      <c r="R13" s="242">
        <f>VLOOKUP(M13,Tarifa,2)</f>
        <v>893.63</v>
      </c>
      <c r="S13" s="240">
        <f>Q13+R13</f>
        <v>1040.75</v>
      </c>
      <c r="T13" s="240">
        <f>VLOOKUP(M13,Credito,2)</f>
        <v>0</v>
      </c>
      <c r="U13" s="240">
        <f>ROUND((S13-T13)/30.4*G13,2)</f>
        <v>513.53</v>
      </c>
      <c r="V13" s="239">
        <f>-IF(U13&gt;0,0,0)</f>
        <v>0</v>
      </c>
      <c r="W13" s="239">
        <f>IF(I13/15&lt;=SMG,0,IF(U13&lt;0,0,U13))</f>
        <v>513.53</v>
      </c>
      <c r="X13" s="243">
        <v>0</v>
      </c>
      <c r="Y13" s="239">
        <f>SUM(W13:X13)</f>
        <v>513.53</v>
      </c>
      <c r="Z13" s="239">
        <f>K13+V13-Y13</f>
        <v>5430.97</v>
      </c>
      <c r="AA13" s="244"/>
    </row>
    <row r="14" spans="1:27" s="50" customFormat="1" ht="36.75" customHeight="1" x14ac:dyDescent="0.25">
      <c r="A14" s="127"/>
      <c r="B14" s="327" t="s">
        <v>96</v>
      </c>
      <c r="C14" s="327" t="s">
        <v>114</v>
      </c>
      <c r="D14" s="162" t="s">
        <v>112</v>
      </c>
      <c r="E14" s="327" t="s">
        <v>195</v>
      </c>
      <c r="F14" s="162" t="s">
        <v>61</v>
      </c>
      <c r="G14" s="162"/>
      <c r="H14" s="162"/>
      <c r="I14" s="163">
        <f>SUM(I15:I16)</f>
        <v>16971.03</v>
      </c>
      <c r="J14" s="163">
        <f>SUM(J15:J16)</f>
        <v>0</v>
      </c>
      <c r="K14" s="163">
        <f>SUM(K15:K16)</f>
        <v>16971.03</v>
      </c>
      <c r="L14" s="162"/>
      <c r="M14" s="162"/>
      <c r="N14" s="162"/>
      <c r="O14" s="162"/>
      <c r="P14" s="162"/>
      <c r="Q14" s="162"/>
      <c r="R14" s="165"/>
      <c r="S14" s="162"/>
      <c r="T14" s="162"/>
      <c r="U14" s="162"/>
      <c r="V14" s="163">
        <f>SUM(V15:V16)</f>
        <v>0</v>
      </c>
      <c r="W14" s="163">
        <f>SUM(W15:W16)</f>
        <v>2060.5100000000002</v>
      </c>
      <c r="X14" s="163">
        <f>SUM(X15:X16)</f>
        <v>0</v>
      </c>
      <c r="Y14" s="163">
        <f>SUM(Y15:Y16)</f>
        <v>2060.5100000000002</v>
      </c>
      <c r="Z14" s="163">
        <f>SUM(Z15:Z16)</f>
        <v>14910.52</v>
      </c>
      <c r="AA14" s="328"/>
    </row>
    <row r="15" spans="1:27" s="245" customFormat="1" ht="207.75" customHeight="1" x14ac:dyDescent="0.2">
      <c r="A15" s="210" t="s">
        <v>87</v>
      </c>
      <c r="B15" s="209" t="s">
        <v>135</v>
      </c>
      <c r="C15" s="210" t="s">
        <v>108</v>
      </c>
      <c r="D15" s="211" t="s">
        <v>126</v>
      </c>
      <c r="E15" s="236">
        <v>43374</v>
      </c>
      <c r="F15" s="229" t="s">
        <v>81</v>
      </c>
      <c r="G15" s="230">
        <v>15</v>
      </c>
      <c r="H15" s="246">
        <v>753.43399999999997</v>
      </c>
      <c r="I15" s="237">
        <v>11301.5</v>
      </c>
      <c r="J15" s="238">
        <v>0</v>
      </c>
      <c r="K15" s="239">
        <f>I15</f>
        <v>11301.5</v>
      </c>
      <c r="L15" s="240">
        <f>IF(I15/15&lt;=SMG,0,J15/2)</f>
        <v>0</v>
      </c>
      <c r="M15" s="259">
        <f>(I15+L15)/G15*30.4</f>
        <v>22904.373333333329</v>
      </c>
      <c r="N15" s="259">
        <f>VLOOKUP(M15,Tarifa,1)</f>
        <v>15487.72</v>
      </c>
      <c r="O15" s="240">
        <f>M15-N15</f>
        <v>7416.65333333333</v>
      </c>
      <c r="P15" s="241">
        <f>VLOOKUP(M15,Tarifa,3)</f>
        <v>0.21360000000000001</v>
      </c>
      <c r="Q15" s="240">
        <f>O15*P15</f>
        <v>1584.1971519999993</v>
      </c>
      <c r="R15" s="242">
        <f>VLOOKUP(M15,Tarifa,2)</f>
        <v>1640.18</v>
      </c>
      <c r="S15" s="240">
        <f>Q15+R15</f>
        <v>3224.3771519999991</v>
      </c>
      <c r="T15" s="240">
        <f>VLOOKUP(M15,Credito,2)</f>
        <v>0</v>
      </c>
      <c r="U15" s="240">
        <f>ROUND((S15-T15)/30.4*G15,2)</f>
        <v>1590.98</v>
      </c>
      <c r="V15" s="239">
        <f>-IF(U15&gt;0,0,0)</f>
        <v>0</v>
      </c>
      <c r="W15" s="239">
        <f>IF(I15/15&lt;=SMG,0,IF(U15&lt;0,0,U15))</f>
        <v>1590.98</v>
      </c>
      <c r="X15" s="243">
        <v>0</v>
      </c>
      <c r="Y15" s="239">
        <f>SUM(W15:X15)</f>
        <v>1590.98</v>
      </c>
      <c r="Z15" s="239">
        <f>K15+V15-Y15</f>
        <v>9710.52</v>
      </c>
      <c r="AA15" s="244"/>
    </row>
    <row r="16" spans="1:27" s="245" customFormat="1" ht="207.75" customHeight="1" x14ac:dyDescent="0.2">
      <c r="A16" s="247"/>
      <c r="B16" s="248" t="s">
        <v>196</v>
      </c>
      <c r="C16" s="249" t="s">
        <v>108</v>
      </c>
      <c r="D16" s="250" t="s">
        <v>197</v>
      </c>
      <c r="E16" s="251">
        <v>44991</v>
      </c>
      <c r="F16" s="252" t="s">
        <v>63</v>
      </c>
      <c r="G16" s="253">
        <v>15</v>
      </c>
      <c r="H16" s="246">
        <v>362.4</v>
      </c>
      <c r="I16" s="237">
        <v>5669.53</v>
      </c>
      <c r="J16" s="238">
        <v>0</v>
      </c>
      <c r="K16" s="239">
        <f>SUM(I16:J16)</f>
        <v>5669.53</v>
      </c>
      <c r="L16" s="240">
        <f>IF(I16/15&lt;=SMG,0,J16/2)</f>
        <v>0</v>
      </c>
      <c r="M16" s="259">
        <f>(I16+L16)/G16*30.4</f>
        <v>11490.247466666666</v>
      </c>
      <c r="N16" s="259">
        <f>VLOOKUP(M16,Tarifa,1)</f>
        <v>11128.02</v>
      </c>
      <c r="O16" s="240">
        <f>M16-N16</f>
        <v>362.22746666666535</v>
      </c>
      <c r="P16" s="241">
        <f>VLOOKUP(M16,Tarifa,3)</f>
        <v>0.16</v>
      </c>
      <c r="Q16" s="240">
        <f>O16*P16</f>
        <v>57.956394666666455</v>
      </c>
      <c r="R16" s="242">
        <f>VLOOKUP(M16,Tarifa,2)</f>
        <v>893.63</v>
      </c>
      <c r="S16" s="240">
        <f>Q16+R16</f>
        <v>951.58639466666648</v>
      </c>
      <c r="T16" s="240">
        <f>VLOOKUP(M16,Credito,2)</f>
        <v>0</v>
      </c>
      <c r="U16" s="240">
        <f>ROUND((S16-T16)/30.4*G16,2)</f>
        <v>469.53</v>
      </c>
      <c r="V16" s="239">
        <f>-IF(U16&gt;0,0,0)</f>
        <v>0</v>
      </c>
      <c r="W16" s="239">
        <f>IF(I16/15&lt;=SMG,0,IF(U16&lt;0,0,U16))</f>
        <v>469.53</v>
      </c>
      <c r="X16" s="243">
        <v>0</v>
      </c>
      <c r="Y16" s="239">
        <f>SUM(W16:X16)</f>
        <v>469.53</v>
      </c>
      <c r="Z16" s="239">
        <f>K16+V16-Y16</f>
        <v>5200</v>
      </c>
      <c r="AA16" s="254"/>
    </row>
    <row r="17" spans="1:27" s="245" customFormat="1" ht="57.75" customHeight="1" x14ac:dyDescent="0.25">
      <c r="A17" s="247"/>
      <c r="B17" s="327" t="s">
        <v>96</v>
      </c>
      <c r="C17" s="327" t="s">
        <v>114</v>
      </c>
      <c r="D17" s="138" t="s">
        <v>337</v>
      </c>
      <c r="E17" s="327" t="s">
        <v>195</v>
      </c>
      <c r="F17" s="162" t="s">
        <v>61</v>
      </c>
      <c r="G17" s="162"/>
      <c r="H17" s="143"/>
      <c r="I17" s="147">
        <f>SUM(I18:I18)</f>
        <v>6693</v>
      </c>
      <c r="J17" s="147">
        <f>SUM(J18:J18)</f>
        <v>0</v>
      </c>
      <c r="K17" s="147">
        <f>SUM(K18:K18)</f>
        <v>6693</v>
      </c>
      <c r="L17" s="143"/>
      <c r="M17" s="143"/>
      <c r="N17" s="143"/>
      <c r="O17" s="143"/>
      <c r="P17" s="143"/>
      <c r="Q17" s="143"/>
      <c r="R17" s="149"/>
      <c r="S17" s="143"/>
      <c r="T17" s="143"/>
      <c r="U17" s="148"/>
      <c r="V17" s="147">
        <f>SUM(V18:V18)</f>
        <v>0</v>
      </c>
      <c r="W17" s="147">
        <f>SUM(W18:W18)</f>
        <v>639.24</v>
      </c>
      <c r="X17" s="147">
        <f>SUM(X18:X18)</f>
        <v>0</v>
      </c>
      <c r="Y17" s="147">
        <f>SUM(Y18:Y18)</f>
        <v>639.24</v>
      </c>
      <c r="Z17" s="147">
        <f>SUM(Z18:Z18)</f>
        <v>6053.76</v>
      </c>
      <c r="AA17" s="62"/>
    </row>
    <row r="18" spans="1:27" s="245" customFormat="1" ht="207.75" customHeight="1" x14ac:dyDescent="0.2">
      <c r="A18" s="247"/>
      <c r="B18" s="210" t="s">
        <v>341</v>
      </c>
      <c r="C18" s="210" t="s">
        <v>299</v>
      </c>
      <c r="D18" s="233" t="s">
        <v>338</v>
      </c>
      <c r="E18" s="236">
        <v>45673</v>
      </c>
      <c r="F18" s="255" t="s">
        <v>339</v>
      </c>
      <c r="G18" s="256">
        <v>15</v>
      </c>
      <c r="H18" s="246">
        <v>208.86700000000002</v>
      </c>
      <c r="I18" s="237">
        <v>6693</v>
      </c>
      <c r="J18" s="238">
        <v>0</v>
      </c>
      <c r="K18" s="239">
        <f>I18</f>
        <v>6693</v>
      </c>
      <c r="L18" s="240">
        <f>IF(I18/15&lt;=SMG,0,J18/2)</f>
        <v>0</v>
      </c>
      <c r="M18" s="259">
        <f>(I18+L18)/G18*30.4</f>
        <v>13564.48</v>
      </c>
      <c r="N18" s="259">
        <f>VLOOKUP(M18,Tarifa,1)</f>
        <v>12935.83</v>
      </c>
      <c r="O18" s="240">
        <f>M18-N18</f>
        <v>628.64999999999964</v>
      </c>
      <c r="P18" s="241">
        <f>VLOOKUP(M18,Tarifa,3)</f>
        <v>0.1792</v>
      </c>
      <c r="Q18" s="240">
        <f>O18*P18</f>
        <v>112.65407999999994</v>
      </c>
      <c r="R18" s="242">
        <f>VLOOKUP(M18,Tarifa,2)</f>
        <v>1182.8800000000001</v>
      </c>
      <c r="S18" s="240">
        <f>Q18+R18</f>
        <v>1295.5340800000001</v>
      </c>
      <c r="T18" s="240">
        <f>VLOOKUP(M18,Credito,2)</f>
        <v>0</v>
      </c>
      <c r="U18" s="240">
        <f>ROUND((S18-T18)/30.4*G18,2)</f>
        <v>639.24</v>
      </c>
      <c r="V18" s="239">
        <f>-IF(U18&gt;0,0,0)</f>
        <v>0</v>
      </c>
      <c r="W18" s="239">
        <f>IF(I18/15&lt;=SMG,0,IF(U18&lt;0,0,U18))</f>
        <v>639.24</v>
      </c>
      <c r="X18" s="243">
        <v>0</v>
      </c>
      <c r="Y18" s="239">
        <f>SUM(W18:X18)</f>
        <v>639.24</v>
      </c>
      <c r="Z18" s="239">
        <f>K18+V18-Y18</f>
        <v>6053.76</v>
      </c>
      <c r="AA18" s="258"/>
    </row>
    <row r="19" spans="1:27" s="50" customFormat="1" ht="31.5" customHeight="1" x14ac:dyDescent="0.25">
      <c r="A19" s="170"/>
      <c r="B19" s="327" t="s">
        <v>96</v>
      </c>
      <c r="C19" s="327" t="s">
        <v>114</v>
      </c>
      <c r="D19" s="138" t="s">
        <v>239</v>
      </c>
      <c r="E19" s="327" t="s">
        <v>195</v>
      </c>
      <c r="F19" s="162" t="s">
        <v>61</v>
      </c>
      <c r="G19" s="162"/>
      <c r="H19" s="143"/>
      <c r="I19" s="147">
        <f>SUM(I20:I20)</f>
        <v>3133</v>
      </c>
      <c r="J19" s="147">
        <f>SUM(J20:J20)</f>
        <v>0</v>
      </c>
      <c r="K19" s="147">
        <f>SUM(K20:K20)</f>
        <v>3133</v>
      </c>
      <c r="L19" s="143"/>
      <c r="M19" s="143"/>
      <c r="N19" s="143"/>
      <c r="O19" s="143"/>
      <c r="P19" s="143"/>
      <c r="Q19" s="143"/>
      <c r="R19" s="149"/>
      <c r="S19" s="143"/>
      <c r="T19" s="143"/>
      <c r="U19" s="148"/>
      <c r="V19" s="147">
        <f>SUM(V20:V20)</f>
        <v>0</v>
      </c>
      <c r="W19" s="147">
        <f>SUM(W20:W20)</f>
        <v>0</v>
      </c>
      <c r="X19" s="147">
        <f>SUM(X20:X20)</f>
        <v>0</v>
      </c>
      <c r="Y19" s="147">
        <f>SUM(Y20:Y20)</f>
        <v>0</v>
      </c>
      <c r="Z19" s="147">
        <f>SUM(Z20:Z20)</f>
        <v>3133</v>
      </c>
      <c r="AA19" s="62"/>
    </row>
    <row r="20" spans="1:27" s="245" customFormat="1" ht="209.25" customHeight="1" x14ac:dyDescent="0.2">
      <c r="A20" s="247"/>
      <c r="B20" s="210" t="s">
        <v>255</v>
      </c>
      <c r="C20" s="210" t="s">
        <v>108</v>
      </c>
      <c r="D20" s="233" t="s">
        <v>256</v>
      </c>
      <c r="E20" s="236">
        <v>45566</v>
      </c>
      <c r="F20" s="255" t="s">
        <v>240</v>
      </c>
      <c r="G20" s="256">
        <v>15</v>
      </c>
      <c r="H20" s="246">
        <v>208.86700000000002</v>
      </c>
      <c r="I20" s="237">
        <v>3133</v>
      </c>
      <c r="J20" s="238">
        <v>0</v>
      </c>
      <c r="K20" s="239">
        <f t="shared" ref="K20" si="0">SUM(I20:J20)</f>
        <v>3133</v>
      </c>
      <c r="L20" s="240">
        <f>IF(I20/15&lt;=SMG,0,J20/2)</f>
        <v>0</v>
      </c>
      <c r="M20" s="259">
        <f>(I20+L20)/G20*30.4</f>
        <v>6349.5466666666662</v>
      </c>
      <c r="N20" s="259">
        <f>VLOOKUP(M20,Tarifa,1)</f>
        <v>6332.06</v>
      </c>
      <c r="O20" s="240">
        <f>M20-N20</f>
        <v>17.486666666665769</v>
      </c>
      <c r="P20" s="241">
        <f>VLOOKUP(M20,Tarifa,3)</f>
        <v>0.10879999999999999</v>
      </c>
      <c r="Q20" s="240">
        <f>O20*P20</f>
        <v>1.9025493333332355</v>
      </c>
      <c r="R20" s="242">
        <f>VLOOKUP(M20,Tarifa,2)</f>
        <v>371.83</v>
      </c>
      <c r="S20" s="240">
        <f>Q20+R20</f>
        <v>373.73254933333322</v>
      </c>
      <c r="T20" s="240">
        <f>VLOOKUP(M20,Credito,2)</f>
        <v>475</v>
      </c>
      <c r="U20" s="240">
        <f>ROUND((S20-T20)/30.4*G20,2)</f>
        <v>-49.97</v>
      </c>
      <c r="V20" s="239">
        <v>0</v>
      </c>
      <c r="W20" s="257">
        <f>IF(I20/15&lt;=SMG,0,IF(U20&lt;0,0,U20))</f>
        <v>0</v>
      </c>
      <c r="X20" s="243">
        <v>0</v>
      </c>
      <c r="Y20" s="239">
        <f>SUM(W20:X20)</f>
        <v>0</v>
      </c>
      <c r="Z20" s="257">
        <f>K20+V20-Y20</f>
        <v>3133</v>
      </c>
      <c r="AA20" s="258"/>
    </row>
    <row r="21" spans="1:27" s="50" customFormat="1" ht="21.75" customHeight="1" x14ac:dyDescent="0.25">
      <c r="A21" s="151"/>
      <c r="B21" s="152"/>
      <c r="C21" s="152"/>
      <c r="D21" s="153"/>
      <c r="E21" s="153"/>
      <c r="F21" s="153"/>
      <c r="G21" s="137"/>
      <c r="H21" s="154"/>
      <c r="I21" s="155"/>
      <c r="J21" s="156"/>
      <c r="K21" s="157"/>
      <c r="L21" s="158"/>
      <c r="M21" s="158"/>
      <c r="N21" s="158"/>
      <c r="O21" s="158"/>
      <c r="P21" s="159"/>
      <c r="Q21" s="158"/>
      <c r="R21" s="158"/>
      <c r="S21" s="158"/>
      <c r="T21" s="158"/>
      <c r="U21" s="158"/>
      <c r="V21" s="157"/>
      <c r="W21" s="157"/>
      <c r="X21" s="160"/>
      <c r="Y21" s="157"/>
      <c r="Z21" s="157"/>
      <c r="AA21" s="57"/>
    </row>
    <row r="22" spans="1:27" s="50" customFormat="1" ht="41.25" customHeight="1" thickBot="1" x14ac:dyDescent="0.3">
      <c r="A22" s="348" t="s">
        <v>44</v>
      </c>
      <c r="B22" s="349"/>
      <c r="C22" s="349"/>
      <c r="D22" s="349"/>
      <c r="E22" s="349"/>
      <c r="F22" s="349"/>
      <c r="G22" s="349"/>
      <c r="H22" s="350"/>
      <c r="I22" s="128">
        <f>I8+I12+I14+I19+I17</f>
        <v>83010.03</v>
      </c>
      <c r="J22" s="128">
        <f>J8+J12+J14+J19+J17</f>
        <v>0</v>
      </c>
      <c r="K22" s="128">
        <f>K8+K12+K14+K19+K17</f>
        <v>83010.03</v>
      </c>
      <c r="L22" s="129">
        <f>SUM(L9:L20)</f>
        <v>0</v>
      </c>
      <c r="M22" s="129">
        <f t="shared" ref="M22:U22" si="1">SUM(M9:M20)</f>
        <v>168233.66079999998</v>
      </c>
      <c r="N22" s="129">
        <f t="shared" si="1"/>
        <v>132860.40000000002</v>
      </c>
      <c r="O22" s="129">
        <f t="shared" si="1"/>
        <v>35373.260799999989</v>
      </c>
      <c r="P22" s="129">
        <f t="shared" si="1"/>
        <v>1.4952000000000001</v>
      </c>
      <c r="Q22" s="129">
        <f t="shared" si="1"/>
        <v>8303.5701733333317</v>
      </c>
      <c r="R22" s="129">
        <f t="shared" si="1"/>
        <v>16752.849999999999</v>
      </c>
      <c r="S22" s="129">
        <f t="shared" si="1"/>
        <v>25056.420173333328</v>
      </c>
      <c r="T22" s="129">
        <f t="shared" si="1"/>
        <v>475</v>
      </c>
      <c r="U22" s="129">
        <f t="shared" si="1"/>
        <v>12128.98</v>
      </c>
      <c r="V22" s="128">
        <f>V8+V12+V14+V19+V17</f>
        <v>0</v>
      </c>
      <c r="W22" s="128">
        <f>W8+W12+W14+W19+W17</f>
        <v>12178.949999999999</v>
      </c>
      <c r="X22" s="128">
        <f>X8+X12+X14+X19+X17</f>
        <v>0</v>
      </c>
      <c r="Y22" s="128">
        <f>Y8+Y12+Y14+Y19+Y17</f>
        <v>12178.949999999999</v>
      </c>
      <c r="Z22" s="128">
        <f>Z8+Z12+Z14+Z19+Z17</f>
        <v>70831.08</v>
      </c>
    </row>
    <row r="23" spans="1:27" s="50" customFormat="1" ht="12" customHeight="1" thickTop="1" x14ac:dyDescent="0.25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</row>
  </sheetData>
  <mergeCells count="7">
    <mergeCell ref="A22:H22"/>
    <mergeCell ref="A1:AA1"/>
    <mergeCell ref="A2:AA2"/>
    <mergeCell ref="A3:AA3"/>
    <mergeCell ref="I5:K5"/>
    <mergeCell ref="N5:S5"/>
    <mergeCell ref="W5:Y5"/>
  </mergeCells>
  <printOptions horizontalCentered="1"/>
  <pageMargins left="0.27559055118110237" right="0.27559055118110237" top="0.47244094488188981" bottom="0.82677165354330717" header="0.31496062992125984" footer="0.51181102362204722"/>
  <pageSetup scale="39" fitToHeight="0" orientation="landscape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B15"/>
  <sheetViews>
    <sheetView topLeftCell="B1" zoomScale="75" zoomScaleNormal="75" workbookViewId="0">
      <selection activeCell="W11" sqref="W11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4.28515625" customWidth="1"/>
    <col min="5" max="5" width="17.28515625" customWidth="1"/>
    <col min="6" max="6" width="20.85546875" customWidth="1"/>
    <col min="7" max="7" width="6.5703125" hidden="1" customWidth="1"/>
    <col min="8" max="8" width="7.28515625" hidden="1" customWidth="1"/>
    <col min="9" max="9" width="17.42578125" customWidth="1"/>
    <col min="10" max="10" width="10.85546875" customWidth="1"/>
    <col min="11" max="11" width="16.42578125" customWidth="1"/>
    <col min="12" max="12" width="13.140625" hidden="1" customWidth="1"/>
    <col min="13" max="13" width="13.85546875" hidden="1" customWidth="1"/>
    <col min="14" max="14" width="13.5703125" hidden="1" customWidth="1"/>
    <col min="15" max="15" width="14" hidden="1" customWidth="1"/>
    <col min="16" max="17" width="13.140625" hidden="1" customWidth="1"/>
    <col min="18" max="18" width="10.5703125" hidden="1" customWidth="1"/>
    <col min="19" max="19" width="13" hidden="1" customWidth="1"/>
    <col min="20" max="20" width="13.140625" hidden="1" customWidth="1"/>
    <col min="21" max="21" width="15.42578125" hidden="1" customWidth="1"/>
    <col min="22" max="22" width="9.7109375" customWidth="1"/>
    <col min="23" max="23" width="14" customWidth="1"/>
    <col min="24" max="24" width="13.42578125" customWidth="1"/>
    <col min="25" max="25" width="14.42578125" customWidth="1"/>
    <col min="26" max="26" width="16.42578125" customWidth="1"/>
    <col min="27" max="27" width="58.7109375" customWidth="1"/>
  </cols>
  <sheetData>
    <row r="1" spans="1:28" ht="18" x14ac:dyDescent="0.25">
      <c r="A1" s="362" t="s">
        <v>77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</row>
    <row r="2" spans="1:28" ht="18" x14ac:dyDescent="0.25">
      <c r="A2" s="362" t="s">
        <v>64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</row>
    <row r="3" spans="1:28" ht="19.5" x14ac:dyDescent="0.25">
      <c r="A3" s="139" t="s">
        <v>224</v>
      </c>
      <c r="B3" s="352" t="str">
        <f>PRESIDENCIA!A3</f>
        <v>SUELDO  DEL 16 AL 30 DE JUNIO DE 2025</v>
      </c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  <c r="AB3" s="352"/>
    </row>
    <row r="4" spans="1:28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8" x14ac:dyDescent="0.2">
      <c r="A5" s="22"/>
      <c r="B5" s="22"/>
      <c r="C5" s="22"/>
      <c r="D5" s="22"/>
      <c r="E5" s="22"/>
      <c r="F5" s="22"/>
      <c r="G5" s="23" t="s">
        <v>22</v>
      </c>
      <c r="H5" s="23" t="s">
        <v>160</v>
      </c>
      <c r="I5" s="363" t="s">
        <v>1</v>
      </c>
      <c r="J5" s="364"/>
      <c r="K5" s="365"/>
      <c r="L5" s="24" t="s">
        <v>25</v>
      </c>
      <c r="M5" s="25"/>
      <c r="N5" s="366" t="s">
        <v>8</v>
      </c>
      <c r="O5" s="367"/>
      <c r="P5" s="367"/>
      <c r="Q5" s="367"/>
      <c r="R5" s="367"/>
      <c r="S5" s="368"/>
      <c r="T5" s="24" t="s">
        <v>29</v>
      </c>
      <c r="U5" s="24" t="s">
        <v>9</v>
      </c>
      <c r="V5" s="23" t="s">
        <v>52</v>
      </c>
      <c r="W5" s="369" t="s">
        <v>2</v>
      </c>
      <c r="X5" s="370"/>
      <c r="Y5" s="371"/>
      <c r="Z5" s="23" t="s">
        <v>0</v>
      </c>
      <c r="AA5" s="33"/>
    </row>
    <row r="6" spans="1:28" ht="22.5" x14ac:dyDescent="0.2">
      <c r="A6" s="26" t="s">
        <v>20</v>
      </c>
      <c r="B6" s="43" t="s">
        <v>96</v>
      </c>
      <c r="C6" s="43" t="s">
        <v>109</v>
      </c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 t="s">
        <v>58</v>
      </c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142" t="s">
        <v>191</v>
      </c>
      <c r="X6" s="23" t="s">
        <v>56</v>
      </c>
      <c r="Y6" s="23" t="s">
        <v>6</v>
      </c>
      <c r="Z6" s="26" t="s">
        <v>3</v>
      </c>
      <c r="AA6" s="35" t="s">
        <v>57</v>
      </c>
    </row>
    <row r="7" spans="1:28" x14ac:dyDescent="0.2">
      <c r="A7" s="29"/>
      <c r="B7" s="29"/>
      <c r="C7" s="29"/>
      <c r="D7" s="29"/>
      <c r="E7" s="29"/>
      <c r="F7" s="29"/>
      <c r="G7" s="29"/>
      <c r="H7" s="29"/>
      <c r="I7" s="26" t="s">
        <v>46</v>
      </c>
      <c r="J7" s="26" t="s">
        <v>59</v>
      </c>
      <c r="K7" s="26" t="s">
        <v>28</v>
      </c>
      <c r="L7" s="28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6" t="s">
        <v>51</v>
      </c>
      <c r="W7" s="26"/>
      <c r="X7" s="26"/>
      <c r="Y7" s="26" t="s">
        <v>43</v>
      </c>
      <c r="Z7" s="26" t="s">
        <v>4</v>
      </c>
      <c r="AA7" s="34"/>
    </row>
    <row r="8" spans="1:28" ht="56.25" customHeight="1" x14ac:dyDescent="0.25">
      <c r="A8" s="332"/>
      <c r="B8" s="138" t="s">
        <v>96</v>
      </c>
      <c r="C8" s="138" t="s">
        <v>114</v>
      </c>
      <c r="D8" s="161" t="s">
        <v>300</v>
      </c>
      <c r="E8" s="138" t="s">
        <v>195</v>
      </c>
      <c r="F8" s="143" t="s">
        <v>61</v>
      </c>
      <c r="G8" s="162"/>
      <c r="H8" s="37"/>
      <c r="I8" s="163">
        <f>I9</f>
        <v>12305.41</v>
      </c>
      <c r="J8" s="163">
        <f>J9</f>
        <v>0</v>
      </c>
      <c r="K8" s="163">
        <f>K9</f>
        <v>12305.41</v>
      </c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3">
        <f>V9</f>
        <v>0</v>
      </c>
      <c r="W8" s="163">
        <f>W9</f>
        <v>1805.41</v>
      </c>
      <c r="X8" s="163">
        <f>X9</f>
        <v>0</v>
      </c>
      <c r="Y8" s="163">
        <f>Y9</f>
        <v>1805.41</v>
      </c>
      <c r="Z8" s="163">
        <f>Z9</f>
        <v>10500</v>
      </c>
      <c r="AA8" s="164"/>
    </row>
    <row r="9" spans="1:28" ht="167.25" customHeight="1" x14ac:dyDescent="0.2">
      <c r="A9" s="332"/>
      <c r="B9" s="232" t="s">
        <v>307</v>
      </c>
      <c r="C9" s="226" t="s">
        <v>108</v>
      </c>
      <c r="D9" s="211" t="s">
        <v>308</v>
      </c>
      <c r="E9" s="213">
        <v>45601</v>
      </c>
      <c r="F9" s="214" t="s">
        <v>355</v>
      </c>
      <c r="G9" s="215">
        <v>15</v>
      </c>
      <c r="H9" s="216">
        <f>I9/G9</f>
        <v>820.3606666666667</v>
      </c>
      <c r="I9" s="217">
        <v>12305.41</v>
      </c>
      <c r="J9" s="218">
        <v>0</v>
      </c>
      <c r="K9" s="219">
        <f>SUM(I9:J9)</f>
        <v>12305.41</v>
      </c>
      <c r="L9" s="240">
        <f t="shared" ref="L9" si="0">IF(I9/15&lt;=SMG,0,J9/2)</f>
        <v>0</v>
      </c>
      <c r="M9" s="259">
        <f t="shared" ref="M9" si="1">(I9+L9)/G9*30.4</f>
        <v>24938.964266666666</v>
      </c>
      <c r="N9" s="259">
        <f t="shared" ref="N9" si="2">VLOOKUP(M9,Tarifa,1)</f>
        <v>15487.72</v>
      </c>
      <c r="O9" s="240">
        <f t="shared" ref="O9" si="3">M9-N9</f>
        <v>9451.2442666666666</v>
      </c>
      <c r="P9" s="241">
        <f t="shared" ref="P9" si="4">VLOOKUP(M9,Tarifa,3)</f>
        <v>0.21360000000000001</v>
      </c>
      <c r="Q9" s="240">
        <f t="shared" ref="Q9" si="5">O9*P9</f>
        <v>2018.7857753600001</v>
      </c>
      <c r="R9" s="242">
        <f t="shared" ref="R9" si="6">VLOOKUP(M9,Tarifa,2)</f>
        <v>1640.18</v>
      </c>
      <c r="S9" s="240">
        <f t="shared" ref="S9" si="7">Q9+R9</f>
        <v>3658.9657753600004</v>
      </c>
      <c r="T9" s="240">
        <f t="shared" ref="T9" si="8">VLOOKUP(M9,Credito,2)</f>
        <v>0</v>
      </c>
      <c r="U9" s="240">
        <f t="shared" ref="U9" si="9">ROUND((S9-T9)/30.4*G9,2)</f>
        <v>1805.41</v>
      </c>
      <c r="V9" s="219">
        <f>-IF(U9&gt;0,0,0)</f>
        <v>0</v>
      </c>
      <c r="W9" s="219">
        <f t="shared" ref="W9" si="10">IF(I9/15&lt;=SMG,0,IF(U9&lt;0,0,U9))</f>
        <v>1805.41</v>
      </c>
      <c r="X9" s="220">
        <v>0</v>
      </c>
      <c r="Y9" s="219">
        <f t="shared" ref="Y9" si="11">SUM(W9:X9)</f>
        <v>1805.41</v>
      </c>
      <c r="Z9" s="219">
        <f t="shared" ref="Z9" si="12">K9+V9-Y9</f>
        <v>10500</v>
      </c>
      <c r="AA9" s="221"/>
    </row>
    <row r="10" spans="1:28" ht="56.25" customHeight="1" x14ac:dyDescent="0.25">
      <c r="A10" s="130"/>
      <c r="B10" s="138" t="s">
        <v>96</v>
      </c>
      <c r="C10" s="138" t="s">
        <v>114</v>
      </c>
      <c r="D10" s="161" t="s">
        <v>300</v>
      </c>
      <c r="E10" s="150"/>
      <c r="F10" s="143" t="s">
        <v>61</v>
      </c>
      <c r="G10" s="162"/>
      <c r="H10" s="37"/>
      <c r="I10" s="163">
        <f>I11</f>
        <v>8299</v>
      </c>
      <c r="J10" s="163">
        <f>J11</f>
        <v>0</v>
      </c>
      <c r="K10" s="163">
        <f>K11</f>
        <v>8299</v>
      </c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3">
        <f>V11</f>
        <v>0</v>
      </c>
      <c r="W10" s="163">
        <f>W11</f>
        <v>949.64</v>
      </c>
      <c r="X10" s="163">
        <f>X11</f>
        <v>0</v>
      </c>
      <c r="Y10" s="163">
        <f>Y11</f>
        <v>949.64</v>
      </c>
      <c r="Z10" s="163">
        <f>Z11</f>
        <v>7349.36</v>
      </c>
      <c r="AA10" s="164"/>
    </row>
    <row r="11" spans="1:28" s="263" customFormat="1" ht="166.5" customHeight="1" x14ac:dyDescent="0.2">
      <c r="A11" s="260"/>
      <c r="B11" s="209" t="s">
        <v>306</v>
      </c>
      <c r="C11" s="210" t="s">
        <v>108</v>
      </c>
      <c r="D11" s="211" t="s">
        <v>314</v>
      </c>
      <c r="E11" s="236">
        <v>45581</v>
      </c>
      <c r="F11" s="229" t="s">
        <v>301</v>
      </c>
      <c r="G11" s="230">
        <v>15</v>
      </c>
      <c r="H11" s="262">
        <f>ROUND(I11/G11,2)</f>
        <v>553.27</v>
      </c>
      <c r="I11" s="237">
        <v>8299</v>
      </c>
      <c r="J11" s="238">
        <v>0</v>
      </c>
      <c r="K11" s="239">
        <f t="shared" ref="K11" si="13">SUM(I11:J11)</f>
        <v>8299</v>
      </c>
      <c r="L11" s="240">
        <f>IF(I11/15&lt;=SMG,0,J11/2)</f>
        <v>0</v>
      </c>
      <c r="M11" s="259">
        <f>(I11+L11)/G11*30.4</f>
        <v>16819.306666666664</v>
      </c>
      <c r="N11" s="259">
        <f>VLOOKUP(M11,Tarifa,1)</f>
        <v>15487.72</v>
      </c>
      <c r="O11" s="240">
        <f>M11-N11</f>
        <v>1331.5866666666643</v>
      </c>
      <c r="P11" s="241">
        <f>VLOOKUP(M11,Tarifa,3)</f>
        <v>0.21360000000000001</v>
      </c>
      <c r="Q11" s="240">
        <f>O11*P11</f>
        <v>284.4269119999995</v>
      </c>
      <c r="R11" s="242">
        <f>VLOOKUP(M11,Tarifa,2)</f>
        <v>1640.18</v>
      </c>
      <c r="S11" s="240">
        <f>Q11+R11</f>
        <v>1924.6069119999995</v>
      </c>
      <c r="T11" s="240">
        <f>VLOOKUP(M11,Credito,2)</f>
        <v>0</v>
      </c>
      <c r="U11" s="240">
        <f>ROUND((S11-T11)/30.4*G11,2)</f>
        <v>949.64</v>
      </c>
      <c r="V11" s="239">
        <f>-IF(U11&gt;0,0,0)</f>
        <v>0</v>
      </c>
      <c r="W11" s="239">
        <f t="shared" ref="W11" si="14">IF(I11/15&lt;=SMG,0,IF(U11&lt;0,0,U11))</f>
        <v>949.64</v>
      </c>
      <c r="X11" s="243">
        <v>0</v>
      </c>
      <c r="Y11" s="239">
        <f t="shared" ref="Y11" si="15">SUM(W11:X11)</f>
        <v>949.64</v>
      </c>
      <c r="Z11" s="239">
        <f t="shared" ref="Z11" si="16">K11+V11-Y11</f>
        <v>7349.36</v>
      </c>
      <c r="AA11" s="221"/>
    </row>
    <row r="12" spans="1:28" ht="53.25" customHeight="1" x14ac:dyDescent="0.25">
      <c r="A12" s="130"/>
      <c r="B12" s="138" t="s">
        <v>96</v>
      </c>
      <c r="C12" s="138" t="s">
        <v>114</v>
      </c>
      <c r="D12" s="146" t="s">
        <v>75</v>
      </c>
      <c r="E12" s="150"/>
      <c r="F12" s="143" t="s">
        <v>61</v>
      </c>
      <c r="G12" s="143"/>
      <c r="H12" s="37"/>
      <c r="I12" s="163">
        <f>SUM(I13)</f>
        <v>12829</v>
      </c>
      <c r="J12" s="163">
        <f>SUM(J13)</f>
        <v>0</v>
      </c>
      <c r="K12" s="163">
        <f>SUM(K13)</f>
        <v>12829</v>
      </c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3">
        <f>SUM(V13)</f>
        <v>0</v>
      </c>
      <c r="W12" s="163">
        <f>SUM(W13)</f>
        <v>1917.25</v>
      </c>
      <c r="X12" s="163">
        <f>SUM(X13)</f>
        <v>0</v>
      </c>
      <c r="Y12" s="163">
        <f>SUM(Y13)</f>
        <v>1917.25</v>
      </c>
      <c r="Z12" s="163">
        <f>SUM(Z13)</f>
        <v>10911.75</v>
      </c>
      <c r="AA12" s="164"/>
    </row>
    <row r="13" spans="1:28" s="263" customFormat="1" ht="165.75" customHeight="1" x14ac:dyDescent="0.2">
      <c r="A13" s="260"/>
      <c r="B13" s="264">
        <v>160</v>
      </c>
      <c r="C13" s="232" t="s">
        <v>108</v>
      </c>
      <c r="D13" s="211" t="s">
        <v>287</v>
      </c>
      <c r="E13" s="236">
        <v>45566</v>
      </c>
      <c r="F13" s="212" t="s">
        <v>75</v>
      </c>
      <c r="G13" s="261">
        <v>15</v>
      </c>
      <c r="H13" s="262">
        <f>ROUND(I13/G13,2)</f>
        <v>855.27</v>
      </c>
      <c r="I13" s="266">
        <v>12829</v>
      </c>
      <c r="J13" s="267">
        <v>0</v>
      </c>
      <c r="K13" s="268">
        <f>SUM(I13:J13)</f>
        <v>12829</v>
      </c>
      <c r="L13" s="240">
        <f>IF(I13/15&lt;=SMG,0,J13/2)</f>
        <v>0</v>
      </c>
      <c r="M13" s="259">
        <f>(I13+L13)/G13*30.4</f>
        <v>26000.106666666667</v>
      </c>
      <c r="N13" s="259">
        <f>VLOOKUP(M13,Tarifa,1)</f>
        <v>15487.72</v>
      </c>
      <c r="O13" s="240">
        <f>M13-N13</f>
        <v>10512.386666666667</v>
      </c>
      <c r="P13" s="241">
        <f>VLOOKUP(M13,Tarifa,3)</f>
        <v>0.21360000000000001</v>
      </c>
      <c r="Q13" s="240">
        <f>O13*P13</f>
        <v>2245.4457920000004</v>
      </c>
      <c r="R13" s="242">
        <f>VLOOKUP(M13,Tarifa,2)</f>
        <v>1640.18</v>
      </c>
      <c r="S13" s="240">
        <f>Q13+R13</f>
        <v>3885.6257920000007</v>
      </c>
      <c r="T13" s="240">
        <f>VLOOKUP(M13,Credito,2)</f>
        <v>0</v>
      </c>
      <c r="U13" s="240">
        <f>ROUND((S13-T13)/30.4*G13,2)</f>
        <v>1917.25</v>
      </c>
      <c r="V13" s="239">
        <f>-IF(U13&gt;0,0,0)</f>
        <v>0</v>
      </c>
      <c r="W13" s="239">
        <f>IF(I13/15&lt;=SMG,0,IF(U13&lt;0,0,U13))</f>
        <v>1917.25</v>
      </c>
      <c r="X13" s="243">
        <v>0</v>
      </c>
      <c r="Y13" s="239">
        <f>SUM(W13:X13)</f>
        <v>1917.25</v>
      </c>
      <c r="Z13" s="239">
        <f>K13+V13-Y13</f>
        <v>10911.75</v>
      </c>
      <c r="AA13" s="221"/>
    </row>
    <row r="14" spans="1:28" ht="40.5" customHeight="1" thickBot="1" x14ac:dyDescent="0.3">
      <c r="A14" s="348" t="s">
        <v>44</v>
      </c>
      <c r="B14" s="349"/>
      <c r="C14" s="349"/>
      <c r="D14" s="349"/>
      <c r="E14" s="349"/>
      <c r="F14" s="349"/>
      <c r="G14" s="349"/>
      <c r="H14" s="350"/>
      <c r="I14" s="141">
        <f>I8+I10+I12</f>
        <v>33433.410000000003</v>
      </c>
      <c r="J14" s="141">
        <f>J8+J10+J12</f>
        <v>0</v>
      </c>
      <c r="K14" s="141">
        <f>K8+K10+K12</f>
        <v>33433.410000000003</v>
      </c>
      <c r="L14" s="129" t="e">
        <f>SUM(#REF!)</f>
        <v>#REF!</v>
      </c>
      <c r="M14" s="129" t="e">
        <f>SUM(#REF!)</f>
        <v>#REF!</v>
      </c>
      <c r="N14" s="129" t="e">
        <f>SUM(#REF!)</f>
        <v>#REF!</v>
      </c>
      <c r="O14" s="129" t="e">
        <f>SUM(#REF!)</f>
        <v>#REF!</v>
      </c>
      <c r="P14" s="129" t="e">
        <f>SUM(#REF!)</f>
        <v>#REF!</v>
      </c>
      <c r="Q14" s="129" t="e">
        <f>SUM(#REF!)</f>
        <v>#REF!</v>
      </c>
      <c r="R14" s="129" t="e">
        <f>SUM(#REF!)</f>
        <v>#REF!</v>
      </c>
      <c r="S14" s="129" t="e">
        <f>SUM(#REF!)</f>
        <v>#REF!</v>
      </c>
      <c r="T14" s="129" t="e">
        <f>SUM(#REF!)</f>
        <v>#REF!</v>
      </c>
      <c r="U14" s="129" t="e">
        <f>SUM(#REF!)</f>
        <v>#REF!</v>
      </c>
      <c r="V14" s="141">
        <f>V8+V10+V12</f>
        <v>0</v>
      </c>
      <c r="W14" s="141">
        <f>W8+W10+W12</f>
        <v>4672.3</v>
      </c>
      <c r="X14" s="141">
        <f>X8+X10+X12</f>
        <v>0</v>
      </c>
      <c r="Y14" s="141">
        <f>Y8+Y10+Y12</f>
        <v>4672.3</v>
      </c>
      <c r="Z14" s="141">
        <f>Z8+Z10+Z12</f>
        <v>28761.11</v>
      </c>
      <c r="AA14" s="102"/>
    </row>
    <row r="15" spans="1:28" ht="13.5" thickTop="1" x14ac:dyDescent="0.2"/>
  </sheetData>
  <mergeCells count="7">
    <mergeCell ref="A14:H14"/>
    <mergeCell ref="A1:AA1"/>
    <mergeCell ref="A2:AA2"/>
    <mergeCell ref="I5:K5"/>
    <mergeCell ref="N5:S5"/>
    <mergeCell ref="W5:Y5"/>
    <mergeCell ref="B3:AB3"/>
  </mergeCell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30"/>
  <sheetViews>
    <sheetView topLeftCell="B1" zoomScale="66" zoomScaleNormal="66" workbookViewId="0">
      <selection activeCell="J10" sqref="J10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17.85546875" customWidth="1"/>
    <col min="6" max="6" width="32.28515625" customWidth="1"/>
    <col min="7" max="7" width="10" hidden="1" customWidth="1"/>
    <col min="8" max="8" width="12.7109375" hidden="1" customWidth="1"/>
    <col min="9" max="9" width="18" customWidth="1"/>
    <col min="10" max="10" width="17.42578125" customWidth="1"/>
    <col min="11" max="11" width="18.28515625" customWidth="1"/>
    <col min="12" max="12" width="13.140625" hidden="1" customWidth="1"/>
    <col min="13" max="13" width="15.140625" hidden="1" customWidth="1"/>
    <col min="14" max="14" width="14" hidden="1" customWidth="1"/>
    <col min="15" max="15" width="14.5703125" hidden="1" customWidth="1"/>
    <col min="16" max="17" width="13.140625" hidden="1" customWidth="1"/>
    <col min="18" max="19" width="14.28515625" hidden="1" customWidth="1"/>
    <col min="20" max="21" width="13.140625" hidden="1" customWidth="1"/>
    <col min="22" max="22" width="9.7109375" customWidth="1"/>
    <col min="23" max="23" width="16.42578125" customWidth="1"/>
    <col min="24" max="25" width="15.7109375" customWidth="1"/>
    <col min="26" max="26" width="18.28515625" customWidth="1"/>
    <col min="27" max="27" width="79.28515625" customWidth="1"/>
    <col min="28" max="28" width="1.42578125" customWidth="1"/>
  </cols>
  <sheetData>
    <row r="1" spans="1:33" ht="19.5" x14ac:dyDescent="0.25">
      <c r="A1" s="351" t="s">
        <v>77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</row>
    <row r="2" spans="1:33" ht="19.5" x14ac:dyDescent="0.25">
      <c r="A2" s="351" t="s">
        <v>64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</row>
    <row r="3" spans="1:33" ht="19.5" x14ac:dyDescent="0.25">
      <c r="A3" s="352" t="str">
        <f>PRESIDENCIA!A3</f>
        <v>SUELDO  DEL 16 AL 30 DE JUNIO DE 2025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33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33" s="50" customFormat="1" ht="12.75" customHeight="1" x14ac:dyDescent="0.2">
      <c r="A5" s="46"/>
      <c r="B5" s="46"/>
      <c r="C5" s="381" t="s">
        <v>109</v>
      </c>
      <c r="D5" s="46"/>
      <c r="E5" s="46"/>
      <c r="F5" s="46"/>
      <c r="G5" s="47" t="s">
        <v>22</v>
      </c>
      <c r="H5" s="47" t="s">
        <v>5</v>
      </c>
      <c r="I5" s="372" t="s">
        <v>1</v>
      </c>
      <c r="J5" s="373"/>
      <c r="K5" s="374"/>
      <c r="L5" s="48" t="s">
        <v>25</v>
      </c>
      <c r="M5" s="49"/>
      <c r="N5" s="375" t="s">
        <v>8</v>
      </c>
      <c r="O5" s="376"/>
      <c r="P5" s="376"/>
      <c r="Q5" s="376"/>
      <c r="R5" s="376"/>
      <c r="S5" s="377"/>
      <c r="T5" s="48" t="s">
        <v>29</v>
      </c>
      <c r="U5" s="48" t="s">
        <v>9</v>
      </c>
      <c r="V5" s="47" t="s">
        <v>52</v>
      </c>
      <c r="W5" s="378" t="s">
        <v>2</v>
      </c>
      <c r="X5" s="379"/>
      <c r="Y5" s="380"/>
      <c r="Z5" s="47" t="s">
        <v>0</v>
      </c>
      <c r="AA5" s="46"/>
    </row>
    <row r="6" spans="1:33" s="50" customFormat="1" ht="24" x14ac:dyDescent="0.2">
      <c r="A6" s="51" t="s">
        <v>20</v>
      </c>
      <c r="B6" s="45" t="s">
        <v>96</v>
      </c>
      <c r="C6" s="382"/>
      <c r="D6" s="51" t="s">
        <v>21</v>
      </c>
      <c r="E6" s="51"/>
      <c r="F6" s="51"/>
      <c r="G6" s="52" t="s">
        <v>23</v>
      </c>
      <c r="H6" s="51" t="s">
        <v>24</v>
      </c>
      <c r="I6" s="47" t="s">
        <v>5</v>
      </c>
      <c r="J6" s="47" t="s">
        <v>58</v>
      </c>
      <c r="K6" s="47" t="s">
        <v>27</v>
      </c>
      <c r="L6" s="53" t="s">
        <v>26</v>
      </c>
      <c r="M6" s="49" t="s">
        <v>31</v>
      </c>
      <c r="N6" s="49" t="s">
        <v>11</v>
      </c>
      <c r="O6" s="49" t="s">
        <v>33</v>
      </c>
      <c r="P6" s="49" t="s">
        <v>35</v>
      </c>
      <c r="Q6" s="49" t="s">
        <v>36</v>
      </c>
      <c r="R6" s="49" t="s">
        <v>13</v>
      </c>
      <c r="S6" s="49" t="s">
        <v>9</v>
      </c>
      <c r="T6" s="53" t="s">
        <v>39</v>
      </c>
      <c r="U6" s="53" t="s">
        <v>40</v>
      </c>
      <c r="V6" s="51" t="s">
        <v>30</v>
      </c>
      <c r="W6" s="47" t="s">
        <v>191</v>
      </c>
      <c r="X6" s="47" t="s">
        <v>56</v>
      </c>
      <c r="Y6" s="47" t="s">
        <v>6</v>
      </c>
      <c r="Z6" s="51" t="s">
        <v>3</v>
      </c>
      <c r="AA6" s="51" t="s">
        <v>57</v>
      </c>
    </row>
    <row r="7" spans="1:33" s="50" customFormat="1" ht="12" x14ac:dyDescent="0.2">
      <c r="A7" s="59"/>
      <c r="B7" s="59"/>
      <c r="C7" s="383"/>
      <c r="D7" s="59"/>
      <c r="E7" s="59"/>
      <c r="F7" s="59"/>
      <c r="G7" s="59"/>
      <c r="H7" s="59"/>
      <c r="I7" s="59" t="s">
        <v>46</v>
      </c>
      <c r="J7" s="59" t="s">
        <v>59</v>
      </c>
      <c r="K7" s="59" t="s">
        <v>28</v>
      </c>
      <c r="L7" s="60" t="s">
        <v>42</v>
      </c>
      <c r="M7" s="48" t="s">
        <v>32</v>
      </c>
      <c r="N7" s="48" t="s">
        <v>12</v>
      </c>
      <c r="O7" s="48" t="s">
        <v>34</v>
      </c>
      <c r="P7" s="48" t="s">
        <v>34</v>
      </c>
      <c r="Q7" s="48" t="s">
        <v>37</v>
      </c>
      <c r="R7" s="48" t="s">
        <v>14</v>
      </c>
      <c r="S7" s="48" t="s">
        <v>38</v>
      </c>
      <c r="T7" s="53" t="s">
        <v>18</v>
      </c>
      <c r="U7" s="54" t="s">
        <v>115</v>
      </c>
      <c r="V7" s="59" t="s">
        <v>51</v>
      </c>
      <c r="W7" s="59"/>
      <c r="X7" s="59"/>
      <c r="Y7" s="59" t="s">
        <v>43</v>
      </c>
      <c r="Z7" s="59" t="s">
        <v>4</v>
      </c>
      <c r="AA7" s="56"/>
    </row>
    <row r="8" spans="1:33" s="50" customFormat="1" ht="35.25" customHeight="1" x14ac:dyDescent="0.25">
      <c r="A8" s="61"/>
      <c r="B8" s="121"/>
      <c r="C8" s="121"/>
      <c r="D8" s="120" t="s">
        <v>68</v>
      </c>
      <c r="E8" s="119" t="s">
        <v>195</v>
      </c>
      <c r="F8" s="121" t="s">
        <v>61</v>
      </c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2"/>
      <c r="V8" s="121"/>
      <c r="W8" s="121"/>
      <c r="X8" s="121"/>
      <c r="Y8" s="121"/>
      <c r="Z8" s="121"/>
      <c r="AA8" s="62"/>
    </row>
    <row r="9" spans="1:33" s="223" customFormat="1" ht="217.5" customHeight="1" x14ac:dyDescent="0.2">
      <c r="A9" s="208" t="s">
        <v>84</v>
      </c>
      <c r="B9" s="209" t="s">
        <v>286</v>
      </c>
      <c r="C9" s="210" t="s">
        <v>108</v>
      </c>
      <c r="D9" s="211" t="s">
        <v>257</v>
      </c>
      <c r="E9" s="213">
        <v>45566</v>
      </c>
      <c r="F9" s="214" t="s">
        <v>315</v>
      </c>
      <c r="G9" s="215">
        <v>15</v>
      </c>
      <c r="H9" s="216">
        <f t="shared" ref="H9:H12" si="0">I9/G9</f>
        <v>803.4</v>
      </c>
      <c r="I9" s="217">
        <v>12051</v>
      </c>
      <c r="J9" s="218">
        <v>0</v>
      </c>
      <c r="K9" s="219">
        <f>SUM(I9:J9)</f>
        <v>12051</v>
      </c>
      <c r="L9" s="240">
        <f t="shared" ref="L9:L12" si="1">IF(I9/15&lt;=SMG,0,J9/2)</f>
        <v>0</v>
      </c>
      <c r="M9" s="259">
        <f t="shared" ref="M9:M12" si="2">(I9+L9)/G9*30.4</f>
        <v>24423.359999999997</v>
      </c>
      <c r="N9" s="259">
        <f t="shared" ref="N9:N12" si="3">VLOOKUP(M9,Tarifa,1)</f>
        <v>15487.72</v>
      </c>
      <c r="O9" s="240">
        <f t="shared" ref="O9:O12" si="4">M9-N9</f>
        <v>8935.6399999999976</v>
      </c>
      <c r="P9" s="241">
        <f t="shared" ref="P9:P12" si="5">VLOOKUP(M9,Tarifa,3)</f>
        <v>0.21360000000000001</v>
      </c>
      <c r="Q9" s="240">
        <f t="shared" ref="Q9:Q12" si="6">O9*P9</f>
        <v>1908.6527039999996</v>
      </c>
      <c r="R9" s="242">
        <f t="shared" ref="R9:R12" si="7">VLOOKUP(M9,Tarifa,2)</f>
        <v>1640.18</v>
      </c>
      <c r="S9" s="240">
        <f t="shared" ref="S9:S12" si="8">Q9+R9</f>
        <v>3548.8327039999995</v>
      </c>
      <c r="T9" s="240">
        <f t="shared" ref="T9:T12" si="9">VLOOKUP(M9,Credito,2)</f>
        <v>0</v>
      </c>
      <c r="U9" s="240">
        <f t="shared" ref="U9:U12" si="10">ROUND((S9-T9)/30.4*G9,2)</f>
        <v>1751.07</v>
      </c>
      <c r="V9" s="219">
        <f>-IF(U9&gt;0,0,0)</f>
        <v>0</v>
      </c>
      <c r="W9" s="219">
        <f t="shared" ref="W9" si="11">IF(I9/15&lt;=SMG,0,IF(U9&lt;0,0,U9))</f>
        <v>1751.07</v>
      </c>
      <c r="X9" s="220">
        <v>0</v>
      </c>
      <c r="Y9" s="219">
        <f t="shared" ref="Y9:Y12" si="12">SUM(W9:X9)</f>
        <v>1751.07</v>
      </c>
      <c r="Z9" s="219">
        <f t="shared" ref="Z9" si="13">K9+V9-Y9</f>
        <v>10299.93</v>
      </c>
      <c r="AA9" s="221"/>
      <c r="AB9" s="222"/>
      <c r="AG9" s="224"/>
    </row>
    <row r="10" spans="1:33" s="223" customFormat="1" ht="217.5" customHeight="1" x14ac:dyDescent="0.2">
      <c r="A10" s="208"/>
      <c r="B10" s="209" t="s">
        <v>304</v>
      </c>
      <c r="C10" s="210" t="s">
        <v>108</v>
      </c>
      <c r="D10" s="211" t="s">
        <v>305</v>
      </c>
      <c r="E10" s="213">
        <v>45581</v>
      </c>
      <c r="F10" s="214" t="s">
        <v>318</v>
      </c>
      <c r="G10" s="215">
        <v>15</v>
      </c>
      <c r="H10" s="216">
        <f t="shared" si="0"/>
        <v>803.4</v>
      </c>
      <c r="I10" s="217">
        <v>12051</v>
      </c>
      <c r="J10" s="218">
        <v>0</v>
      </c>
      <c r="K10" s="219">
        <f>SUM(I10:J10)</f>
        <v>12051</v>
      </c>
      <c r="L10" s="240">
        <f t="shared" si="1"/>
        <v>0</v>
      </c>
      <c r="M10" s="259">
        <f t="shared" si="2"/>
        <v>24423.359999999997</v>
      </c>
      <c r="N10" s="259">
        <f t="shared" si="3"/>
        <v>15487.72</v>
      </c>
      <c r="O10" s="240">
        <f t="shared" si="4"/>
        <v>8935.6399999999976</v>
      </c>
      <c r="P10" s="241">
        <f t="shared" si="5"/>
        <v>0.21360000000000001</v>
      </c>
      <c r="Q10" s="240">
        <f t="shared" si="6"/>
        <v>1908.6527039999996</v>
      </c>
      <c r="R10" s="242">
        <f t="shared" si="7"/>
        <v>1640.18</v>
      </c>
      <c r="S10" s="240">
        <f t="shared" si="8"/>
        <v>3548.8327039999995</v>
      </c>
      <c r="T10" s="240">
        <f t="shared" si="9"/>
        <v>0</v>
      </c>
      <c r="U10" s="240">
        <f t="shared" si="10"/>
        <v>1751.07</v>
      </c>
      <c r="V10" s="219">
        <f>-IF(U10&gt;0,0,0)</f>
        <v>0</v>
      </c>
      <c r="W10" s="219">
        <f t="shared" ref="W10" si="14">IF(I10/15&lt;=SMG,0,IF(U10&lt;0,0,U10))</f>
        <v>1751.07</v>
      </c>
      <c r="X10" s="220">
        <v>0</v>
      </c>
      <c r="Y10" s="219">
        <f t="shared" ref="Y10" si="15">SUM(W10:X10)</f>
        <v>1751.07</v>
      </c>
      <c r="Z10" s="219">
        <f t="shared" ref="Z10" si="16">K10+V10-Y10</f>
        <v>10299.93</v>
      </c>
      <c r="AA10" s="221"/>
      <c r="AB10" s="222"/>
      <c r="AG10" s="224"/>
    </row>
    <row r="11" spans="1:33" s="223" customFormat="1" ht="217.5" customHeight="1" x14ac:dyDescent="0.2">
      <c r="A11" s="208"/>
      <c r="B11" s="209" t="s">
        <v>204</v>
      </c>
      <c r="C11" s="210" t="s">
        <v>108</v>
      </c>
      <c r="D11" s="211" t="s">
        <v>211</v>
      </c>
      <c r="E11" s="213">
        <v>45139</v>
      </c>
      <c r="F11" s="214" t="s">
        <v>212</v>
      </c>
      <c r="G11" s="215">
        <v>15</v>
      </c>
      <c r="H11" s="216">
        <f t="shared" si="0"/>
        <v>309.60000000000002</v>
      </c>
      <c r="I11" s="217">
        <v>4644</v>
      </c>
      <c r="J11" s="218">
        <v>0</v>
      </c>
      <c r="K11" s="219">
        <f>SUM(I11:J11)</f>
        <v>4644</v>
      </c>
      <c r="L11" s="240">
        <f t="shared" si="1"/>
        <v>0</v>
      </c>
      <c r="M11" s="259">
        <f t="shared" si="2"/>
        <v>9411.84</v>
      </c>
      <c r="N11" s="259">
        <f t="shared" si="3"/>
        <v>6332.06</v>
      </c>
      <c r="O11" s="240">
        <f t="shared" si="4"/>
        <v>3079.7799999999997</v>
      </c>
      <c r="P11" s="241">
        <f t="shared" si="5"/>
        <v>0.10879999999999999</v>
      </c>
      <c r="Q11" s="240">
        <f t="shared" si="6"/>
        <v>335.08006399999994</v>
      </c>
      <c r="R11" s="242">
        <f t="shared" si="7"/>
        <v>371.83</v>
      </c>
      <c r="S11" s="240">
        <f t="shared" si="8"/>
        <v>706.91006399999992</v>
      </c>
      <c r="T11" s="240">
        <f t="shared" si="9"/>
        <v>475</v>
      </c>
      <c r="U11" s="240">
        <f t="shared" si="10"/>
        <v>114.43</v>
      </c>
      <c r="V11" s="219">
        <f t="shared" ref="V11:V12" si="17">-IF(U11&gt;0,0,0)</f>
        <v>0</v>
      </c>
      <c r="W11" s="219">
        <f>IF(I11/15&lt;=SMG,0,IF(U11&lt;0,0,U11))</f>
        <v>114.43</v>
      </c>
      <c r="X11" s="220">
        <v>0</v>
      </c>
      <c r="Y11" s="219">
        <f>SUM(W11:X11)</f>
        <v>114.43</v>
      </c>
      <c r="Z11" s="219">
        <f>K11+V11-Y11</f>
        <v>4529.57</v>
      </c>
      <c r="AA11" s="221"/>
      <c r="AB11" s="222"/>
      <c r="AG11" s="224"/>
    </row>
    <row r="12" spans="1:33" s="223" customFormat="1" ht="217.5" customHeight="1" x14ac:dyDescent="0.2">
      <c r="A12" s="208"/>
      <c r="B12" s="210" t="s">
        <v>154</v>
      </c>
      <c r="C12" s="210" t="s">
        <v>108</v>
      </c>
      <c r="D12" s="211" t="s">
        <v>155</v>
      </c>
      <c r="E12" s="213">
        <v>43983</v>
      </c>
      <c r="F12" s="214" t="s">
        <v>316</v>
      </c>
      <c r="G12" s="215">
        <v>15</v>
      </c>
      <c r="H12" s="216">
        <f t="shared" si="0"/>
        <v>803.4</v>
      </c>
      <c r="I12" s="217">
        <v>12051</v>
      </c>
      <c r="J12" s="218">
        <v>447.83</v>
      </c>
      <c r="K12" s="219">
        <f>SUM(I12:J12)</f>
        <v>12498.83</v>
      </c>
      <c r="L12" s="240">
        <f t="shared" si="1"/>
        <v>223.91499999999999</v>
      </c>
      <c r="M12" s="259">
        <f t="shared" si="2"/>
        <v>24877.161066666667</v>
      </c>
      <c r="N12" s="259">
        <f t="shared" si="3"/>
        <v>15487.72</v>
      </c>
      <c r="O12" s="240">
        <f t="shared" si="4"/>
        <v>9389.4410666666681</v>
      </c>
      <c r="P12" s="241">
        <f t="shared" si="5"/>
        <v>0.21360000000000001</v>
      </c>
      <c r="Q12" s="240">
        <f t="shared" si="6"/>
        <v>2005.5846118400004</v>
      </c>
      <c r="R12" s="242">
        <f t="shared" si="7"/>
        <v>1640.18</v>
      </c>
      <c r="S12" s="240">
        <f t="shared" si="8"/>
        <v>3645.7646118400007</v>
      </c>
      <c r="T12" s="240">
        <f t="shared" si="9"/>
        <v>0</v>
      </c>
      <c r="U12" s="240">
        <f t="shared" si="10"/>
        <v>1798.9</v>
      </c>
      <c r="V12" s="219">
        <f t="shared" si="17"/>
        <v>0</v>
      </c>
      <c r="W12" s="219">
        <f t="shared" ref="W12" si="18">IF(I12/15&lt;=SMG,0,IF(U12&lt;0,0,U12))</f>
        <v>1798.9</v>
      </c>
      <c r="X12" s="220">
        <v>0</v>
      </c>
      <c r="Y12" s="219">
        <f t="shared" si="12"/>
        <v>1798.9</v>
      </c>
      <c r="Z12" s="219">
        <f t="shared" ref="Z12" si="19">K12+V12-Y12</f>
        <v>10699.93</v>
      </c>
      <c r="AA12" s="221"/>
      <c r="AB12" s="222"/>
      <c r="AG12" s="224"/>
    </row>
    <row r="13" spans="1:33" s="223" customFormat="1" ht="221.25" customHeight="1" x14ac:dyDescent="0.2">
      <c r="A13" s="208"/>
      <c r="B13" s="232" t="s">
        <v>193</v>
      </c>
      <c r="C13" s="226" t="s">
        <v>108</v>
      </c>
      <c r="D13" s="233" t="s">
        <v>192</v>
      </c>
      <c r="E13" s="235">
        <v>44958</v>
      </c>
      <c r="F13" s="229" t="s">
        <v>129</v>
      </c>
      <c r="G13" s="230">
        <v>15</v>
      </c>
      <c r="H13" s="216">
        <f t="shared" ref="H13:H14" si="20">I13/G13</f>
        <v>380.43333333333334</v>
      </c>
      <c r="I13" s="217">
        <v>5706.5</v>
      </c>
      <c r="J13" s="218">
        <v>0</v>
      </c>
      <c r="K13" s="219">
        <f>SUM(I13:J13)</f>
        <v>5706.5</v>
      </c>
      <c r="L13" s="240">
        <f t="shared" ref="L13:L14" si="21">IF(I13/15&lt;=SMG,0,J13/2)</f>
        <v>0</v>
      </c>
      <c r="M13" s="259">
        <f t="shared" ref="M13:M14" si="22">(I13+L13)/G13*30.4</f>
        <v>11565.173333333332</v>
      </c>
      <c r="N13" s="259">
        <f t="shared" ref="N13:N14" si="23">VLOOKUP(M13,Tarifa,1)</f>
        <v>11128.02</v>
      </c>
      <c r="O13" s="240">
        <f t="shared" ref="O13:O14" si="24">M13-N13</f>
        <v>437.15333333333183</v>
      </c>
      <c r="P13" s="241">
        <f t="shared" ref="P13:P14" si="25">VLOOKUP(M13,Tarifa,3)</f>
        <v>0.16</v>
      </c>
      <c r="Q13" s="240">
        <f t="shared" ref="Q13:Q14" si="26">O13*P13</f>
        <v>69.944533333333098</v>
      </c>
      <c r="R13" s="242">
        <f t="shared" ref="R13:R14" si="27">VLOOKUP(M13,Tarifa,2)</f>
        <v>893.63</v>
      </c>
      <c r="S13" s="240">
        <f t="shared" ref="S13:S14" si="28">Q13+R13</f>
        <v>963.57453333333308</v>
      </c>
      <c r="T13" s="240">
        <f t="shared" ref="T13:T14" si="29">VLOOKUP(M13,Credito,2)</f>
        <v>0</v>
      </c>
      <c r="U13" s="240">
        <f t="shared" ref="U13:U14" si="30">ROUND((S13-T13)/30.4*G13,2)</f>
        <v>475.45</v>
      </c>
      <c r="V13" s="219">
        <f>-IF(U13&gt;0,0,0)</f>
        <v>0</v>
      </c>
      <c r="W13" s="219">
        <f>IF(I13/15&lt;=SMG,0,IF(U13&lt;0,0,U13))</f>
        <v>475.45</v>
      </c>
      <c r="X13" s="220">
        <v>0</v>
      </c>
      <c r="Y13" s="219">
        <f>SUM(W13:X13)</f>
        <v>475.45</v>
      </c>
      <c r="Z13" s="219">
        <f>K13+V13-Y13</f>
        <v>5231.05</v>
      </c>
      <c r="AA13" s="231"/>
      <c r="AB13" s="222"/>
      <c r="AG13" s="224"/>
    </row>
    <row r="14" spans="1:33" s="223" customFormat="1" ht="223.5" customHeight="1" x14ac:dyDescent="0.2">
      <c r="A14" s="208"/>
      <c r="B14" s="209" t="s">
        <v>342</v>
      </c>
      <c r="C14" s="209" t="s">
        <v>108</v>
      </c>
      <c r="D14" s="233" t="s">
        <v>340</v>
      </c>
      <c r="E14" s="269">
        <v>45698</v>
      </c>
      <c r="F14" s="214" t="s">
        <v>67</v>
      </c>
      <c r="G14" s="230">
        <v>15</v>
      </c>
      <c r="H14" s="216">
        <f t="shared" si="20"/>
        <v>506.81133333333332</v>
      </c>
      <c r="I14" s="217">
        <v>7602.17</v>
      </c>
      <c r="J14" s="218">
        <v>1565.86</v>
      </c>
      <c r="K14" s="219">
        <f t="shared" ref="K14" si="31">SUM(I14:J14)</f>
        <v>9168.0300000000007</v>
      </c>
      <c r="L14" s="240">
        <f t="shared" si="21"/>
        <v>782.93</v>
      </c>
      <c r="M14" s="259">
        <f t="shared" si="22"/>
        <v>16993.802666666666</v>
      </c>
      <c r="N14" s="259">
        <f t="shared" si="23"/>
        <v>15487.72</v>
      </c>
      <c r="O14" s="240">
        <f t="shared" si="24"/>
        <v>1506.0826666666671</v>
      </c>
      <c r="P14" s="241">
        <f t="shared" si="25"/>
        <v>0.21360000000000001</v>
      </c>
      <c r="Q14" s="240">
        <f t="shared" si="26"/>
        <v>321.69925760000012</v>
      </c>
      <c r="R14" s="242">
        <f t="shared" si="27"/>
        <v>1640.18</v>
      </c>
      <c r="S14" s="240">
        <f t="shared" si="28"/>
        <v>1961.8792576000001</v>
      </c>
      <c r="T14" s="240">
        <f t="shared" si="29"/>
        <v>0</v>
      </c>
      <c r="U14" s="240">
        <f t="shared" si="30"/>
        <v>968.03</v>
      </c>
      <c r="V14" s="219">
        <f t="shared" ref="V14" si="32">-IF(U14&gt;0,0,0)</f>
        <v>0</v>
      </c>
      <c r="W14" s="219">
        <f t="shared" ref="W14" si="33">IF(I14/15&lt;=SMG,0,IF(U14&lt;0,0,U14))</f>
        <v>968.03</v>
      </c>
      <c r="X14" s="220">
        <v>0</v>
      </c>
      <c r="Y14" s="219">
        <f t="shared" ref="Y14" si="34">SUM(W14:X14)</f>
        <v>968.03</v>
      </c>
      <c r="Z14" s="219">
        <f t="shared" ref="Z14" si="35">K14+V14-Y14</f>
        <v>8200</v>
      </c>
      <c r="AA14" s="231"/>
      <c r="AB14" s="222"/>
      <c r="AG14" s="224"/>
    </row>
    <row r="15" spans="1:33" s="223" customFormat="1" ht="232.5" customHeight="1" x14ac:dyDescent="0.2">
      <c r="A15" s="208"/>
      <c r="B15" s="209" t="s">
        <v>199</v>
      </c>
      <c r="C15" s="209" t="s">
        <v>108</v>
      </c>
      <c r="D15" s="233" t="s">
        <v>198</v>
      </c>
      <c r="E15" s="269">
        <v>45042</v>
      </c>
      <c r="F15" s="214" t="s">
        <v>317</v>
      </c>
      <c r="G15" s="230">
        <v>15</v>
      </c>
      <c r="H15" s="216">
        <f t="shared" ref="H15:H20" si="36">I15/G15</f>
        <v>604.86666666666667</v>
      </c>
      <c r="I15" s="217">
        <v>9073</v>
      </c>
      <c r="J15" s="218">
        <v>447.83</v>
      </c>
      <c r="K15" s="219">
        <f t="shared" ref="K15:K20" si="37">SUM(I15:J15)</f>
        <v>9520.83</v>
      </c>
      <c r="L15" s="240">
        <f t="shared" ref="L15:L20" si="38">IF(I15/15&lt;=SMG,0,J15/2)</f>
        <v>223.91499999999999</v>
      </c>
      <c r="M15" s="259">
        <f t="shared" ref="M15:M20" si="39">(I15+L15)/G15*30.4</f>
        <v>18841.747733333334</v>
      </c>
      <c r="N15" s="259">
        <f t="shared" ref="N15:N20" si="40">VLOOKUP(M15,Tarifa,1)</f>
        <v>15487.72</v>
      </c>
      <c r="O15" s="240">
        <f t="shared" ref="O15:O20" si="41">M15-N15</f>
        <v>3354.0277333333343</v>
      </c>
      <c r="P15" s="241">
        <f t="shared" ref="P15:P20" si="42">VLOOKUP(M15,Tarifa,3)</f>
        <v>0.21360000000000001</v>
      </c>
      <c r="Q15" s="240">
        <f t="shared" ref="Q15:Q20" si="43">O15*P15</f>
        <v>716.42032384000026</v>
      </c>
      <c r="R15" s="242">
        <f t="shared" ref="R15:R20" si="44">VLOOKUP(M15,Tarifa,2)</f>
        <v>1640.18</v>
      </c>
      <c r="S15" s="240">
        <f t="shared" ref="S15:S20" si="45">Q15+R15</f>
        <v>2356.6003238400003</v>
      </c>
      <c r="T15" s="240">
        <f t="shared" ref="T15:T20" si="46">VLOOKUP(M15,Credito,2)</f>
        <v>0</v>
      </c>
      <c r="U15" s="240">
        <f t="shared" ref="U15:U20" si="47">ROUND((S15-T15)/30.4*G15,2)</f>
        <v>1162.8</v>
      </c>
      <c r="V15" s="219">
        <f t="shared" ref="V15:V20" si="48">-IF(U15&gt;0,0,0)</f>
        <v>0</v>
      </c>
      <c r="W15" s="219">
        <f t="shared" ref="W15:W20" si="49">IF(I15/15&lt;=SMG,0,IF(U15&lt;0,0,U15))</f>
        <v>1162.8</v>
      </c>
      <c r="X15" s="220">
        <v>0</v>
      </c>
      <c r="Y15" s="219">
        <f t="shared" ref="Y15:Y20" si="50">SUM(W15:X15)</f>
        <v>1162.8</v>
      </c>
      <c r="Z15" s="219">
        <f t="shared" ref="Z15:Z17" si="51">K15+V15-Y15</f>
        <v>8358.0300000000007</v>
      </c>
      <c r="AA15" s="221"/>
      <c r="AB15" s="222"/>
      <c r="AG15" s="224"/>
    </row>
    <row r="16" spans="1:33" s="223" customFormat="1" ht="232.5" customHeight="1" x14ac:dyDescent="0.2">
      <c r="A16" s="208"/>
      <c r="B16" s="210" t="s">
        <v>329</v>
      </c>
      <c r="C16" s="210" t="s">
        <v>108</v>
      </c>
      <c r="D16" s="271" t="s">
        <v>140</v>
      </c>
      <c r="E16" s="184">
        <v>43512</v>
      </c>
      <c r="F16" s="214" t="s">
        <v>317</v>
      </c>
      <c r="G16" s="230">
        <v>15</v>
      </c>
      <c r="H16" s="216">
        <f t="shared" si="36"/>
        <v>604.86666666666667</v>
      </c>
      <c r="I16" s="217">
        <v>9073</v>
      </c>
      <c r="J16" s="218">
        <v>0</v>
      </c>
      <c r="K16" s="219">
        <f t="shared" si="37"/>
        <v>9073</v>
      </c>
      <c r="L16" s="240">
        <f t="shared" si="38"/>
        <v>0</v>
      </c>
      <c r="M16" s="259">
        <f t="shared" si="39"/>
        <v>18387.946666666667</v>
      </c>
      <c r="N16" s="259">
        <f t="shared" si="40"/>
        <v>15487.72</v>
      </c>
      <c r="O16" s="240">
        <f t="shared" si="41"/>
        <v>2900.2266666666674</v>
      </c>
      <c r="P16" s="241">
        <f t="shared" si="42"/>
        <v>0.21360000000000001</v>
      </c>
      <c r="Q16" s="240">
        <f t="shared" si="43"/>
        <v>619.48841600000014</v>
      </c>
      <c r="R16" s="242">
        <f t="shared" si="44"/>
        <v>1640.18</v>
      </c>
      <c r="S16" s="240">
        <f t="shared" si="45"/>
        <v>2259.6684160000004</v>
      </c>
      <c r="T16" s="240">
        <f t="shared" si="46"/>
        <v>0</v>
      </c>
      <c r="U16" s="240">
        <f t="shared" si="47"/>
        <v>1114.97</v>
      </c>
      <c r="V16" s="219">
        <f t="shared" si="48"/>
        <v>0</v>
      </c>
      <c r="W16" s="219">
        <f t="shared" si="49"/>
        <v>1114.97</v>
      </c>
      <c r="X16" s="220">
        <v>0</v>
      </c>
      <c r="Y16" s="219">
        <f t="shared" si="50"/>
        <v>1114.97</v>
      </c>
      <c r="Z16" s="219">
        <f t="shared" si="51"/>
        <v>7958.03</v>
      </c>
      <c r="AA16" s="221"/>
      <c r="AG16" s="224"/>
    </row>
    <row r="17" spans="1:33" s="223" customFormat="1" ht="232.5" customHeight="1" x14ac:dyDescent="0.2">
      <c r="A17" s="270"/>
      <c r="B17" s="210" t="s">
        <v>181</v>
      </c>
      <c r="C17" s="210" t="s">
        <v>108</v>
      </c>
      <c r="D17" s="271" t="s">
        <v>182</v>
      </c>
      <c r="E17" s="184">
        <v>44728</v>
      </c>
      <c r="F17" s="214" t="s">
        <v>317</v>
      </c>
      <c r="G17" s="230">
        <v>15</v>
      </c>
      <c r="H17" s="216">
        <f t="shared" si="36"/>
        <v>604.86666666666667</v>
      </c>
      <c r="I17" s="217">
        <v>9073</v>
      </c>
      <c r="J17" s="218">
        <v>0</v>
      </c>
      <c r="K17" s="219">
        <f t="shared" si="37"/>
        <v>9073</v>
      </c>
      <c r="L17" s="240">
        <f t="shared" si="38"/>
        <v>0</v>
      </c>
      <c r="M17" s="259">
        <f t="shared" si="39"/>
        <v>18387.946666666667</v>
      </c>
      <c r="N17" s="259">
        <f t="shared" si="40"/>
        <v>15487.72</v>
      </c>
      <c r="O17" s="240">
        <f t="shared" si="41"/>
        <v>2900.2266666666674</v>
      </c>
      <c r="P17" s="241">
        <f t="shared" si="42"/>
        <v>0.21360000000000001</v>
      </c>
      <c r="Q17" s="240">
        <f t="shared" si="43"/>
        <v>619.48841600000014</v>
      </c>
      <c r="R17" s="242">
        <f t="shared" si="44"/>
        <v>1640.18</v>
      </c>
      <c r="S17" s="240">
        <f t="shared" si="45"/>
        <v>2259.6684160000004</v>
      </c>
      <c r="T17" s="240">
        <f t="shared" si="46"/>
        <v>0</v>
      </c>
      <c r="U17" s="240">
        <f t="shared" si="47"/>
        <v>1114.97</v>
      </c>
      <c r="V17" s="219">
        <f t="shared" si="48"/>
        <v>0</v>
      </c>
      <c r="W17" s="219">
        <f t="shared" si="49"/>
        <v>1114.97</v>
      </c>
      <c r="X17" s="220">
        <v>0</v>
      </c>
      <c r="Y17" s="219">
        <f t="shared" si="50"/>
        <v>1114.97</v>
      </c>
      <c r="Z17" s="219">
        <f t="shared" si="51"/>
        <v>7958.03</v>
      </c>
      <c r="AA17" s="221"/>
      <c r="AG17" s="224"/>
    </row>
    <row r="18" spans="1:33" s="223" customFormat="1" ht="232.5" customHeight="1" x14ac:dyDescent="0.2">
      <c r="A18" s="270"/>
      <c r="B18" s="210" t="s">
        <v>225</v>
      </c>
      <c r="C18" s="210" t="s">
        <v>108</v>
      </c>
      <c r="D18" s="211" t="s">
        <v>226</v>
      </c>
      <c r="E18" s="273">
        <v>45475</v>
      </c>
      <c r="F18" s="214" t="s">
        <v>317</v>
      </c>
      <c r="G18" s="230">
        <v>15</v>
      </c>
      <c r="H18" s="216">
        <f t="shared" si="36"/>
        <v>483.93333333333334</v>
      </c>
      <c r="I18" s="217">
        <v>7259</v>
      </c>
      <c r="J18" s="218">
        <v>549.21</v>
      </c>
      <c r="K18" s="219">
        <f t="shared" si="37"/>
        <v>7808.21</v>
      </c>
      <c r="L18" s="240">
        <f t="shared" si="38"/>
        <v>274.60500000000002</v>
      </c>
      <c r="M18" s="259">
        <f t="shared" si="39"/>
        <v>15268.106133333331</v>
      </c>
      <c r="N18" s="259">
        <f t="shared" si="40"/>
        <v>12935.83</v>
      </c>
      <c r="O18" s="240">
        <f t="shared" si="41"/>
        <v>2332.276133333331</v>
      </c>
      <c r="P18" s="241">
        <f t="shared" si="42"/>
        <v>0.1792</v>
      </c>
      <c r="Q18" s="240">
        <f t="shared" si="43"/>
        <v>417.94388309333289</v>
      </c>
      <c r="R18" s="242">
        <f t="shared" si="44"/>
        <v>1182.8800000000001</v>
      </c>
      <c r="S18" s="240">
        <f t="shared" si="45"/>
        <v>1600.8238830933331</v>
      </c>
      <c r="T18" s="240">
        <f t="shared" si="46"/>
        <v>0</v>
      </c>
      <c r="U18" s="240">
        <f t="shared" si="47"/>
        <v>789.88</v>
      </c>
      <c r="V18" s="219">
        <f t="shared" si="48"/>
        <v>0</v>
      </c>
      <c r="W18" s="219">
        <f t="shared" si="49"/>
        <v>789.88</v>
      </c>
      <c r="X18" s="220">
        <v>0</v>
      </c>
      <c r="Y18" s="219">
        <f t="shared" si="50"/>
        <v>789.88</v>
      </c>
      <c r="Z18" s="219">
        <f>K18+V18-Y18</f>
        <v>7018.33</v>
      </c>
      <c r="AA18" s="221"/>
      <c r="AB18" s="272"/>
      <c r="AG18" s="224"/>
    </row>
    <row r="19" spans="1:33" s="223" customFormat="1" ht="232.5" customHeight="1" x14ac:dyDescent="0.2">
      <c r="A19" s="270"/>
      <c r="B19" s="210" t="s">
        <v>350</v>
      </c>
      <c r="C19" s="210"/>
      <c r="D19" s="211" t="s">
        <v>347</v>
      </c>
      <c r="E19" s="273">
        <v>45720</v>
      </c>
      <c r="F19" s="214" t="s">
        <v>348</v>
      </c>
      <c r="G19" s="230">
        <v>15</v>
      </c>
      <c r="H19" s="216">
        <f t="shared" si="36"/>
        <v>604.86666666666667</v>
      </c>
      <c r="I19" s="217">
        <v>9073</v>
      </c>
      <c r="J19" s="218">
        <v>5261.98</v>
      </c>
      <c r="K19" s="219">
        <f t="shared" si="37"/>
        <v>14334.98</v>
      </c>
      <c r="L19" s="240">
        <f t="shared" si="38"/>
        <v>2630.99</v>
      </c>
      <c r="M19" s="259">
        <f t="shared" si="39"/>
        <v>23720.086399999997</v>
      </c>
      <c r="N19" s="259">
        <f t="shared" si="40"/>
        <v>15487.72</v>
      </c>
      <c r="O19" s="240">
        <f t="shared" si="41"/>
        <v>8232.3663999999972</v>
      </c>
      <c r="P19" s="241">
        <f t="shared" si="42"/>
        <v>0.21360000000000001</v>
      </c>
      <c r="Q19" s="240">
        <f t="shared" si="43"/>
        <v>1758.4334630399994</v>
      </c>
      <c r="R19" s="242">
        <f t="shared" si="44"/>
        <v>1640.18</v>
      </c>
      <c r="S19" s="240">
        <f t="shared" si="45"/>
        <v>3398.6134630399993</v>
      </c>
      <c r="T19" s="240">
        <f t="shared" si="46"/>
        <v>0</v>
      </c>
      <c r="U19" s="240">
        <f t="shared" si="47"/>
        <v>1676.95</v>
      </c>
      <c r="V19" s="219">
        <f t="shared" si="48"/>
        <v>0</v>
      </c>
      <c r="W19" s="219">
        <f t="shared" si="49"/>
        <v>1676.95</v>
      </c>
      <c r="X19" s="220">
        <v>0</v>
      </c>
      <c r="Y19" s="219">
        <f t="shared" si="50"/>
        <v>1676.95</v>
      </c>
      <c r="Z19" s="219">
        <f t="shared" ref="Z19:Z20" si="52">K19+V19-Y19</f>
        <v>12658.029999999999</v>
      </c>
      <c r="AA19" s="221"/>
      <c r="AB19" s="272"/>
      <c r="AG19" s="224"/>
    </row>
    <row r="20" spans="1:33" s="87" customFormat="1" ht="233.25" customHeight="1" x14ac:dyDescent="0.25">
      <c r="A20" s="135"/>
      <c r="B20" s="210" t="s">
        <v>276</v>
      </c>
      <c r="C20" s="210" t="s">
        <v>108</v>
      </c>
      <c r="D20" s="211" t="s">
        <v>277</v>
      </c>
      <c r="E20" s="273">
        <v>45566</v>
      </c>
      <c r="F20" s="214" t="s">
        <v>319</v>
      </c>
      <c r="G20" s="230">
        <v>15</v>
      </c>
      <c r="H20" s="216">
        <f t="shared" si="36"/>
        <v>455.06666666666666</v>
      </c>
      <c r="I20" s="217">
        <v>6826</v>
      </c>
      <c r="J20" s="218">
        <v>0</v>
      </c>
      <c r="K20" s="219">
        <f t="shared" si="37"/>
        <v>6826</v>
      </c>
      <c r="L20" s="240">
        <f t="shared" si="38"/>
        <v>0</v>
      </c>
      <c r="M20" s="259">
        <f t="shared" si="39"/>
        <v>13834.026666666667</v>
      </c>
      <c r="N20" s="259">
        <f t="shared" si="40"/>
        <v>12935.83</v>
      </c>
      <c r="O20" s="240">
        <f t="shared" si="41"/>
        <v>898.19666666666672</v>
      </c>
      <c r="P20" s="241">
        <f t="shared" si="42"/>
        <v>0.1792</v>
      </c>
      <c r="Q20" s="240">
        <f t="shared" si="43"/>
        <v>160.95684266666666</v>
      </c>
      <c r="R20" s="242">
        <f t="shared" si="44"/>
        <v>1182.8800000000001</v>
      </c>
      <c r="S20" s="240">
        <f t="shared" si="45"/>
        <v>1343.8368426666668</v>
      </c>
      <c r="T20" s="240">
        <f t="shared" si="46"/>
        <v>0</v>
      </c>
      <c r="U20" s="240">
        <f t="shared" si="47"/>
        <v>663.08</v>
      </c>
      <c r="V20" s="219">
        <f t="shared" si="48"/>
        <v>0</v>
      </c>
      <c r="W20" s="219">
        <f t="shared" si="49"/>
        <v>663.08</v>
      </c>
      <c r="X20" s="220">
        <v>0</v>
      </c>
      <c r="Y20" s="219">
        <f t="shared" si="50"/>
        <v>663.08</v>
      </c>
      <c r="Z20" s="219">
        <f t="shared" si="52"/>
        <v>6162.92</v>
      </c>
      <c r="AA20" s="221"/>
      <c r="AG20" s="88"/>
    </row>
    <row r="21" spans="1:33" s="223" customFormat="1" ht="176.25" customHeight="1" x14ac:dyDescent="0.2">
      <c r="A21" s="208"/>
      <c r="B21" s="232" t="s">
        <v>241</v>
      </c>
      <c r="C21" s="226" t="s">
        <v>108</v>
      </c>
      <c r="D21" s="211" t="s">
        <v>242</v>
      </c>
      <c r="E21" s="213">
        <v>45459</v>
      </c>
      <c r="F21" s="214" t="s">
        <v>320</v>
      </c>
      <c r="G21" s="230">
        <v>15</v>
      </c>
      <c r="H21" s="216">
        <f t="shared" ref="H21:H22" si="53">I21/G21</f>
        <v>373.2</v>
      </c>
      <c r="I21" s="217">
        <v>5598</v>
      </c>
      <c r="J21" s="218">
        <v>0</v>
      </c>
      <c r="K21" s="219">
        <f t="shared" ref="K21:K22" si="54">SUM(I21:J21)</f>
        <v>5598</v>
      </c>
      <c r="L21" s="240">
        <f t="shared" ref="L21:L22" si="55">IF(I21/15&lt;=SMG,0,J21/2)</f>
        <v>0</v>
      </c>
      <c r="M21" s="259">
        <f t="shared" ref="M21:M22" si="56">(I21+L21)/G21*30.4</f>
        <v>11345.279999999999</v>
      </c>
      <c r="N21" s="259">
        <f t="shared" ref="N21:N22" si="57">VLOOKUP(M21,Tarifa,1)</f>
        <v>11128.02</v>
      </c>
      <c r="O21" s="240">
        <f t="shared" ref="O21:O22" si="58">M21-N21</f>
        <v>217.2599999999984</v>
      </c>
      <c r="P21" s="241">
        <f t="shared" ref="P21:P22" si="59">VLOOKUP(M21,Tarifa,3)</f>
        <v>0.16</v>
      </c>
      <c r="Q21" s="240">
        <f t="shared" ref="Q21:Q22" si="60">O21*P21</f>
        <v>34.761599999999746</v>
      </c>
      <c r="R21" s="242">
        <f t="shared" ref="R21:R22" si="61">VLOOKUP(M21,Tarifa,2)</f>
        <v>893.63</v>
      </c>
      <c r="S21" s="240">
        <f t="shared" ref="S21:S22" si="62">Q21+R21</f>
        <v>928.3915999999997</v>
      </c>
      <c r="T21" s="240">
        <f t="shared" ref="T21:T22" si="63">VLOOKUP(M21,Credito,2)</f>
        <v>0</v>
      </c>
      <c r="U21" s="240">
        <f t="shared" ref="U21:U22" si="64">ROUND((S21-T21)/30.4*G21,2)</f>
        <v>458.09</v>
      </c>
      <c r="V21" s="219">
        <f t="shared" ref="V21:V23" si="65">-IF(U21&gt;0,0,0)</f>
        <v>0</v>
      </c>
      <c r="W21" s="219">
        <f t="shared" ref="W21:W23" si="66">IF(I21/15&lt;=SMG,0,IF(U21&lt;0,0,U21))</f>
        <v>458.09</v>
      </c>
      <c r="X21" s="220">
        <v>0</v>
      </c>
      <c r="Y21" s="219">
        <f t="shared" ref="Y21:Y23" si="67">SUM(W21:X21)</f>
        <v>458.09</v>
      </c>
      <c r="Z21" s="219">
        <f t="shared" ref="Z21:Z22" si="68">K21+V21-Y21</f>
        <v>5139.91</v>
      </c>
      <c r="AA21" s="221"/>
      <c r="AG21" s="224"/>
    </row>
    <row r="22" spans="1:33" s="223" customFormat="1" ht="176.25" customHeight="1" x14ac:dyDescent="0.2">
      <c r="A22" s="208"/>
      <c r="B22" s="226" t="s">
        <v>243</v>
      </c>
      <c r="C22" s="226" t="s">
        <v>108</v>
      </c>
      <c r="D22" s="207" t="s">
        <v>244</v>
      </c>
      <c r="E22" s="144">
        <v>45459</v>
      </c>
      <c r="F22" s="214" t="s">
        <v>320</v>
      </c>
      <c r="G22" s="230">
        <v>15</v>
      </c>
      <c r="H22" s="216">
        <f t="shared" si="53"/>
        <v>373.2</v>
      </c>
      <c r="I22" s="217">
        <v>5598</v>
      </c>
      <c r="J22" s="218">
        <v>0</v>
      </c>
      <c r="K22" s="219">
        <f t="shared" si="54"/>
        <v>5598</v>
      </c>
      <c r="L22" s="240">
        <f t="shared" si="55"/>
        <v>0</v>
      </c>
      <c r="M22" s="259">
        <f t="shared" si="56"/>
        <v>11345.279999999999</v>
      </c>
      <c r="N22" s="259">
        <f t="shared" si="57"/>
        <v>11128.02</v>
      </c>
      <c r="O22" s="240">
        <f t="shared" si="58"/>
        <v>217.2599999999984</v>
      </c>
      <c r="P22" s="241">
        <f t="shared" si="59"/>
        <v>0.16</v>
      </c>
      <c r="Q22" s="240">
        <f t="shared" si="60"/>
        <v>34.761599999999746</v>
      </c>
      <c r="R22" s="242">
        <f t="shared" si="61"/>
        <v>893.63</v>
      </c>
      <c r="S22" s="240">
        <f t="shared" si="62"/>
        <v>928.3915999999997</v>
      </c>
      <c r="T22" s="240">
        <f t="shared" si="63"/>
        <v>0</v>
      </c>
      <c r="U22" s="240">
        <f t="shared" si="64"/>
        <v>458.09</v>
      </c>
      <c r="V22" s="219">
        <f t="shared" si="65"/>
        <v>0</v>
      </c>
      <c r="W22" s="219">
        <f t="shared" si="66"/>
        <v>458.09</v>
      </c>
      <c r="X22" s="220">
        <v>685.32</v>
      </c>
      <c r="Y22" s="219">
        <f t="shared" si="67"/>
        <v>1143.4100000000001</v>
      </c>
      <c r="Z22" s="219">
        <f t="shared" si="68"/>
        <v>4454.59</v>
      </c>
      <c r="AA22" s="231"/>
      <c r="AG22" s="224"/>
    </row>
    <row r="23" spans="1:33" s="223" customFormat="1" ht="176.25" customHeight="1" x14ac:dyDescent="0.2">
      <c r="A23" s="208"/>
      <c r="B23" s="210" t="s">
        <v>185</v>
      </c>
      <c r="C23" s="210" t="s">
        <v>108</v>
      </c>
      <c r="D23" s="271" t="s">
        <v>183</v>
      </c>
      <c r="E23" s="213">
        <v>44728</v>
      </c>
      <c r="F23" s="214" t="s">
        <v>184</v>
      </c>
      <c r="G23" s="230">
        <v>15</v>
      </c>
      <c r="H23" s="216">
        <f>I23/G23</f>
        <v>442.26666666666665</v>
      </c>
      <c r="I23" s="217">
        <v>6634</v>
      </c>
      <c r="J23" s="218">
        <v>0</v>
      </c>
      <c r="K23" s="217">
        <f>I23</f>
        <v>6634</v>
      </c>
      <c r="L23" s="240">
        <f>IF(I23/15&lt;=SMG,0,J23/2)</f>
        <v>0</v>
      </c>
      <c r="M23" s="259">
        <f>(I23+L23)/G23*30.4</f>
        <v>13444.906666666666</v>
      </c>
      <c r="N23" s="259">
        <f>VLOOKUP(M23,Tarifa,1)</f>
        <v>12935.83</v>
      </c>
      <c r="O23" s="240">
        <f>M23-N23</f>
        <v>509.07666666666591</v>
      </c>
      <c r="P23" s="241">
        <f>VLOOKUP(M23,Tarifa,3)</f>
        <v>0.1792</v>
      </c>
      <c r="Q23" s="240">
        <f>O23*P23</f>
        <v>91.226538666666528</v>
      </c>
      <c r="R23" s="242">
        <f>VLOOKUP(M23,Tarifa,2)</f>
        <v>1182.8800000000001</v>
      </c>
      <c r="S23" s="240">
        <f>Q23+R23</f>
        <v>1274.1065386666667</v>
      </c>
      <c r="T23" s="240">
        <f>VLOOKUP(M23,Credito,2)</f>
        <v>0</v>
      </c>
      <c r="U23" s="240">
        <f>ROUND((S23-T23)/30.4*G23,2)</f>
        <v>628.66999999999996</v>
      </c>
      <c r="V23" s="219">
        <f t="shared" si="65"/>
        <v>0</v>
      </c>
      <c r="W23" s="219">
        <f t="shared" si="66"/>
        <v>628.66999999999996</v>
      </c>
      <c r="X23" s="220">
        <v>0</v>
      </c>
      <c r="Y23" s="219">
        <f t="shared" si="67"/>
        <v>628.66999999999996</v>
      </c>
      <c r="Z23" s="219">
        <f>K23+V23-Y23+J23</f>
        <v>6005.33</v>
      </c>
      <c r="AA23" s="228"/>
      <c r="AG23" s="224"/>
    </row>
    <row r="24" spans="1:33" s="223" customFormat="1" ht="176.25" customHeight="1" x14ac:dyDescent="0.2">
      <c r="A24" s="208"/>
      <c r="B24" s="226" t="s">
        <v>201</v>
      </c>
      <c r="C24" s="226" t="s">
        <v>108</v>
      </c>
      <c r="D24" s="233" t="s">
        <v>202</v>
      </c>
      <c r="E24" s="274">
        <v>45078</v>
      </c>
      <c r="F24" s="214" t="s">
        <v>323</v>
      </c>
      <c r="G24" s="230">
        <v>15</v>
      </c>
      <c r="H24" s="216">
        <f>I24/G24</f>
        <v>317.46666666666664</v>
      </c>
      <c r="I24" s="217">
        <v>4762</v>
      </c>
      <c r="J24" s="218">
        <v>0</v>
      </c>
      <c r="K24" s="219">
        <f t="shared" ref="K24" si="69">SUM(I24:J24)</f>
        <v>4762</v>
      </c>
      <c r="L24" s="240">
        <f>IF(I24/15&lt;=SMG,0,J24/2)</f>
        <v>0</v>
      </c>
      <c r="M24" s="259">
        <f>(I24+L24)/G24*30.4</f>
        <v>9650.9866666666658</v>
      </c>
      <c r="N24" s="259">
        <f>VLOOKUP(M24,Tarifa,1)</f>
        <v>6332.06</v>
      </c>
      <c r="O24" s="240">
        <f>M24-N24</f>
        <v>3318.9266666666654</v>
      </c>
      <c r="P24" s="241">
        <f>VLOOKUP(M24,Tarifa,3)</f>
        <v>0.10879999999999999</v>
      </c>
      <c r="Q24" s="240">
        <f>O24*P24</f>
        <v>361.09922133333316</v>
      </c>
      <c r="R24" s="242">
        <f>VLOOKUP(M24,Tarifa,2)</f>
        <v>371.83</v>
      </c>
      <c r="S24" s="240">
        <f>Q24+R24</f>
        <v>732.92922133333309</v>
      </c>
      <c r="T24" s="240">
        <f>VLOOKUP(M24,Credito,2)</f>
        <v>475</v>
      </c>
      <c r="U24" s="240">
        <f>ROUND((S24-T24)/30.4*G24,2)</f>
        <v>127.27</v>
      </c>
      <c r="V24" s="219">
        <f>-IF(U24&gt;0,0,0)</f>
        <v>0</v>
      </c>
      <c r="W24" s="219">
        <f>IF(I24/15&lt;=SMG,0,IF(U24&lt;0,0,U24))</f>
        <v>127.27</v>
      </c>
      <c r="X24" s="220">
        <v>0</v>
      </c>
      <c r="Y24" s="219">
        <f>SUM(W24:X24)</f>
        <v>127.27</v>
      </c>
      <c r="Z24" s="219">
        <f>K24+V24-Y24</f>
        <v>4634.7299999999996</v>
      </c>
      <c r="AA24" s="228"/>
      <c r="AG24" s="224"/>
    </row>
    <row r="25" spans="1:33" s="50" customFormat="1" ht="39" customHeight="1" thickBot="1" x14ac:dyDescent="0.35">
      <c r="A25" s="348" t="s">
        <v>44</v>
      </c>
      <c r="B25" s="349"/>
      <c r="C25" s="349"/>
      <c r="D25" s="349"/>
      <c r="E25" s="349"/>
      <c r="F25" s="349"/>
      <c r="G25" s="349"/>
      <c r="H25" s="350"/>
      <c r="I25" s="182">
        <f t="shared" ref="I25:Z25" si="70">SUM(I9:I24)</f>
        <v>127074.67</v>
      </c>
      <c r="J25" s="182">
        <f t="shared" si="70"/>
        <v>8272.7099999999991</v>
      </c>
      <c r="K25" s="182">
        <f t="shared" si="70"/>
        <v>135347.38</v>
      </c>
      <c r="L25" s="183">
        <f t="shared" si="70"/>
        <v>4136.3549999999996</v>
      </c>
      <c r="M25" s="183">
        <f t="shared" si="70"/>
        <v>265921.01066666667</v>
      </c>
      <c r="N25" s="183">
        <f t="shared" si="70"/>
        <v>208757.42999999996</v>
      </c>
      <c r="O25" s="183">
        <f t="shared" si="70"/>
        <v>57163.580666666654</v>
      </c>
      <c r="P25" s="183">
        <f t="shared" si="70"/>
        <v>2.9440000000000004</v>
      </c>
      <c r="Q25" s="183">
        <f t="shared" si="70"/>
        <v>11364.194179413331</v>
      </c>
      <c r="R25" s="183">
        <f t="shared" si="70"/>
        <v>20094.630000000008</v>
      </c>
      <c r="S25" s="183">
        <f t="shared" si="70"/>
        <v>31458.824179413332</v>
      </c>
      <c r="T25" s="183">
        <f t="shared" si="70"/>
        <v>950</v>
      </c>
      <c r="U25" s="183">
        <f t="shared" si="70"/>
        <v>15053.72</v>
      </c>
      <c r="V25" s="182">
        <f t="shared" si="70"/>
        <v>0</v>
      </c>
      <c r="W25" s="182">
        <f t="shared" si="70"/>
        <v>15053.72</v>
      </c>
      <c r="X25" s="182">
        <f t="shared" si="70"/>
        <v>685.32</v>
      </c>
      <c r="Y25" s="182">
        <f t="shared" si="70"/>
        <v>15739.039999999999</v>
      </c>
      <c r="Z25" s="182">
        <f t="shared" si="70"/>
        <v>119608.34</v>
      </c>
      <c r="AA25" s="102"/>
    </row>
    <row r="26" spans="1:33" s="50" customFormat="1" ht="26.25" customHeight="1" thickTop="1" x14ac:dyDescent="0.25">
      <c r="A26" s="97"/>
      <c r="B26" s="97"/>
      <c r="C26" s="97"/>
      <c r="D26" s="97"/>
      <c r="E26" s="97"/>
      <c r="F26" s="97"/>
      <c r="G26" s="97"/>
      <c r="H26" s="97"/>
      <c r="I26" s="98"/>
      <c r="J26" s="98"/>
      <c r="K26" s="98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8"/>
      <c r="W26" s="98"/>
      <c r="X26" s="98"/>
      <c r="Y26" s="98"/>
      <c r="Z26" s="98"/>
    </row>
    <row r="27" spans="1:33" s="50" customFormat="1" ht="26.25" customHeight="1" x14ac:dyDescent="0.25">
      <c r="A27" s="97"/>
      <c r="B27" s="97"/>
      <c r="C27" s="97"/>
      <c r="D27" s="97"/>
      <c r="E27" s="97"/>
      <c r="F27" s="97"/>
      <c r="G27" s="97"/>
      <c r="H27" s="97"/>
      <c r="I27" s="98"/>
      <c r="J27" s="98"/>
      <c r="K27" s="98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8"/>
      <c r="W27" s="98"/>
      <c r="X27" s="98"/>
      <c r="Y27" s="98"/>
      <c r="Z27" s="98"/>
    </row>
    <row r="28" spans="1:33" s="50" customFormat="1" ht="26.25" customHeight="1" x14ac:dyDescent="0.25">
      <c r="A28" s="97"/>
      <c r="B28" s="97"/>
      <c r="C28" s="97"/>
      <c r="D28" s="97"/>
      <c r="E28" s="97"/>
      <c r="F28" s="97"/>
      <c r="G28" s="97"/>
      <c r="H28" s="97"/>
      <c r="I28" s="98"/>
      <c r="J28" s="98"/>
      <c r="K28" s="98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8"/>
      <c r="W28" s="98"/>
      <c r="X28" s="98"/>
      <c r="Y28" s="98"/>
      <c r="Z28" s="98"/>
    </row>
    <row r="29" spans="1:33" s="50" customFormat="1" ht="26.25" customHeight="1" x14ac:dyDescent="0.25">
      <c r="A29" s="97"/>
      <c r="B29" s="97"/>
      <c r="C29" s="97"/>
      <c r="D29" s="97"/>
      <c r="E29" s="97"/>
      <c r="F29" s="97"/>
      <c r="G29" s="97"/>
      <c r="H29" s="97"/>
      <c r="I29" s="98"/>
      <c r="J29" s="98"/>
      <c r="K29" s="98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8"/>
      <c r="W29" s="98"/>
      <c r="X29" s="98"/>
      <c r="Y29" s="98"/>
      <c r="Z29" s="98"/>
    </row>
    <row r="30" spans="1:33" s="50" customFormat="1" ht="26.25" customHeight="1" x14ac:dyDescent="0.25">
      <c r="A30" s="97"/>
      <c r="B30" s="97"/>
      <c r="C30" s="97"/>
      <c r="D30" s="97"/>
      <c r="E30" s="97"/>
      <c r="F30" s="97"/>
      <c r="G30" s="97"/>
      <c r="H30" s="97"/>
      <c r="I30" s="98"/>
      <c r="J30" s="98"/>
      <c r="K30" s="98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8"/>
      <c r="W30" s="98"/>
      <c r="X30" s="98"/>
      <c r="Y30" s="98"/>
      <c r="Z30" s="98"/>
    </row>
  </sheetData>
  <mergeCells count="8">
    <mergeCell ref="A25:H25"/>
    <mergeCell ref="C5:C7"/>
    <mergeCell ref="A1:AA1"/>
    <mergeCell ref="A2:AA2"/>
    <mergeCell ref="A3:AA3"/>
    <mergeCell ref="I5:K5"/>
    <mergeCell ref="N5:S5"/>
    <mergeCell ref="W5:Y5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23:D24 D18:D21 D16:E17 D22:E22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32"/>
  <sheetViews>
    <sheetView topLeftCell="B1" zoomScale="69" zoomScaleNormal="69" workbookViewId="0">
      <selection activeCell="K10" sqref="K10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2" customWidth="1"/>
    <col min="5" max="5" width="16.42578125" customWidth="1"/>
    <col min="6" max="6" width="20.140625" customWidth="1"/>
    <col min="7" max="7" width="7.28515625" hidden="1" customWidth="1"/>
    <col min="8" max="8" width="17.85546875" hidden="1" customWidth="1"/>
    <col min="9" max="9" width="17.85546875" customWidth="1"/>
    <col min="10" max="10" width="14.5703125" customWidth="1"/>
    <col min="11" max="11" width="15.140625" customWidth="1"/>
    <col min="12" max="12" width="13.140625" hidden="1" customWidth="1"/>
    <col min="13" max="14" width="13" hidden="1" customWidth="1"/>
    <col min="15" max="15" width="14.5703125" hidden="1" customWidth="1"/>
    <col min="16" max="17" width="13.140625" hidden="1" customWidth="1"/>
    <col min="18" max="18" width="10.5703125" hidden="1" customWidth="1"/>
    <col min="19" max="19" width="10.42578125" hidden="1" customWidth="1"/>
    <col min="20" max="20" width="13.140625" hidden="1" customWidth="1"/>
    <col min="21" max="21" width="11.5703125" hidden="1" customWidth="1"/>
    <col min="22" max="22" width="9.7109375" customWidth="1"/>
    <col min="23" max="23" width="13.42578125" customWidth="1"/>
    <col min="24" max="24" width="13.140625" customWidth="1"/>
    <col min="25" max="25" width="14.7109375" customWidth="1"/>
    <col min="26" max="26" width="16.28515625" customWidth="1"/>
    <col min="27" max="27" width="55.5703125" customWidth="1"/>
  </cols>
  <sheetData>
    <row r="1" spans="1:27" ht="18" x14ac:dyDescent="0.25">
      <c r="A1" s="362" t="s">
        <v>77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</row>
    <row r="2" spans="1:27" ht="18" x14ac:dyDescent="0.25">
      <c r="A2" s="362" t="s">
        <v>64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</row>
    <row r="3" spans="1:27" ht="19.5" x14ac:dyDescent="0.25">
      <c r="A3" s="352" t="str">
        <f>PRESIDENCIA!A3</f>
        <v>SUELDO  DEL 16 AL 30 DE JUNIO DE 2025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27" ht="24.7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7" s="50" customFormat="1" ht="12" x14ac:dyDescent="0.2">
      <c r="A5" s="46"/>
      <c r="B5" s="46"/>
      <c r="C5" s="46"/>
      <c r="D5" s="46"/>
      <c r="E5" s="46"/>
      <c r="F5" s="46"/>
      <c r="G5" s="47" t="s">
        <v>22</v>
      </c>
      <c r="H5" s="47" t="s">
        <v>5</v>
      </c>
      <c r="I5" s="372" t="s">
        <v>1</v>
      </c>
      <c r="J5" s="373"/>
      <c r="K5" s="374"/>
      <c r="L5" s="48" t="s">
        <v>25</v>
      </c>
      <c r="M5" s="49"/>
      <c r="N5" s="375" t="s">
        <v>8</v>
      </c>
      <c r="O5" s="376"/>
      <c r="P5" s="376"/>
      <c r="Q5" s="376"/>
      <c r="R5" s="376"/>
      <c r="S5" s="377"/>
      <c r="T5" s="48" t="s">
        <v>29</v>
      </c>
      <c r="U5" s="48" t="s">
        <v>9</v>
      </c>
      <c r="V5" s="47" t="s">
        <v>52</v>
      </c>
      <c r="W5" s="378" t="s">
        <v>2</v>
      </c>
      <c r="X5" s="379"/>
      <c r="Y5" s="380"/>
      <c r="Z5" s="47" t="s">
        <v>0</v>
      </c>
      <c r="AA5" s="46"/>
    </row>
    <row r="6" spans="1:27" s="50" customFormat="1" ht="24" x14ac:dyDescent="0.2">
      <c r="A6" s="51" t="s">
        <v>101</v>
      </c>
      <c r="B6" s="45" t="s">
        <v>96</v>
      </c>
      <c r="C6" s="45" t="s">
        <v>114</v>
      </c>
      <c r="D6" s="51" t="s">
        <v>21</v>
      </c>
      <c r="E6" s="51"/>
      <c r="F6" s="51"/>
      <c r="G6" s="52" t="s">
        <v>23</v>
      </c>
      <c r="H6" s="51" t="s">
        <v>24</v>
      </c>
      <c r="I6" s="47" t="s">
        <v>5</v>
      </c>
      <c r="J6" s="47" t="s">
        <v>58</v>
      </c>
      <c r="K6" s="47" t="s">
        <v>27</v>
      </c>
      <c r="L6" s="53" t="s">
        <v>26</v>
      </c>
      <c r="M6" s="49" t="s">
        <v>31</v>
      </c>
      <c r="N6" s="49" t="s">
        <v>11</v>
      </c>
      <c r="O6" s="49" t="s">
        <v>33</v>
      </c>
      <c r="P6" s="49" t="s">
        <v>35</v>
      </c>
      <c r="Q6" s="49" t="s">
        <v>36</v>
      </c>
      <c r="R6" s="82" t="s">
        <v>13</v>
      </c>
      <c r="S6" s="49" t="s">
        <v>9</v>
      </c>
      <c r="T6" s="53" t="s">
        <v>39</v>
      </c>
      <c r="U6" s="53" t="s">
        <v>40</v>
      </c>
      <c r="V6" s="51" t="s">
        <v>30</v>
      </c>
      <c r="W6" s="47" t="s">
        <v>191</v>
      </c>
      <c r="X6" s="47" t="s">
        <v>56</v>
      </c>
      <c r="Y6" s="47" t="s">
        <v>6</v>
      </c>
      <c r="Z6" s="51" t="s">
        <v>3</v>
      </c>
      <c r="AA6" s="51" t="s">
        <v>57</v>
      </c>
    </row>
    <row r="7" spans="1:27" s="50" customFormat="1" ht="12" x14ac:dyDescent="0.2">
      <c r="A7" s="51"/>
      <c r="B7" s="51"/>
      <c r="C7" s="51"/>
      <c r="D7" s="51"/>
      <c r="E7" s="51"/>
      <c r="F7" s="51"/>
      <c r="G7" s="51"/>
      <c r="H7" s="51"/>
      <c r="I7" s="51" t="s">
        <v>46</v>
      </c>
      <c r="J7" s="51" t="s">
        <v>59</v>
      </c>
      <c r="K7" s="51" t="s">
        <v>28</v>
      </c>
      <c r="L7" s="53" t="s">
        <v>42</v>
      </c>
      <c r="M7" s="48" t="s">
        <v>32</v>
      </c>
      <c r="N7" s="48" t="s">
        <v>12</v>
      </c>
      <c r="O7" s="48" t="s">
        <v>34</v>
      </c>
      <c r="P7" s="48" t="s">
        <v>34</v>
      </c>
      <c r="Q7" s="48" t="s">
        <v>37</v>
      </c>
      <c r="R7" s="83" t="s">
        <v>14</v>
      </c>
      <c r="S7" s="48" t="s">
        <v>38</v>
      </c>
      <c r="T7" s="53" t="s">
        <v>18</v>
      </c>
      <c r="U7" s="54" t="s">
        <v>115</v>
      </c>
      <c r="V7" s="51" t="s">
        <v>51</v>
      </c>
      <c r="W7" s="51"/>
      <c r="X7" s="51"/>
      <c r="Y7" s="51" t="s">
        <v>43</v>
      </c>
      <c r="Z7" s="51" t="s">
        <v>4</v>
      </c>
      <c r="AA7" s="55"/>
    </row>
    <row r="8" spans="1:27" s="4" customFormat="1" ht="39.75" customHeight="1" x14ac:dyDescent="0.25">
      <c r="A8" s="89"/>
      <c r="B8" s="106"/>
      <c r="C8" s="106"/>
      <c r="D8" s="162" t="s">
        <v>69</v>
      </c>
      <c r="E8" s="138" t="s">
        <v>195</v>
      </c>
      <c r="F8" s="162" t="s">
        <v>61</v>
      </c>
      <c r="G8" s="162"/>
      <c r="H8" s="162"/>
      <c r="I8" s="163">
        <f>SUM(I9:I20)</f>
        <v>62913.51</v>
      </c>
      <c r="J8" s="163">
        <f>SUM(J9:J20)</f>
        <v>0</v>
      </c>
      <c r="K8" s="163">
        <f>SUM(K9:K20)</f>
        <v>62913.51</v>
      </c>
      <c r="L8" s="162"/>
      <c r="M8" s="162"/>
      <c r="N8" s="162"/>
      <c r="O8" s="162"/>
      <c r="P8" s="162"/>
      <c r="Q8" s="162"/>
      <c r="R8" s="165"/>
      <c r="S8" s="162"/>
      <c r="T8" s="162"/>
      <c r="U8" s="162"/>
      <c r="V8" s="163">
        <f>SUM(V9:V20)</f>
        <v>0</v>
      </c>
      <c r="W8" s="163">
        <f>SUM(W9:W20)</f>
        <v>4054.7400000000002</v>
      </c>
      <c r="X8" s="163">
        <f>SUM(X9:X20)</f>
        <v>342.66</v>
      </c>
      <c r="Y8" s="163">
        <f>SUM(Y9:Y20)</f>
        <v>4397.3999999999996</v>
      </c>
      <c r="Z8" s="163">
        <f>SUM(Z9:Z20)</f>
        <v>58516.11</v>
      </c>
      <c r="AA8" s="90"/>
    </row>
    <row r="9" spans="1:27" s="277" customFormat="1" ht="220.5" customHeight="1" x14ac:dyDescent="0.2">
      <c r="A9" s="275"/>
      <c r="B9" s="226" t="s">
        <v>145</v>
      </c>
      <c r="C9" s="226" t="s">
        <v>108</v>
      </c>
      <c r="D9" s="211" t="s">
        <v>144</v>
      </c>
      <c r="E9" s="213">
        <v>43512</v>
      </c>
      <c r="F9" s="214" t="s">
        <v>143</v>
      </c>
      <c r="G9" s="215">
        <v>15</v>
      </c>
      <c r="H9" s="216">
        <f>I9/G9</f>
        <v>362.33333333333331</v>
      </c>
      <c r="I9" s="217">
        <v>5435</v>
      </c>
      <c r="J9" s="218">
        <v>0</v>
      </c>
      <c r="K9" s="219">
        <f>SUM(I9:J9)</f>
        <v>5435</v>
      </c>
      <c r="L9" s="240">
        <f>IF(I9/15&lt;=SMG,0,J9/2)</f>
        <v>0</v>
      </c>
      <c r="M9" s="259">
        <f>(I9+L9)/G9*30.4</f>
        <v>11014.933333333332</v>
      </c>
      <c r="N9" s="259">
        <f>VLOOKUP(M9,Tarifa,1)</f>
        <v>6332.06</v>
      </c>
      <c r="O9" s="240">
        <f>M9-N9</f>
        <v>4682.8733333333321</v>
      </c>
      <c r="P9" s="241">
        <f>VLOOKUP(M9,Tarifa,3)</f>
        <v>0.10879999999999999</v>
      </c>
      <c r="Q9" s="240">
        <f>O9*P9</f>
        <v>509.49661866666651</v>
      </c>
      <c r="R9" s="242">
        <f>VLOOKUP(M9,Tarifa,2)</f>
        <v>371.83</v>
      </c>
      <c r="S9" s="240">
        <f>Q9+R9</f>
        <v>881.32661866666649</v>
      </c>
      <c r="T9" s="240">
        <f>VLOOKUP(M9,Credito,2)</f>
        <v>0</v>
      </c>
      <c r="U9" s="240">
        <f>ROUND((S9-T9)/30.4*G9,2)</f>
        <v>434.87</v>
      </c>
      <c r="V9" s="219">
        <f>-IF(U9&gt;0,0,0)</f>
        <v>0</v>
      </c>
      <c r="W9" s="219">
        <f>IF(I9/15&lt;=SMG,0,IF(U9&lt;0,0,U9))</f>
        <v>434.87</v>
      </c>
      <c r="X9" s="220">
        <v>0</v>
      </c>
      <c r="Y9" s="219">
        <f>SUM(W9:X9)</f>
        <v>434.87</v>
      </c>
      <c r="Z9" s="219">
        <f>K9+V9-Y9</f>
        <v>5000.13</v>
      </c>
      <c r="AA9" s="276"/>
    </row>
    <row r="10" spans="1:27" s="277" customFormat="1" ht="220.5" customHeight="1" x14ac:dyDescent="0.2">
      <c r="A10" s="275"/>
      <c r="B10" s="226" t="s">
        <v>186</v>
      </c>
      <c r="C10" s="226" t="s">
        <v>108</v>
      </c>
      <c r="D10" s="211" t="s">
        <v>189</v>
      </c>
      <c r="E10" s="269">
        <v>44743</v>
      </c>
      <c r="F10" s="214" t="s">
        <v>143</v>
      </c>
      <c r="G10" s="215">
        <v>15</v>
      </c>
      <c r="H10" s="216">
        <f>I10/G10</f>
        <v>362.33333333333331</v>
      </c>
      <c r="I10" s="217">
        <v>5435</v>
      </c>
      <c r="J10" s="218">
        <v>0</v>
      </c>
      <c r="K10" s="219">
        <f>SUM(I10:J10)</f>
        <v>5435</v>
      </c>
      <c r="L10" s="240">
        <f>IF(I10/15&lt;=SMG,0,J10/2)</f>
        <v>0</v>
      </c>
      <c r="M10" s="259">
        <f>(I10+L10)/G10*30.4</f>
        <v>11014.933333333332</v>
      </c>
      <c r="N10" s="259">
        <f>VLOOKUP(M10,Tarifa,1)</f>
        <v>6332.06</v>
      </c>
      <c r="O10" s="240">
        <f>M10-N10</f>
        <v>4682.8733333333321</v>
      </c>
      <c r="P10" s="241">
        <f>VLOOKUP(M10,Tarifa,3)</f>
        <v>0.10879999999999999</v>
      </c>
      <c r="Q10" s="240">
        <f>O10*P10</f>
        <v>509.49661866666651</v>
      </c>
      <c r="R10" s="242">
        <f>VLOOKUP(M10,Tarifa,2)</f>
        <v>371.83</v>
      </c>
      <c r="S10" s="240">
        <f>Q10+R10</f>
        <v>881.32661866666649</v>
      </c>
      <c r="T10" s="240">
        <f>VLOOKUP(M10,Credito,2)</f>
        <v>0</v>
      </c>
      <c r="U10" s="240">
        <f>ROUND((S10-T10)/30.4*G10,2)</f>
        <v>434.87</v>
      </c>
      <c r="V10" s="219">
        <f t="shared" ref="V10" si="0">-IF(U10&gt;0,0,0)</f>
        <v>0</v>
      </c>
      <c r="W10" s="219">
        <f>IF(I10/15&lt;=SMG,0,IF(U10&lt;0,0,U10))</f>
        <v>434.87</v>
      </c>
      <c r="X10" s="220">
        <v>0</v>
      </c>
      <c r="Y10" s="219">
        <f>SUM(W10:X10)</f>
        <v>434.87</v>
      </c>
      <c r="Z10" s="219">
        <f>K10+V10-Y10</f>
        <v>5000.13</v>
      </c>
      <c r="AA10" s="276"/>
    </row>
    <row r="11" spans="1:27" s="277" customFormat="1" ht="220.5" customHeight="1" x14ac:dyDescent="0.2">
      <c r="A11" s="275"/>
      <c r="B11" s="226" t="s">
        <v>98</v>
      </c>
      <c r="C11" s="226" t="s">
        <v>108</v>
      </c>
      <c r="D11" s="211" t="s">
        <v>70</v>
      </c>
      <c r="E11" s="213">
        <v>39448</v>
      </c>
      <c r="F11" s="214" t="s">
        <v>321</v>
      </c>
      <c r="G11" s="215">
        <v>15</v>
      </c>
      <c r="H11" s="216">
        <f>I11/G11</f>
        <v>362.33333333333331</v>
      </c>
      <c r="I11" s="217">
        <v>5435</v>
      </c>
      <c r="J11" s="218">
        <v>0</v>
      </c>
      <c r="K11" s="219">
        <f>SUM(I11:J11)</f>
        <v>5435</v>
      </c>
      <c r="L11" s="240">
        <f>IF(I11/15&lt;=SMG,0,J11/2)</f>
        <v>0</v>
      </c>
      <c r="M11" s="259">
        <f>(I11+L11)/G11*30.4</f>
        <v>11014.933333333332</v>
      </c>
      <c r="N11" s="259">
        <f>VLOOKUP(M11,Tarifa,1)</f>
        <v>6332.06</v>
      </c>
      <c r="O11" s="240">
        <f>M11-N11</f>
        <v>4682.8733333333321</v>
      </c>
      <c r="P11" s="241">
        <f>VLOOKUP(M11,Tarifa,3)</f>
        <v>0.10879999999999999</v>
      </c>
      <c r="Q11" s="240">
        <f>O11*P11</f>
        <v>509.49661866666651</v>
      </c>
      <c r="R11" s="242">
        <f>VLOOKUP(M11,Tarifa,2)</f>
        <v>371.83</v>
      </c>
      <c r="S11" s="240">
        <f>Q11+R11</f>
        <v>881.32661866666649</v>
      </c>
      <c r="T11" s="240">
        <f>VLOOKUP(M11,Credito,2)</f>
        <v>0</v>
      </c>
      <c r="U11" s="240">
        <f>ROUND((S11-T11)/30.4*G11,2)</f>
        <v>434.87</v>
      </c>
      <c r="V11" s="219">
        <f t="shared" ref="V11:V25" si="1">-IF(U11&gt;0,0,0)</f>
        <v>0</v>
      </c>
      <c r="W11" s="219">
        <f>IF(I11/15&lt;=SMG,0,IF(U11&lt;0,0,U11))</f>
        <v>434.87</v>
      </c>
      <c r="X11" s="220">
        <v>0</v>
      </c>
      <c r="Y11" s="219">
        <f>SUM(W11:X11)</f>
        <v>434.87</v>
      </c>
      <c r="Z11" s="219">
        <f>K11+V11-Y11</f>
        <v>5000.13</v>
      </c>
      <c r="AA11" s="276"/>
    </row>
    <row r="12" spans="1:27" s="277" customFormat="1" ht="220.5" customHeight="1" x14ac:dyDescent="0.2">
      <c r="A12" s="275"/>
      <c r="B12" s="232" t="s">
        <v>150</v>
      </c>
      <c r="C12" s="226" t="s">
        <v>108</v>
      </c>
      <c r="D12" s="233" t="s">
        <v>149</v>
      </c>
      <c r="E12" s="235">
        <v>43617</v>
      </c>
      <c r="F12" s="214" t="s">
        <v>321</v>
      </c>
      <c r="G12" s="215">
        <v>15</v>
      </c>
      <c r="H12" s="216">
        <f>I12/G12</f>
        <v>362.33333333333331</v>
      </c>
      <c r="I12" s="217">
        <v>5435</v>
      </c>
      <c r="J12" s="218">
        <v>0</v>
      </c>
      <c r="K12" s="219">
        <f>SUM(I12:J12)</f>
        <v>5435</v>
      </c>
      <c r="L12" s="240">
        <f>IF(I12/15&lt;=SMG,0,J12/2)</f>
        <v>0</v>
      </c>
      <c r="M12" s="259">
        <f>(I12+L12)/G12*30.4</f>
        <v>11014.933333333332</v>
      </c>
      <c r="N12" s="259">
        <f>VLOOKUP(M12,Tarifa,1)</f>
        <v>6332.06</v>
      </c>
      <c r="O12" s="240">
        <f>M12-N12</f>
        <v>4682.8733333333321</v>
      </c>
      <c r="P12" s="241">
        <f>VLOOKUP(M12,Tarifa,3)</f>
        <v>0.10879999999999999</v>
      </c>
      <c r="Q12" s="240">
        <f>O12*P12</f>
        <v>509.49661866666651</v>
      </c>
      <c r="R12" s="242">
        <f>VLOOKUP(M12,Tarifa,2)</f>
        <v>371.83</v>
      </c>
      <c r="S12" s="240">
        <f>Q12+R12</f>
        <v>881.32661866666649</v>
      </c>
      <c r="T12" s="240">
        <f>VLOOKUP(M12,Credito,2)</f>
        <v>0</v>
      </c>
      <c r="U12" s="240">
        <f>ROUND((S12-T12)/30.4*G12,2)</f>
        <v>434.87</v>
      </c>
      <c r="V12" s="219">
        <f t="shared" ref="V12:V13" si="2">-IF(U12&gt;0,0,0)</f>
        <v>0</v>
      </c>
      <c r="W12" s="219">
        <f>IF(I12/15&lt;=SMG,0,IF(U12&lt;0,0,U12))</f>
        <v>434.87</v>
      </c>
      <c r="X12" s="220">
        <v>0</v>
      </c>
      <c r="Y12" s="219">
        <f>SUM(W12:X12)</f>
        <v>434.87</v>
      </c>
      <c r="Z12" s="219">
        <f>K12+V12-Y12</f>
        <v>5000.13</v>
      </c>
      <c r="AA12" s="276"/>
    </row>
    <row r="13" spans="1:27" s="277" customFormat="1" ht="220.5" customHeight="1" x14ac:dyDescent="0.2">
      <c r="A13" s="275"/>
      <c r="B13" s="226" t="s">
        <v>120</v>
      </c>
      <c r="C13" s="226" t="s">
        <v>108</v>
      </c>
      <c r="D13" s="233" t="s">
        <v>119</v>
      </c>
      <c r="E13" s="274">
        <v>42948</v>
      </c>
      <c r="F13" s="214" t="s">
        <v>322</v>
      </c>
      <c r="G13" s="215">
        <v>15</v>
      </c>
      <c r="H13" s="216">
        <f>I13/G13</f>
        <v>441.834</v>
      </c>
      <c r="I13" s="217">
        <v>6627.51</v>
      </c>
      <c r="J13" s="218">
        <v>0</v>
      </c>
      <c r="K13" s="217">
        <f>I13</f>
        <v>6627.51</v>
      </c>
      <c r="L13" s="240">
        <f>IF(I13/15&lt;=SMG,0,J13/2)</f>
        <v>0</v>
      </c>
      <c r="M13" s="259">
        <f>(I13+L13)/G13*30.4</f>
        <v>13431.7536</v>
      </c>
      <c r="N13" s="259">
        <f>VLOOKUP(M13,Tarifa,1)</f>
        <v>12935.83</v>
      </c>
      <c r="O13" s="240">
        <f>M13-N13</f>
        <v>495.92360000000008</v>
      </c>
      <c r="P13" s="241">
        <f>VLOOKUP(M13,Tarifa,3)</f>
        <v>0.1792</v>
      </c>
      <c r="Q13" s="240">
        <f>O13*P13</f>
        <v>88.869509120000018</v>
      </c>
      <c r="R13" s="242">
        <f>VLOOKUP(M13,Tarifa,2)</f>
        <v>1182.8800000000001</v>
      </c>
      <c r="S13" s="240">
        <f>Q13+R13</f>
        <v>1271.7495091200001</v>
      </c>
      <c r="T13" s="240">
        <f>VLOOKUP(M13,Credito,2)</f>
        <v>0</v>
      </c>
      <c r="U13" s="240">
        <f>ROUND((S13-T13)/30.4*G13,2)</f>
        <v>627.51</v>
      </c>
      <c r="V13" s="219">
        <f t="shared" si="2"/>
        <v>0</v>
      </c>
      <c r="W13" s="219">
        <f t="shared" ref="W13" si="3">IF(I13/15&lt;=SMG,0,IF(U13&lt;0,0,U13))</f>
        <v>627.51</v>
      </c>
      <c r="X13" s="220">
        <v>0</v>
      </c>
      <c r="Y13" s="219">
        <f t="shared" ref="Y13" si="4">SUM(W13:X13)</f>
        <v>627.51</v>
      </c>
      <c r="Z13" s="219">
        <f>K13+V13-Y13+J13</f>
        <v>6000</v>
      </c>
      <c r="AA13" s="276"/>
    </row>
    <row r="14" spans="1:27" s="277" customFormat="1" ht="160.5" customHeight="1" x14ac:dyDescent="0.2">
      <c r="A14" s="278"/>
      <c r="B14" s="279" t="s">
        <v>270</v>
      </c>
      <c r="C14" s="279" t="s">
        <v>108</v>
      </c>
      <c r="D14" s="280" t="s">
        <v>264</v>
      </c>
      <c r="E14" s="281">
        <v>45566</v>
      </c>
      <c r="F14" s="282" t="s">
        <v>97</v>
      </c>
      <c r="G14" s="215">
        <v>15</v>
      </c>
      <c r="H14" s="216">
        <f t="shared" ref="H14:H20" si="5">I14/G14</f>
        <v>317.46666666666664</v>
      </c>
      <c r="I14" s="283">
        <v>4762</v>
      </c>
      <c r="J14" s="284">
        <v>0</v>
      </c>
      <c r="K14" s="285">
        <f t="shared" ref="K14" si="6">SUM(I14:J14)</f>
        <v>4762</v>
      </c>
      <c r="L14" s="240">
        <f>IF(I14/15&lt;=SMG,0,J14/2)</f>
        <v>0</v>
      </c>
      <c r="M14" s="259">
        <f>(I14+L14)/G14*30.4</f>
        <v>9650.9866666666658</v>
      </c>
      <c r="N14" s="259">
        <f>VLOOKUP(M14,Tarifa,1)</f>
        <v>6332.06</v>
      </c>
      <c r="O14" s="240">
        <f>M14-N14</f>
        <v>3318.9266666666654</v>
      </c>
      <c r="P14" s="241">
        <f>VLOOKUP(M14,Tarifa,3)</f>
        <v>0.10879999999999999</v>
      </c>
      <c r="Q14" s="240">
        <f>O14*P14</f>
        <v>361.09922133333316</v>
      </c>
      <c r="R14" s="242">
        <f>VLOOKUP(M14,Tarifa,2)</f>
        <v>371.83</v>
      </c>
      <c r="S14" s="240">
        <f>Q14+R14</f>
        <v>732.92922133333309</v>
      </c>
      <c r="T14" s="240">
        <f>VLOOKUP(M14,Credito,2)</f>
        <v>475</v>
      </c>
      <c r="U14" s="240">
        <f>ROUND((S14-T14)/30.4*G14,2)</f>
        <v>127.27</v>
      </c>
      <c r="V14" s="285">
        <f t="shared" ref="V14:V15" si="7">-IF(U14&gt;0,0,0)</f>
        <v>0</v>
      </c>
      <c r="W14" s="285">
        <f t="shared" ref="W14:W15" si="8">IF(I14/15&lt;=SMG,0,IF(U14&lt;0,0,U14))</f>
        <v>127.27</v>
      </c>
      <c r="X14" s="286">
        <v>0</v>
      </c>
      <c r="Y14" s="285">
        <f t="shared" ref="Y14" si="9">SUM(W14:X14)</f>
        <v>127.27</v>
      </c>
      <c r="Z14" s="285">
        <f t="shared" ref="Z14" si="10">K14+V14-Y14</f>
        <v>4634.7299999999996</v>
      </c>
      <c r="AA14" s="287"/>
    </row>
    <row r="15" spans="1:27" s="277" customFormat="1" ht="160.5" customHeight="1" x14ac:dyDescent="0.2">
      <c r="A15" s="278"/>
      <c r="B15" s="226" t="s">
        <v>210</v>
      </c>
      <c r="C15" s="226" t="s">
        <v>108</v>
      </c>
      <c r="D15" s="233" t="s">
        <v>209</v>
      </c>
      <c r="E15" s="274">
        <v>45123</v>
      </c>
      <c r="F15" s="214" t="s">
        <v>208</v>
      </c>
      <c r="G15" s="215">
        <v>15</v>
      </c>
      <c r="H15" s="216">
        <f t="shared" si="5"/>
        <v>305.06666666666666</v>
      </c>
      <c r="I15" s="217">
        <v>4576</v>
      </c>
      <c r="J15" s="218">
        <v>0</v>
      </c>
      <c r="K15" s="219">
        <f>SUM(I15:J15)</f>
        <v>4576</v>
      </c>
      <c r="L15" s="240">
        <f>IF(I15/15&lt;=SMG,0,J15/2)</f>
        <v>0</v>
      </c>
      <c r="M15" s="259">
        <f>(I15+L15)/G15*30.4</f>
        <v>9274.0266666666666</v>
      </c>
      <c r="N15" s="259">
        <f>VLOOKUP(M15,Tarifa,1)</f>
        <v>6332.06</v>
      </c>
      <c r="O15" s="240">
        <f>M15-N15</f>
        <v>2941.9666666666662</v>
      </c>
      <c r="P15" s="241">
        <f>VLOOKUP(M15,Tarifa,3)</f>
        <v>0.10879999999999999</v>
      </c>
      <c r="Q15" s="240">
        <f>O15*P15</f>
        <v>320.08597333333324</v>
      </c>
      <c r="R15" s="242">
        <f>VLOOKUP(M15,Tarifa,2)</f>
        <v>371.83</v>
      </c>
      <c r="S15" s="240">
        <f>Q15+R15</f>
        <v>691.91597333333323</v>
      </c>
      <c r="T15" s="240">
        <f>VLOOKUP(M15,Credito,2)</f>
        <v>475</v>
      </c>
      <c r="U15" s="240">
        <f>ROUND((S15-T15)/30.4*G15,2)</f>
        <v>107.03</v>
      </c>
      <c r="V15" s="219">
        <f t="shared" si="7"/>
        <v>0</v>
      </c>
      <c r="W15" s="219">
        <f t="shared" si="8"/>
        <v>107.03</v>
      </c>
      <c r="X15" s="220">
        <v>0</v>
      </c>
      <c r="Y15" s="219">
        <f>SUM(W15:X15)</f>
        <v>107.03</v>
      </c>
      <c r="Z15" s="219">
        <f>K15+V15-Y15</f>
        <v>4468.97</v>
      </c>
      <c r="AA15" s="287"/>
    </row>
    <row r="16" spans="1:27" s="277" customFormat="1" ht="160.5" customHeight="1" x14ac:dyDescent="0.2">
      <c r="A16" s="275"/>
      <c r="B16" s="226" t="s">
        <v>151</v>
      </c>
      <c r="C16" s="226" t="s">
        <v>108</v>
      </c>
      <c r="D16" s="233" t="s">
        <v>152</v>
      </c>
      <c r="E16" s="274">
        <v>43709</v>
      </c>
      <c r="F16" s="214" t="s">
        <v>176</v>
      </c>
      <c r="G16" s="215">
        <v>15</v>
      </c>
      <c r="H16" s="216">
        <f t="shared" si="5"/>
        <v>288</v>
      </c>
      <c r="I16" s="217">
        <v>4320</v>
      </c>
      <c r="J16" s="218">
        <v>0</v>
      </c>
      <c r="K16" s="219">
        <f>SUM(I16:J16)</f>
        <v>4320</v>
      </c>
      <c r="L16" s="240">
        <f>IF(I16/15&lt;=SMG,0,J16/2)</f>
        <v>0</v>
      </c>
      <c r="M16" s="259">
        <f>(I16+L16)/G16*30.4</f>
        <v>8755.1999999999989</v>
      </c>
      <c r="N16" s="259">
        <f>VLOOKUP(M16,Tarifa,1)</f>
        <v>6332.06</v>
      </c>
      <c r="O16" s="240">
        <f>M16-N16</f>
        <v>2423.1399999999985</v>
      </c>
      <c r="P16" s="241">
        <f>VLOOKUP(M16,Tarifa,3)</f>
        <v>0.10879999999999999</v>
      </c>
      <c r="Q16" s="240">
        <f>O16*P16</f>
        <v>263.63763199999983</v>
      </c>
      <c r="R16" s="242">
        <f>VLOOKUP(M16,Tarifa,2)</f>
        <v>371.83</v>
      </c>
      <c r="S16" s="240">
        <f>Q16+R16</f>
        <v>635.46763199999987</v>
      </c>
      <c r="T16" s="240">
        <f>VLOOKUP(M16,Credito,2)</f>
        <v>475</v>
      </c>
      <c r="U16" s="240">
        <f>ROUND((S16-T16)/30.4*G16,2)</f>
        <v>79.180000000000007</v>
      </c>
      <c r="V16" s="219">
        <f t="shared" si="1"/>
        <v>0</v>
      </c>
      <c r="W16" s="219">
        <f>IF(I16/15&lt;=SMG,0,IF(U16&lt;0,0,U16))</f>
        <v>79.180000000000007</v>
      </c>
      <c r="X16" s="220">
        <v>0</v>
      </c>
      <c r="Y16" s="219">
        <f>SUM(W16:X16)</f>
        <v>79.180000000000007</v>
      </c>
      <c r="Z16" s="219">
        <f>K16+V16-Y16</f>
        <v>4240.82</v>
      </c>
      <c r="AA16" s="276"/>
    </row>
    <row r="17" spans="1:33" s="277" customFormat="1" ht="160.5" customHeight="1" x14ac:dyDescent="0.2">
      <c r="A17" s="275"/>
      <c r="B17" s="232" t="s">
        <v>177</v>
      </c>
      <c r="C17" s="226" t="s">
        <v>108</v>
      </c>
      <c r="D17" s="211" t="s">
        <v>172</v>
      </c>
      <c r="E17" s="213">
        <v>44473</v>
      </c>
      <c r="F17" s="214" t="s">
        <v>263</v>
      </c>
      <c r="G17" s="215">
        <v>15</v>
      </c>
      <c r="H17" s="216">
        <f t="shared" si="5"/>
        <v>272.93333333333334</v>
      </c>
      <c r="I17" s="217">
        <v>4094</v>
      </c>
      <c r="J17" s="218">
        <v>0</v>
      </c>
      <c r="K17" s="219">
        <f>SUM(I17:J17)</f>
        <v>4094</v>
      </c>
      <c r="L17" s="240">
        <f>IF(I17/15&lt;=SMG,0,J17/2)</f>
        <v>0</v>
      </c>
      <c r="M17" s="259">
        <f>(I17+L17)/G17*30.4</f>
        <v>8297.1733333333323</v>
      </c>
      <c r="N17" s="259">
        <f>VLOOKUP(M17,Tarifa,1)</f>
        <v>6332.06</v>
      </c>
      <c r="O17" s="240">
        <f>M17-N17</f>
        <v>1965.1133333333319</v>
      </c>
      <c r="P17" s="241">
        <f>VLOOKUP(M17,Tarifa,3)</f>
        <v>0.10879999999999999</v>
      </c>
      <c r="Q17" s="240">
        <f>O17*P17</f>
        <v>213.80433066666649</v>
      </c>
      <c r="R17" s="242">
        <f>VLOOKUP(M17,Tarifa,2)</f>
        <v>371.83</v>
      </c>
      <c r="S17" s="240">
        <f>Q17+R17</f>
        <v>585.63433066666653</v>
      </c>
      <c r="T17" s="240">
        <f>VLOOKUP(M17,Credito,2)</f>
        <v>475</v>
      </c>
      <c r="U17" s="240">
        <f>ROUND((S17-T17)/30.4*G17,2)</f>
        <v>54.59</v>
      </c>
      <c r="V17" s="219">
        <f>-IF(U17&gt;0,0,0)</f>
        <v>0</v>
      </c>
      <c r="W17" s="219">
        <f t="shared" ref="W17:W18" si="11">IF(I17/15&lt;=SMG,0,IF(U17&lt;0,0,U17))</f>
        <v>0</v>
      </c>
      <c r="X17" s="220">
        <v>0</v>
      </c>
      <c r="Y17" s="219">
        <f>SUM(W17:X17)</f>
        <v>0</v>
      </c>
      <c r="Z17" s="219">
        <f>K17+V17-Y17</f>
        <v>4094</v>
      </c>
      <c r="AA17" s="276"/>
    </row>
    <row r="18" spans="1:33" s="277" customFormat="1" ht="160.5" customHeight="1" x14ac:dyDescent="0.2">
      <c r="A18" s="275"/>
      <c r="B18" s="232" t="s">
        <v>331</v>
      </c>
      <c r="C18" s="226" t="s">
        <v>108</v>
      </c>
      <c r="D18" s="211" t="s">
        <v>333</v>
      </c>
      <c r="E18" s="213">
        <v>45673</v>
      </c>
      <c r="F18" s="214" t="s">
        <v>245</v>
      </c>
      <c r="G18" s="215">
        <v>15</v>
      </c>
      <c r="H18" s="216">
        <f t="shared" si="5"/>
        <v>373.2</v>
      </c>
      <c r="I18" s="217">
        <v>5598</v>
      </c>
      <c r="J18" s="218">
        <v>0</v>
      </c>
      <c r="K18" s="219">
        <f t="shared" ref="K18" si="12">SUM(I18:J18)</f>
        <v>5598</v>
      </c>
      <c r="L18" s="240">
        <f t="shared" ref="L18" si="13">IF(I18/15&lt;=SMG,0,J18/2)</f>
        <v>0</v>
      </c>
      <c r="M18" s="259">
        <f t="shared" ref="M18" si="14">(I18+L18)/G18*30.4</f>
        <v>11345.279999999999</v>
      </c>
      <c r="N18" s="259">
        <f t="shared" ref="N18" si="15">VLOOKUP(M18,Tarifa,1)</f>
        <v>11128.02</v>
      </c>
      <c r="O18" s="240">
        <f t="shared" ref="O18" si="16">M18-N18</f>
        <v>217.2599999999984</v>
      </c>
      <c r="P18" s="241">
        <f t="shared" ref="P18" si="17">VLOOKUP(M18,Tarifa,3)</f>
        <v>0.16</v>
      </c>
      <c r="Q18" s="240">
        <f t="shared" ref="Q18" si="18">O18*P18</f>
        <v>34.761599999999746</v>
      </c>
      <c r="R18" s="242">
        <f t="shared" ref="R18" si="19">VLOOKUP(M18,Tarifa,2)</f>
        <v>893.63</v>
      </c>
      <c r="S18" s="240">
        <f t="shared" ref="S18" si="20">Q18+R18</f>
        <v>928.3915999999997</v>
      </c>
      <c r="T18" s="240">
        <f t="shared" ref="T18" si="21">VLOOKUP(M18,Credito,2)</f>
        <v>0</v>
      </c>
      <c r="U18" s="240">
        <f t="shared" ref="U18" si="22">ROUND((S18-T18)/30.4*G18,2)</f>
        <v>458.09</v>
      </c>
      <c r="V18" s="219">
        <f t="shared" ref="V18" si="23">-IF(U18&gt;0,0,0)</f>
        <v>0</v>
      </c>
      <c r="W18" s="219">
        <f t="shared" si="11"/>
        <v>458.09</v>
      </c>
      <c r="X18" s="220">
        <v>0</v>
      </c>
      <c r="Y18" s="219">
        <f t="shared" ref="Y18" si="24">SUM(W18:X18)</f>
        <v>458.09</v>
      </c>
      <c r="Z18" s="219">
        <f t="shared" ref="Z18" si="25">K18+V18-Y18</f>
        <v>5139.91</v>
      </c>
      <c r="AA18" s="276"/>
    </row>
    <row r="19" spans="1:33" s="277" customFormat="1" ht="160.5" customHeight="1" x14ac:dyDescent="0.2">
      <c r="A19" s="275"/>
      <c r="B19" s="232" t="s">
        <v>332</v>
      </c>
      <c r="C19" s="226" t="s">
        <v>108</v>
      </c>
      <c r="D19" s="211" t="s">
        <v>334</v>
      </c>
      <c r="E19" s="213">
        <v>45673</v>
      </c>
      <c r="F19" s="214" t="s">
        <v>245</v>
      </c>
      <c r="G19" s="215">
        <v>15</v>
      </c>
      <c r="H19" s="216">
        <f t="shared" ref="H19" si="26">I19/G19</f>
        <v>373.2</v>
      </c>
      <c r="I19" s="217">
        <v>5598</v>
      </c>
      <c r="J19" s="218">
        <v>0</v>
      </c>
      <c r="K19" s="219">
        <f t="shared" ref="K19" si="27">SUM(I19:J19)</f>
        <v>5598</v>
      </c>
      <c r="L19" s="240">
        <f t="shared" ref="L19" si="28">IF(I19/15&lt;=SMG,0,J19/2)</f>
        <v>0</v>
      </c>
      <c r="M19" s="259">
        <f t="shared" ref="M19" si="29">(I19+L19)/G19*30.4</f>
        <v>11345.279999999999</v>
      </c>
      <c r="N19" s="259">
        <f t="shared" ref="N19" si="30">VLOOKUP(M19,Tarifa,1)</f>
        <v>11128.02</v>
      </c>
      <c r="O19" s="240">
        <f t="shared" ref="O19" si="31">M19-N19</f>
        <v>217.2599999999984</v>
      </c>
      <c r="P19" s="241">
        <f t="shared" ref="P19" si="32">VLOOKUP(M19,Tarifa,3)</f>
        <v>0.16</v>
      </c>
      <c r="Q19" s="240">
        <f t="shared" ref="Q19" si="33">O19*P19</f>
        <v>34.761599999999746</v>
      </c>
      <c r="R19" s="242">
        <f t="shared" ref="R19" si="34">VLOOKUP(M19,Tarifa,2)</f>
        <v>893.63</v>
      </c>
      <c r="S19" s="240">
        <f t="shared" ref="S19" si="35">Q19+R19</f>
        <v>928.3915999999997</v>
      </c>
      <c r="T19" s="240">
        <f t="shared" ref="T19" si="36">VLOOKUP(M19,Credito,2)</f>
        <v>0</v>
      </c>
      <c r="U19" s="240">
        <f t="shared" ref="U19" si="37">ROUND((S19-T19)/30.4*G19,2)</f>
        <v>458.09</v>
      </c>
      <c r="V19" s="219">
        <f t="shared" ref="V19" si="38">-IF(U19&gt;0,0,0)</f>
        <v>0</v>
      </c>
      <c r="W19" s="219">
        <f t="shared" ref="W19" si="39">IF(I19/15&lt;=SMG,0,IF(U19&lt;0,0,U19))</f>
        <v>458.09</v>
      </c>
      <c r="X19" s="220">
        <v>342.66</v>
      </c>
      <c r="Y19" s="219">
        <f t="shared" ref="Y19" si="40">SUM(W19:X19)</f>
        <v>800.75</v>
      </c>
      <c r="Z19" s="219">
        <f t="shared" ref="Z19" si="41">K19+V19-Y19</f>
        <v>4797.25</v>
      </c>
      <c r="AA19" s="276"/>
    </row>
    <row r="20" spans="1:33" s="277" customFormat="1" ht="160.5" customHeight="1" x14ac:dyDescent="0.2">
      <c r="A20" s="275"/>
      <c r="B20" s="232" t="s">
        <v>369</v>
      </c>
      <c r="C20" s="226" t="s">
        <v>108</v>
      </c>
      <c r="D20" s="211" t="s">
        <v>370</v>
      </c>
      <c r="E20" s="213">
        <v>45754</v>
      </c>
      <c r="F20" s="214" t="s">
        <v>245</v>
      </c>
      <c r="G20" s="215">
        <v>15</v>
      </c>
      <c r="H20" s="216">
        <f t="shared" si="5"/>
        <v>373.2</v>
      </c>
      <c r="I20" s="217">
        <v>5598</v>
      </c>
      <c r="J20" s="218">
        <v>0</v>
      </c>
      <c r="K20" s="219">
        <f t="shared" ref="K20" si="42">SUM(I20:J20)</f>
        <v>5598</v>
      </c>
      <c r="L20" s="240">
        <f t="shared" ref="L20" si="43">IF(I20/15&lt;=SMG,0,J20/2)</f>
        <v>0</v>
      </c>
      <c r="M20" s="259">
        <f t="shared" ref="M20" si="44">(I20+L20)/G20*30.4</f>
        <v>11345.279999999999</v>
      </c>
      <c r="N20" s="259">
        <f t="shared" ref="N20" si="45">VLOOKUP(M20,Tarifa,1)</f>
        <v>11128.02</v>
      </c>
      <c r="O20" s="240">
        <f t="shared" ref="O20" si="46">M20-N20</f>
        <v>217.2599999999984</v>
      </c>
      <c r="P20" s="241">
        <f t="shared" ref="P20" si="47">VLOOKUP(M20,Tarifa,3)</f>
        <v>0.16</v>
      </c>
      <c r="Q20" s="240">
        <f t="shared" ref="Q20" si="48">O20*P20</f>
        <v>34.761599999999746</v>
      </c>
      <c r="R20" s="242">
        <f t="shared" ref="R20" si="49">VLOOKUP(M20,Tarifa,2)</f>
        <v>893.63</v>
      </c>
      <c r="S20" s="240">
        <f t="shared" ref="S20" si="50">Q20+R20</f>
        <v>928.3915999999997</v>
      </c>
      <c r="T20" s="240">
        <f t="shared" ref="T20" si="51">VLOOKUP(M20,Credito,2)</f>
        <v>0</v>
      </c>
      <c r="U20" s="240">
        <f t="shared" ref="U20" si="52">ROUND((S20-T20)/30.4*G20,2)</f>
        <v>458.09</v>
      </c>
      <c r="V20" s="219">
        <f t="shared" ref="V20" si="53">-IF(U20&gt;0,0,0)</f>
        <v>0</v>
      </c>
      <c r="W20" s="219">
        <f t="shared" ref="W20" si="54">IF(I20/15&lt;=SMG,0,IF(U20&lt;0,0,U20))</f>
        <v>458.09</v>
      </c>
      <c r="X20" s="220">
        <v>0</v>
      </c>
      <c r="Y20" s="219">
        <f t="shared" ref="Y20" si="55">SUM(W20:X20)</f>
        <v>458.09</v>
      </c>
      <c r="Z20" s="219">
        <f t="shared" ref="Z20" si="56">K20+V20-Y20</f>
        <v>5139.91</v>
      </c>
      <c r="AA20" s="276"/>
    </row>
    <row r="21" spans="1:33" s="4" customFormat="1" ht="48.75" customHeight="1" x14ac:dyDescent="0.25">
      <c r="A21" s="200"/>
      <c r="B21" s="105" t="s">
        <v>96</v>
      </c>
      <c r="C21" s="105" t="s">
        <v>114</v>
      </c>
      <c r="D21" s="162" t="s">
        <v>113</v>
      </c>
      <c r="E21" s="138" t="s">
        <v>195</v>
      </c>
      <c r="F21" s="162" t="s">
        <v>61</v>
      </c>
      <c r="G21" s="162"/>
      <c r="H21" s="162"/>
      <c r="I21" s="163">
        <f>SUM(I22:I22)</f>
        <v>7078</v>
      </c>
      <c r="J21" s="163">
        <f>SUM(J22:J22)</f>
        <v>0</v>
      </c>
      <c r="K21" s="163">
        <f>SUM(K22:K22)</f>
        <v>7078</v>
      </c>
      <c r="L21" s="162"/>
      <c r="M21" s="162"/>
      <c r="N21" s="162"/>
      <c r="O21" s="162"/>
      <c r="P21" s="162"/>
      <c r="Q21" s="162"/>
      <c r="R21" s="165"/>
      <c r="S21" s="162"/>
      <c r="T21" s="162"/>
      <c r="U21" s="162"/>
      <c r="V21" s="163">
        <f>SUM(V22:V22)</f>
        <v>0</v>
      </c>
      <c r="W21" s="163">
        <f>SUM(W22:W22)</f>
        <v>708.24</v>
      </c>
      <c r="X21" s="163">
        <f>SUM(X22:X22)</f>
        <v>0</v>
      </c>
      <c r="Y21" s="163">
        <f>SUM(Y22:Y22)</f>
        <v>708.24</v>
      </c>
      <c r="Z21" s="163">
        <f>SUM(Z22:Z22)</f>
        <v>6369.76</v>
      </c>
      <c r="AA21" s="90"/>
    </row>
    <row r="22" spans="1:33" s="4" customFormat="1" ht="209.25" customHeight="1" x14ac:dyDescent="0.2">
      <c r="A22" s="200"/>
      <c r="B22" s="232" t="s">
        <v>146</v>
      </c>
      <c r="C22" s="226" t="s">
        <v>108</v>
      </c>
      <c r="D22" s="211" t="s">
        <v>141</v>
      </c>
      <c r="E22" s="213">
        <v>43512</v>
      </c>
      <c r="F22" s="214" t="s">
        <v>324</v>
      </c>
      <c r="G22" s="215">
        <v>15</v>
      </c>
      <c r="H22" s="216">
        <f>I22/G22</f>
        <v>471.86666666666667</v>
      </c>
      <c r="I22" s="217">
        <v>7078</v>
      </c>
      <c r="J22" s="218">
        <v>0</v>
      </c>
      <c r="K22" s="219">
        <f>SUM(I22:J22)</f>
        <v>7078</v>
      </c>
      <c r="L22" s="240">
        <f>IF(I22/15&lt;=SMG,0,J22/2)</f>
        <v>0</v>
      </c>
      <c r="M22" s="259">
        <f>(I22+L22)/G22*30.4</f>
        <v>14344.746666666666</v>
      </c>
      <c r="N22" s="259">
        <f>VLOOKUP(M22,Tarifa,1)</f>
        <v>12935.83</v>
      </c>
      <c r="O22" s="240">
        <f>M22-N22</f>
        <v>1408.9166666666661</v>
      </c>
      <c r="P22" s="241">
        <f>VLOOKUP(M22,Tarifa,3)</f>
        <v>0.1792</v>
      </c>
      <c r="Q22" s="240">
        <f>O22*P22</f>
        <v>252.47786666666656</v>
      </c>
      <c r="R22" s="242">
        <f>VLOOKUP(M22,Tarifa,2)</f>
        <v>1182.8800000000001</v>
      </c>
      <c r="S22" s="240">
        <f>Q22+R22</f>
        <v>1435.3578666666667</v>
      </c>
      <c r="T22" s="240">
        <f>VLOOKUP(M22,Credito,2)</f>
        <v>0</v>
      </c>
      <c r="U22" s="240">
        <f>ROUND((S22-T22)/30.4*G22,2)</f>
        <v>708.24</v>
      </c>
      <c r="V22" s="219">
        <f>-IF(U22&gt;0,0,0)</f>
        <v>0</v>
      </c>
      <c r="W22" s="219">
        <f>IF(I22/15&lt;=SMG,0,IF(U22&lt;0,0,U22))</f>
        <v>708.24</v>
      </c>
      <c r="X22" s="220">
        <v>0</v>
      </c>
      <c r="Y22" s="219">
        <f>SUM(W22:X22)</f>
        <v>708.24</v>
      </c>
      <c r="Z22" s="219">
        <f>K22+V22-Y22</f>
        <v>6369.76</v>
      </c>
      <c r="AA22" s="276"/>
    </row>
    <row r="23" spans="1:33" s="4" customFormat="1" ht="48.75" customHeight="1" x14ac:dyDescent="0.25">
      <c r="A23" s="42"/>
      <c r="B23" s="105" t="s">
        <v>96</v>
      </c>
      <c r="C23" s="105" t="s">
        <v>114</v>
      </c>
      <c r="D23" s="162" t="s">
        <v>69</v>
      </c>
      <c r="E23" s="138" t="s">
        <v>195</v>
      </c>
      <c r="F23" s="162" t="s">
        <v>61</v>
      </c>
      <c r="G23" s="162"/>
      <c r="H23" s="162"/>
      <c r="I23" s="163">
        <f>SUM(I24:I25)</f>
        <v>13353.5</v>
      </c>
      <c r="J23" s="163">
        <f>SUM(J24:J25)</f>
        <v>0</v>
      </c>
      <c r="K23" s="163">
        <f>SUM(K24:K25)</f>
        <v>13353.5</v>
      </c>
      <c r="L23" s="162"/>
      <c r="M23" s="162"/>
      <c r="N23" s="162"/>
      <c r="O23" s="162"/>
      <c r="P23" s="162"/>
      <c r="Q23" s="162"/>
      <c r="R23" s="165"/>
      <c r="S23" s="162"/>
      <c r="T23" s="162"/>
      <c r="U23" s="162"/>
      <c r="V23" s="163">
        <f>SUM(V24:V25)</f>
        <v>0</v>
      </c>
      <c r="W23" s="163">
        <f>SUM(W24:W25)</f>
        <v>1303.24</v>
      </c>
      <c r="X23" s="163">
        <f>SUM(X24:X25)</f>
        <v>0</v>
      </c>
      <c r="Y23" s="163">
        <f>SUM(Y24:Y25)</f>
        <v>1303.24</v>
      </c>
      <c r="Z23" s="163">
        <f>SUM(Z24:Z25)</f>
        <v>12050.26</v>
      </c>
      <c r="AA23" s="90"/>
    </row>
    <row r="24" spans="1:33" s="277" customFormat="1" ht="210" customHeight="1" x14ac:dyDescent="0.2">
      <c r="A24" s="275"/>
      <c r="B24" s="232" t="s">
        <v>170</v>
      </c>
      <c r="C24" s="226" t="s">
        <v>108</v>
      </c>
      <c r="D24" s="211" t="s">
        <v>173</v>
      </c>
      <c r="E24" s="213">
        <v>44470</v>
      </c>
      <c r="F24" s="265" t="s">
        <v>71</v>
      </c>
      <c r="G24" s="215">
        <v>15</v>
      </c>
      <c r="H24" s="216">
        <f>I24/G24</f>
        <v>527.9</v>
      </c>
      <c r="I24" s="217">
        <v>7918.5</v>
      </c>
      <c r="J24" s="218">
        <v>0</v>
      </c>
      <c r="K24" s="219">
        <f t="shared" ref="K24" si="57">SUM(I24:J24)</f>
        <v>7918.5</v>
      </c>
      <c r="L24" s="240">
        <f>IF(I24/15&lt;=SMG,0,J24/2)</f>
        <v>0</v>
      </c>
      <c r="M24" s="259">
        <f>(I24+L24)/G24*30.4</f>
        <v>16048.159999999998</v>
      </c>
      <c r="N24" s="259">
        <f>VLOOKUP(M24,Tarifa,1)</f>
        <v>15487.72</v>
      </c>
      <c r="O24" s="240">
        <f>M24-N24</f>
        <v>560.43999999999869</v>
      </c>
      <c r="P24" s="241">
        <f>VLOOKUP(M24,Tarifa,3)</f>
        <v>0.21360000000000001</v>
      </c>
      <c r="Q24" s="240">
        <f>O24*P24</f>
        <v>119.70998399999972</v>
      </c>
      <c r="R24" s="242">
        <f>VLOOKUP(M24,Tarifa,2)</f>
        <v>1640.18</v>
      </c>
      <c r="S24" s="240">
        <f>Q24+R24</f>
        <v>1759.8899839999997</v>
      </c>
      <c r="T24" s="240">
        <f>VLOOKUP(M24,Credito,2)</f>
        <v>0</v>
      </c>
      <c r="U24" s="240">
        <f>ROUND((S24-T24)/30.4*G24,2)</f>
        <v>868.37</v>
      </c>
      <c r="V24" s="219">
        <f t="shared" si="1"/>
        <v>0</v>
      </c>
      <c r="W24" s="219">
        <f t="shared" ref="W24" si="58">IF(I24/15&lt;=SMG,0,IF(U24&lt;0,0,U24))</f>
        <v>868.37</v>
      </c>
      <c r="X24" s="220">
        <v>0</v>
      </c>
      <c r="Y24" s="219">
        <f t="shared" ref="Y24" si="59">SUM(W24:X24)</f>
        <v>868.37</v>
      </c>
      <c r="Z24" s="219">
        <f t="shared" ref="Z24" si="60">K24+V24-Y24</f>
        <v>7050.13</v>
      </c>
      <c r="AA24" s="276"/>
    </row>
    <row r="25" spans="1:33" s="277" customFormat="1" ht="210" customHeight="1" x14ac:dyDescent="0.2">
      <c r="A25" s="275"/>
      <c r="B25" s="232" t="s">
        <v>214</v>
      </c>
      <c r="C25" s="226" t="s">
        <v>108</v>
      </c>
      <c r="D25" s="211" t="s">
        <v>215</v>
      </c>
      <c r="E25" s="213">
        <v>45173</v>
      </c>
      <c r="F25" s="214" t="s">
        <v>142</v>
      </c>
      <c r="G25" s="215">
        <v>15</v>
      </c>
      <c r="H25" s="216">
        <f>I25/G25</f>
        <v>362.33333333333331</v>
      </c>
      <c r="I25" s="217">
        <v>5435</v>
      </c>
      <c r="J25" s="218">
        <v>0</v>
      </c>
      <c r="K25" s="219">
        <f>SUM(I25:J25)</f>
        <v>5435</v>
      </c>
      <c r="L25" s="240">
        <f>IF(I25/15&lt;=SMG,0,J25/2)</f>
        <v>0</v>
      </c>
      <c r="M25" s="259">
        <f>(I25+L25)/G25*30.4</f>
        <v>11014.933333333332</v>
      </c>
      <c r="N25" s="259">
        <f>VLOOKUP(M25,Tarifa,1)</f>
        <v>6332.06</v>
      </c>
      <c r="O25" s="240">
        <f>M25-N25</f>
        <v>4682.8733333333321</v>
      </c>
      <c r="P25" s="241">
        <f>VLOOKUP(M25,Tarifa,3)</f>
        <v>0.10879999999999999</v>
      </c>
      <c r="Q25" s="240">
        <f>O25*P25</f>
        <v>509.49661866666651</v>
      </c>
      <c r="R25" s="242">
        <f>VLOOKUP(M25,Tarifa,2)</f>
        <v>371.83</v>
      </c>
      <c r="S25" s="240">
        <f>Q25+R25</f>
        <v>881.32661866666649</v>
      </c>
      <c r="T25" s="240">
        <f>VLOOKUP(M25,Credito,2)</f>
        <v>0</v>
      </c>
      <c r="U25" s="240">
        <f>ROUND((S25-T25)/30.4*G25,2)</f>
        <v>434.87</v>
      </c>
      <c r="V25" s="219">
        <f t="shared" si="1"/>
        <v>0</v>
      </c>
      <c r="W25" s="219">
        <f t="shared" ref="W25" si="61">IF(I25/15&lt;=SMG,0,IF(U25&lt;0,0,U25))</f>
        <v>434.87</v>
      </c>
      <c r="X25" s="220">
        <v>0</v>
      </c>
      <c r="Y25" s="219">
        <f>SUM(W25:X25)</f>
        <v>434.87</v>
      </c>
      <c r="Z25" s="219">
        <f>K25+V25-Y25</f>
        <v>5000.13</v>
      </c>
      <c r="AA25" s="276"/>
    </row>
    <row r="26" spans="1:33" s="4" customFormat="1" ht="50.25" customHeight="1" x14ac:dyDescent="0.25">
      <c r="A26" s="100"/>
      <c r="B26" s="105" t="s">
        <v>96</v>
      </c>
      <c r="C26" s="105" t="s">
        <v>114</v>
      </c>
      <c r="D26" s="162" t="s">
        <v>113</v>
      </c>
      <c r="E26" s="138" t="s">
        <v>195</v>
      </c>
      <c r="F26" s="162" t="s">
        <v>61</v>
      </c>
      <c r="G26" s="162"/>
      <c r="H26" s="162"/>
      <c r="I26" s="163">
        <f>SUM(I27:I27)</f>
        <v>6826.5</v>
      </c>
      <c r="J26" s="163">
        <f>SUM(J27:J27)</f>
        <v>0</v>
      </c>
      <c r="K26" s="163">
        <f>SUM(K27:K27)</f>
        <v>6826.5</v>
      </c>
      <c r="L26" s="162"/>
      <c r="M26" s="162"/>
      <c r="N26" s="162"/>
      <c r="O26" s="162"/>
      <c r="P26" s="162"/>
      <c r="Q26" s="162"/>
      <c r="R26" s="165"/>
      <c r="S26" s="162"/>
      <c r="T26" s="162"/>
      <c r="U26" s="162"/>
      <c r="V26" s="163">
        <f>SUM(V27:V27)</f>
        <v>0</v>
      </c>
      <c r="W26" s="163">
        <f>SUM(W27:W27)</f>
        <v>663.17</v>
      </c>
      <c r="X26" s="163">
        <f>SUM(X27:X27)</f>
        <v>0</v>
      </c>
      <c r="Y26" s="163">
        <f>SUM(Y27:Y27)</f>
        <v>663.17</v>
      </c>
      <c r="Z26" s="163">
        <f>SUM(Z27:Z27)</f>
        <v>6163.33</v>
      </c>
      <c r="AA26" s="90"/>
    </row>
    <row r="27" spans="1:33" s="277" customFormat="1" ht="192.75" customHeight="1" x14ac:dyDescent="0.2">
      <c r="A27" s="208" t="s">
        <v>83</v>
      </c>
      <c r="B27" s="232" t="s">
        <v>136</v>
      </c>
      <c r="C27" s="226" t="s">
        <v>108</v>
      </c>
      <c r="D27" s="211" t="s">
        <v>128</v>
      </c>
      <c r="E27" s="213">
        <v>43374</v>
      </c>
      <c r="F27" s="214" t="s">
        <v>127</v>
      </c>
      <c r="G27" s="215">
        <v>15</v>
      </c>
      <c r="H27" s="216">
        <f>I27/G27</f>
        <v>455.1</v>
      </c>
      <c r="I27" s="217">
        <v>6826.5</v>
      </c>
      <c r="J27" s="218">
        <v>0</v>
      </c>
      <c r="K27" s="219">
        <f>SUM(I27:J27)</f>
        <v>6826.5</v>
      </c>
      <c r="L27" s="240">
        <f>IF(I27/15&lt;=SMG,0,J27/2)</f>
        <v>0</v>
      </c>
      <c r="M27" s="259">
        <f>(I27+L27)/G27*30.4</f>
        <v>13835.04</v>
      </c>
      <c r="N27" s="259">
        <f>VLOOKUP(M27,Tarifa,1)</f>
        <v>12935.83</v>
      </c>
      <c r="O27" s="240">
        <f>M27-N27</f>
        <v>899.21000000000095</v>
      </c>
      <c r="P27" s="241">
        <f>VLOOKUP(M27,Tarifa,3)</f>
        <v>0.1792</v>
      </c>
      <c r="Q27" s="240">
        <f>O27*P27</f>
        <v>161.13843200000017</v>
      </c>
      <c r="R27" s="242">
        <f>VLOOKUP(M27,Tarifa,2)</f>
        <v>1182.8800000000001</v>
      </c>
      <c r="S27" s="240">
        <f>Q27+R27</f>
        <v>1344.0184320000003</v>
      </c>
      <c r="T27" s="240">
        <f>VLOOKUP(M27,Credito,2)</f>
        <v>0</v>
      </c>
      <c r="U27" s="240">
        <f>ROUND((S27-T27)/30.4*G27,2)</f>
        <v>663.17</v>
      </c>
      <c r="V27" s="219">
        <f>-IF(U27&gt;0,0,0)</f>
        <v>0</v>
      </c>
      <c r="W27" s="219">
        <f>IF(I27/15&lt;=SMG,0,IF(U27&lt;0,0,U27))</f>
        <v>663.17</v>
      </c>
      <c r="X27" s="220">
        <v>0</v>
      </c>
      <c r="Y27" s="219">
        <f>SUM(W27:X27)</f>
        <v>663.17</v>
      </c>
      <c r="Z27" s="219">
        <f>K27+V27-Y27</f>
        <v>6163.33</v>
      </c>
      <c r="AA27" s="276"/>
      <c r="AG27" s="288"/>
    </row>
    <row r="28" spans="1:33" s="4" customFormat="1" ht="27.75" customHeight="1" x14ac:dyDescent="0.25">
      <c r="A28" s="130"/>
      <c r="B28" s="130"/>
      <c r="C28" s="130"/>
      <c r="D28" s="130"/>
      <c r="E28" s="130"/>
      <c r="F28" s="130"/>
      <c r="G28" s="130"/>
      <c r="H28" s="130"/>
      <c r="I28" s="136"/>
      <c r="J28" s="136"/>
      <c r="K28" s="136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</row>
    <row r="29" spans="1:33" s="4" customFormat="1" ht="39.75" customHeight="1" thickBot="1" x14ac:dyDescent="0.35">
      <c r="A29" s="348" t="s">
        <v>44</v>
      </c>
      <c r="B29" s="349"/>
      <c r="C29" s="349"/>
      <c r="D29" s="349"/>
      <c r="E29" s="349"/>
      <c r="F29" s="349"/>
      <c r="G29" s="349"/>
      <c r="H29" s="350"/>
      <c r="I29" s="182">
        <f>I8+I21+I23+I26</f>
        <v>90171.510000000009</v>
      </c>
      <c r="J29" s="182">
        <f>J8+J21+J23+J26</f>
        <v>0</v>
      </c>
      <c r="K29" s="182">
        <f>K8+K21+K23+K26</f>
        <v>90171.510000000009</v>
      </c>
      <c r="L29" s="183">
        <f t="shared" ref="L29:U29" si="62">SUM(L9:L28)</f>
        <v>0</v>
      </c>
      <c r="M29" s="183">
        <f t="shared" si="62"/>
        <v>182747.59359999999</v>
      </c>
      <c r="N29" s="183">
        <f t="shared" si="62"/>
        <v>144667.81</v>
      </c>
      <c r="O29" s="183">
        <f t="shared" si="62"/>
        <v>38079.783599999981</v>
      </c>
      <c r="P29" s="183">
        <f t="shared" si="62"/>
        <v>2.2103999999999995</v>
      </c>
      <c r="Q29" s="183">
        <f t="shared" si="62"/>
        <v>4432.59084245333</v>
      </c>
      <c r="R29" s="183">
        <f t="shared" si="62"/>
        <v>11216.18</v>
      </c>
      <c r="S29" s="183">
        <f t="shared" si="62"/>
        <v>15648.77084245333</v>
      </c>
      <c r="T29" s="183">
        <f t="shared" si="62"/>
        <v>1900</v>
      </c>
      <c r="U29" s="183">
        <f t="shared" si="62"/>
        <v>6783.98</v>
      </c>
      <c r="V29" s="182">
        <f>V8+V21+V23+V26</f>
        <v>0</v>
      </c>
      <c r="W29" s="182">
        <f>W8+W21+W23+W26</f>
        <v>6729.39</v>
      </c>
      <c r="X29" s="182">
        <f>X8+X21+X23+X26</f>
        <v>342.66</v>
      </c>
      <c r="Y29" s="182">
        <f>Y8+Y21+Y23+Y26</f>
        <v>7072.0499999999993</v>
      </c>
      <c r="Z29" s="182">
        <f>Z8+Z21+Z23+Z26</f>
        <v>83099.460000000006</v>
      </c>
    </row>
    <row r="30" spans="1:33" s="4" customFormat="1" ht="18" customHeight="1" thickTop="1" x14ac:dyDescent="0.25">
      <c r="A30" s="124"/>
      <c r="B30" s="124"/>
      <c r="C30" s="124"/>
      <c r="D30" s="124"/>
      <c r="E30" s="124"/>
      <c r="F30" s="124"/>
      <c r="G30" s="124"/>
      <c r="H30" s="124"/>
      <c r="I30" s="125"/>
      <c r="J30" s="125"/>
      <c r="K30" s="125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5"/>
      <c r="W30" s="125"/>
      <c r="X30" s="125"/>
      <c r="Y30" s="125"/>
      <c r="Z30" s="125"/>
    </row>
    <row r="31" spans="1:33" s="4" customFormat="1" ht="18" customHeight="1" x14ac:dyDescent="0.25">
      <c r="A31" s="124"/>
      <c r="B31" s="124"/>
      <c r="C31" s="124"/>
      <c r="D31" s="124"/>
      <c r="E31" s="124"/>
      <c r="F31" s="124"/>
      <c r="G31" s="124"/>
      <c r="H31" s="124"/>
      <c r="I31" s="125"/>
      <c r="J31" s="125"/>
      <c r="K31" s="125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5"/>
      <c r="W31" s="125"/>
      <c r="X31" s="125"/>
      <c r="Y31" s="125"/>
      <c r="Z31" s="125"/>
    </row>
    <row r="32" spans="1:33" s="4" customFormat="1" x14ac:dyDescent="0.2"/>
  </sheetData>
  <mergeCells count="7">
    <mergeCell ref="A29:H29"/>
    <mergeCell ref="A1:AA1"/>
    <mergeCell ref="A2:AA2"/>
    <mergeCell ref="A3:AA3"/>
    <mergeCell ref="I5:K5"/>
    <mergeCell ref="N5:S5"/>
    <mergeCell ref="W5:Y5"/>
  </mergeCells>
  <pageMargins left="0.27559055118110237" right="0.19685039370078741" top="0.74803149606299213" bottom="0.35433070866141736" header="0.31496062992125984" footer="0.31496062992125984"/>
  <pageSetup scale="42" orientation="landscape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46"/>
  <sheetViews>
    <sheetView topLeftCell="B1" zoomScale="55" zoomScaleNormal="55" workbookViewId="0">
      <selection activeCell="K9" sqref="K9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17.42578125" customWidth="1"/>
    <col min="6" max="6" width="23.85546875" customWidth="1"/>
    <col min="7" max="7" width="7.42578125" hidden="1" customWidth="1"/>
    <col min="8" max="8" width="17" hidden="1" customWidth="1"/>
    <col min="9" max="9" width="18.7109375" customWidth="1"/>
    <col min="10" max="10" width="16.85546875" customWidth="1"/>
    <col min="11" max="11" width="19.85546875" customWidth="1"/>
    <col min="12" max="12" width="13.140625" hidden="1" customWidth="1"/>
    <col min="13" max="13" width="14.7109375" hidden="1" customWidth="1"/>
    <col min="14" max="14" width="15.5703125" hidden="1" customWidth="1"/>
    <col min="15" max="15" width="14.5703125" hidden="1" customWidth="1"/>
    <col min="16" max="17" width="13.140625" hidden="1" customWidth="1"/>
    <col min="18" max="18" width="10.5703125" hidden="1" customWidth="1"/>
    <col min="19" max="19" width="10.42578125" hidden="1" customWidth="1"/>
    <col min="20" max="20" width="13.140625" hidden="1" customWidth="1"/>
    <col min="21" max="21" width="14.85546875" hidden="1" customWidth="1"/>
    <col min="22" max="22" width="12.5703125" customWidth="1"/>
    <col min="23" max="23" width="16.7109375" customWidth="1"/>
    <col min="24" max="24" width="16.85546875" customWidth="1"/>
    <col min="25" max="25" width="18.42578125" customWidth="1"/>
    <col min="26" max="26" width="19" customWidth="1"/>
    <col min="27" max="27" width="65.28515625" customWidth="1"/>
  </cols>
  <sheetData>
    <row r="1" spans="1:31" ht="19.5" x14ac:dyDescent="0.25">
      <c r="A1" s="351" t="s">
        <v>77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</row>
    <row r="2" spans="1:31" ht="19.5" x14ac:dyDescent="0.25">
      <c r="A2" s="351" t="s">
        <v>64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</row>
    <row r="3" spans="1:31" ht="19.5" x14ac:dyDescent="0.25">
      <c r="A3" s="352" t="str">
        <f>PRESIDENCIA!A3</f>
        <v>SUELDO  DEL 16 AL 30 DE JUNIO DE 2025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31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31" s="50" customFormat="1" ht="21" customHeight="1" x14ac:dyDescent="0.25">
      <c r="A5" s="46"/>
      <c r="B5" s="46"/>
      <c r="C5" s="385" t="s">
        <v>114</v>
      </c>
      <c r="D5" s="46"/>
      <c r="E5" s="46"/>
      <c r="F5" s="46"/>
      <c r="G5" s="47" t="s">
        <v>22</v>
      </c>
      <c r="H5" s="47" t="s">
        <v>5</v>
      </c>
      <c r="I5" s="353" t="s">
        <v>1</v>
      </c>
      <c r="J5" s="354"/>
      <c r="K5" s="355"/>
      <c r="L5" s="110" t="s">
        <v>25</v>
      </c>
      <c r="M5" s="111"/>
      <c r="N5" s="356" t="s">
        <v>8</v>
      </c>
      <c r="O5" s="357"/>
      <c r="P5" s="357"/>
      <c r="Q5" s="357"/>
      <c r="R5" s="357"/>
      <c r="S5" s="358"/>
      <c r="T5" s="110" t="s">
        <v>29</v>
      </c>
      <c r="U5" s="110" t="s">
        <v>9</v>
      </c>
      <c r="V5" s="109" t="s">
        <v>52</v>
      </c>
      <c r="W5" s="359" t="s">
        <v>2</v>
      </c>
      <c r="X5" s="360"/>
      <c r="Y5" s="361"/>
      <c r="Z5" s="109" t="s">
        <v>0</v>
      </c>
      <c r="AA5" s="46"/>
    </row>
    <row r="6" spans="1:31" s="50" customFormat="1" ht="31.5" x14ac:dyDescent="0.25">
      <c r="A6" s="51" t="s">
        <v>20</v>
      </c>
      <c r="B6" s="112" t="s">
        <v>96</v>
      </c>
      <c r="C6" s="386"/>
      <c r="D6" s="113" t="s">
        <v>21</v>
      </c>
      <c r="E6" s="51"/>
      <c r="F6" s="51"/>
      <c r="G6" s="52" t="s">
        <v>23</v>
      </c>
      <c r="H6" s="51" t="s">
        <v>24</v>
      </c>
      <c r="I6" s="109" t="s">
        <v>5</v>
      </c>
      <c r="J6" s="109" t="s">
        <v>58</v>
      </c>
      <c r="K6" s="109" t="s">
        <v>27</v>
      </c>
      <c r="L6" s="114" t="s">
        <v>26</v>
      </c>
      <c r="M6" s="111" t="s">
        <v>31</v>
      </c>
      <c r="N6" s="111" t="s">
        <v>11</v>
      </c>
      <c r="O6" s="111" t="s">
        <v>33</v>
      </c>
      <c r="P6" s="111" t="s">
        <v>35</v>
      </c>
      <c r="Q6" s="111" t="s">
        <v>36</v>
      </c>
      <c r="R6" s="107" t="s">
        <v>13</v>
      </c>
      <c r="S6" s="111" t="s">
        <v>9</v>
      </c>
      <c r="T6" s="114" t="s">
        <v>39</v>
      </c>
      <c r="U6" s="114" t="s">
        <v>40</v>
      </c>
      <c r="V6" s="113" t="s">
        <v>30</v>
      </c>
      <c r="W6" s="109" t="s">
        <v>191</v>
      </c>
      <c r="X6" s="109" t="s">
        <v>56</v>
      </c>
      <c r="Y6" s="109" t="s">
        <v>6</v>
      </c>
      <c r="Z6" s="113" t="s">
        <v>3</v>
      </c>
      <c r="AA6" s="113" t="s">
        <v>57</v>
      </c>
    </row>
    <row r="7" spans="1:31" s="50" customFormat="1" ht="15.75" x14ac:dyDescent="0.25">
      <c r="A7" s="51"/>
      <c r="B7" s="51"/>
      <c r="C7" s="387"/>
      <c r="D7" s="51"/>
      <c r="E7" s="51"/>
      <c r="F7" s="51"/>
      <c r="G7" s="51"/>
      <c r="H7" s="51"/>
      <c r="I7" s="113" t="s">
        <v>46</v>
      </c>
      <c r="J7" s="113" t="s">
        <v>59</v>
      </c>
      <c r="K7" s="113" t="s">
        <v>28</v>
      </c>
      <c r="L7" s="114" t="s">
        <v>42</v>
      </c>
      <c r="M7" s="110" t="s">
        <v>32</v>
      </c>
      <c r="N7" s="110" t="s">
        <v>12</v>
      </c>
      <c r="O7" s="110" t="s">
        <v>34</v>
      </c>
      <c r="P7" s="110" t="s">
        <v>34</v>
      </c>
      <c r="Q7" s="110" t="s">
        <v>37</v>
      </c>
      <c r="R7" s="169" t="s">
        <v>14</v>
      </c>
      <c r="S7" s="110" t="s">
        <v>38</v>
      </c>
      <c r="T7" s="114" t="s">
        <v>18</v>
      </c>
      <c r="U7" s="118" t="s">
        <v>166</v>
      </c>
      <c r="V7" s="113" t="s">
        <v>51</v>
      </c>
      <c r="W7" s="113"/>
      <c r="X7" s="113"/>
      <c r="Y7" s="113" t="s">
        <v>43</v>
      </c>
      <c r="Z7" s="113" t="s">
        <v>4</v>
      </c>
      <c r="AA7" s="55"/>
    </row>
    <row r="8" spans="1:31" s="50" customFormat="1" ht="64.5" customHeight="1" x14ac:dyDescent="0.3">
      <c r="A8" s="36"/>
      <c r="B8" s="138" t="s">
        <v>96</v>
      </c>
      <c r="C8" s="138" t="s">
        <v>114</v>
      </c>
      <c r="D8" s="185" t="s">
        <v>131</v>
      </c>
      <c r="E8" s="185" t="s">
        <v>195</v>
      </c>
      <c r="F8" s="186" t="s">
        <v>61</v>
      </c>
      <c r="G8" s="186"/>
      <c r="H8" s="186"/>
      <c r="I8" s="187">
        <f>SUM(I9:I10)</f>
        <v>13165</v>
      </c>
      <c r="J8" s="187">
        <f>SUM(J9:J10)</f>
        <v>0</v>
      </c>
      <c r="K8" s="187">
        <f>SUM(K9:K10)</f>
        <v>13165</v>
      </c>
      <c r="L8" s="187">
        <f t="shared" ref="L8:U8" si="0">SUM(L9:L10)</f>
        <v>0</v>
      </c>
      <c r="M8" s="187">
        <f t="shared" si="0"/>
        <v>26681.066666666666</v>
      </c>
      <c r="N8" s="187">
        <f t="shared" si="0"/>
        <v>21819.78</v>
      </c>
      <c r="O8" s="187">
        <f t="shared" si="0"/>
        <v>4861.286666666666</v>
      </c>
      <c r="P8" s="187">
        <f t="shared" si="0"/>
        <v>0.32240000000000002</v>
      </c>
      <c r="Q8" s="187">
        <f t="shared" si="0"/>
        <v>547.60570666666661</v>
      </c>
      <c r="R8" s="187">
        <f t="shared" si="0"/>
        <v>2012.01</v>
      </c>
      <c r="S8" s="187">
        <f t="shared" si="0"/>
        <v>2559.6157066666665</v>
      </c>
      <c r="T8" s="187">
        <f t="shared" si="0"/>
        <v>0</v>
      </c>
      <c r="U8" s="187">
        <f t="shared" si="0"/>
        <v>1262.97</v>
      </c>
      <c r="V8" s="187">
        <f>SUM(V9:V10)</f>
        <v>0</v>
      </c>
      <c r="W8" s="187">
        <f>SUM(W9:W10)</f>
        <v>1262.97</v>
      </c>
      <c r="X8" s="187">
        <f>SUM(X9:X10)</f>
        <v>0</v>
      </c>
      <c r="Y8" s="187">
        <f>SUM(Y9:Y10)</f>
        <v>1262.97</v>
      </c>
      <c r="Z8" s="187">
        <f>SUM(Z9:Z10)</f>
        <v>11902.029999999999</v>
      </c>
      <c r="AA8" s="91"/>
    </row>
    <row r="9" spans="1:31" s="245" customFormat="1" ht="231" customHeight="1" x14ac:dyDescent="0.2">
      <c r="A9" s="289"/>
      <c r="B9" s="290">
        <v>377</v>
      </c>
      <c r="C9" s="291" t="s">
        <v>108</v>
      </c>
      <c r="D9" s="292" t="s">
        <v>260</v>
      </c>
      <c r="E9" s="294">
        <v>45566</v>
      </c>
      <c r="F9" s="295" t="s">
        <v>223</v>
      </c>
      <c r="G9" s="215">
        <v>15</v>
      </c>
      <c r="H9" s="216">
        <f>I9/G9</f>
        <v>515.33333333333337</v>
      </c>
      <c r="I9" s="217">
        <v>7730</v>
      </c>
      <c r="J9" s="218">
        <v>0</v>
      </c>
      <c r="K9" s="219">
        <f>SUM(I9:J9)</f>
        <v>7730</v>
      </c>
      <c r="L9" s="240">
        <f>IF(I9/15&lt;=SMG,0,J9/2)</f>
        <v>0</v>
      </c>
      <c r="M9" s="259">
        <f>(I9+L9)/G9*30.4</f>
        <v>15666.133333333333</v>
      </c>
      <c r="N9" s="259">
        <f>VLOOKUP(M9,Tarifa,1)</f>
        <v>15487.72</v>
      </c>
      <c r="O9" s="240">
        <f>M9-N9</f>
        <v>178.41333333333387</v>
      </c>
      <c r="P9" s="241">
        <f>VLOOKUP(M9,Tarifa,3)</f>
        <v>0.21360000000000001</v>
      </c>
      <c r="Q9" s="240">
        <f>O9*P9</f>
        <v>38.109088000000114</v>
      </c>
      <c r="R9" s="242">
        <f>VLOOKUP(M9,Tarifa,2)</f>
        <v>1640.18</v>
      </c>
      <c r="S9" s="240">
        <f>Q9+R9</f>
        <v>1678.2890880000002</v>
      </c>
      <c r="T9" s="240">
        <f>VLOOKUP(M9,Credito,2)</f>
        <v>0</v>
      </c>
      <c r="U9" s="240">
        <f>ROUND((S9-T9)/30.4*G9,2)</f>
        <v>828.1</v>
      </c>
      <c r="V9" s="219">
        <f>-IF(U9&gt;0,0,0)</f>
        <v>0</v>
      </c>
      <c r="W9" s="219">
        <f>IF(I9/15&lt;=SMG,0,IF(U9&lt;0,0,U9))</f>
        <v>828.1</v>
      </c>
      <c r="X9" s="220">
        <v>0</v>
      </c>
      <c r="Y9" s="219">
        <f>SUM(W9:X9)</f>
        <v>828.1</v>
      </c>
      <c r="Z9" s="219">
        <f>K9+V9-Y9</f>
        <v>6901.9</v>
      </c>
      <c r="AA9" s="296"/>
    </row>
    <row r="10" spans="1:31" s="245" customFormat="1" ht="231" customHeight="1" x14ac:dyDescent="0.2">
      <c r="A10" s="289"/>
      <c r="B10" s="232" t="s">
        <v>262</v>
      </c>
      <c r="C10" s="226" t="s">
        <v>108</v>
      </c>
      <c r="D10" s="207" t="s">
        <v>261</v>
      </c>
      <c r="E10" s="213">
        <v>45566</v>
      </c>
      <c r="F10" s="214" t="s">
        <v>187</v>
      </c>
      <c r="G10" s="215">
        <v>15</v>
      </c>
      <c r="H10" s="216">
        <f>I10/G10</f>
        <v>362.33333333333331</v>
      </c>
      <c r="I10" s="217">
        <v>5435</v>
      </c>
      <c r="J10" s="218">
        <v>0</v>
      </c>
      <c r="K10" s="219">
        <f>SUM(I10:J10)</f>
        <v>5435</v>
      </c>
      <c r="L10" s="240">
        <f>IF(I10/15&lt;=SMG,0,J10/2)</f>
        <v>0</v>
      </c>
      <c r="M10" s="259">
        <f>(I10+L10)/G10*30.4</f>
        <v>11014.933333333332</v>
      </c>
      <c r="N10" s="259">
        <f>VLOOKUP(M10,Tarifa,1)</f>
        <v>6332.06</v>
      </c>
      <c r="O10" s="240">
        <f>M10-N10</f>
        <v>4682.8733333333321</v>
      </c>
      <c r="P10" s="241">
        <f>VLOOKUP(M10,Tarifa,3)</f>
        <v>0.10879999999999999</v>
      </c>
      <c r="Q10" s="240">
        <f>O10*P10</f>
        <v>509.49661866666651</v>
      </c>
      <c r="R10" s="242">
        <f>VLOOKUP(M10,Tarifa,2)</f>
        <v>371.83</v>
      </c>
      <c r="S10" s="240">
        <f>Q10+R10</f>
        <v>881.32661866666649</v>
      </c>
      <c r="T10" s="240">
        <f>VLOOKUP(M10,Credito,2)</f>
        <v>0</v>
      </c>
      <c r="U10" s="240">
        <f>ROUND((S10-T10)/30.4*G10,2)</f>
        <v>434.87</v>
      </c>
      <c r="V10" s="219">
        <f>-IF(U10&gt;0,0,0)</f>
        <v>0</v>
      </c>
      <c r="W10" s="219">
        <f>IF(I10/15&lt;=SMG,0,IF(U10&lt;0,0,U10))</f>
        <v>434.87</v>
      </c>
      <c r="X10" s="220">
        <v>0</v>
      </c>
      <c r="Y10" s="219">
        <f>SUM(W10:X10)</f>
        <v>434.87</v>
      </c>
      <c r="Z10" s="219">
        <f>K10+V10-Y10</f>
        <v>5000.13</v>
      </c>
      <c r="AA10" s="296"/>
    </row>
    <row r="11" spans="1:31" s="50" customFormat="1" ht="53.25" customHeight="1" x14ac:dyDescent="0.3">
      <c r="A11" s="44"/>
      <c r="B11" s="138" t="s">
        <v>96</v>
      </c>
      <c r="C11" s="138" t="s">
        <v>114</v>
      </c>
      <c r="D11" s="186" t="s">
        <v>116</v>
      </c>
      <c r="E11" s="185" t="s">
        <v>195</v>
      </c>
      <c r="F11" s="186" t="s">
        <v>61</v>
      </c>
      <c r="G11" s="186"/>
      <c r="H11" s="186"/>
      <c r="I11" s="187">
        <f>SUM(I12:I13)</f>
        <v>11850</v>
      </c>
      <c r="J11" s="187">
        <f>SUM(J12:J13)</f>
        <v>0</v>
      </c>
      <c r="K11" s="187">
        <f>SUM(K12:K13)</f>
        <v>11850</v>
      </c>
      <c r="L11" s="186"/>
      <c r="M11" s="186"/>
      <c r="N11" s="186"/>
      <c r="O11" s="186"/>
      <c r="P11" s="186"/>
      <c r="Q11" s="186"/>
      <c r="R11" s="188"/>
      <c r="S11" s="186"/>
      <c r="T11" s="186"/>
      <c r="U11" s="186"/>
      <c r="V11" s="187">
        <f>SUM(V12:V13)</f>
        <v>0</v>
      </c>
      <c r="W11" s="187">
        <f>SUM(W12:W13)</f>
        <v>828.1</v>
      </c>
      <c r="X11" s="187">
        <f>SUM(X12:X13)</f>
        <v>0</v>
      </c>
      <c r="Y11" s="187">
        <f>SUM(Y12:Y13)</f>
        <v>828.1</v>
      </c>
      <c r="Z11" s="187">
        <f>SUM(Z12:Z13)</f>
        <v>11021.9</v>
      </c>
      <c r="AA11" s="91"/>
      <c r="AE11" s="58"/>
    </row>
    <row r="12" spans="1:31" s="245" customFormat="1" ht="231" customHeight="1" x14ac:dyDescent="0.2">
      <c r="A12" s="297" t="s">
        <v>86</v>
      </c>
      <c r="B12" s="226" t="s">
        <v>106</v>
      </c>
      <c r="C12" s="226" t="s">
        <v>108</v>
      </c>
      <c r="D12" s="207" t="s">
        <v>91</v>
      </c>
      <c r="E12" s="144">
        <v>42278</v>
      </c>
      <c r="F12" s="229" t="s">
        <v>92</v>
      </c>
      <c r="G12" s="215">
        <v>15</v>
      </c>
      <c r="H12" s="216">
        <f>I12/G12</f>
        <v>515.33333333333337</v>
      </c>
      <c r="I12" s="217">
        <v>7730</v>
      </c>
      <c r="J12" s="218">
        <v>0</v>
      </c>
      <c r="K12" s="219">
        <f>SUM(I12:J12)</f>
        <v>7730</v>
      </c>
      <c r="L12" s="240">
        <f>IF(I12/15&lt;=SMG,0,J12/2)</f>
        <v>0</v>
      </c>
      <c r="M12" s="259">
        <f>(I12+L12)/G12*30.4</f>
        <v>15666.133333333333</v>
      </c>
      <c r="N12" s="259">
        <f>VLOOKUP(M12,Tarifa,1)</f>
        <v>15487.72</v>
      </c>
      <c r="O12" s="240">
        <f>M12-N12</f>
        <v>178.41333333333387</v>
      </c>
      <c r="P12" s="241">
        <f>VLOOKUP(M12,Tarifa,3)</f>
        <v>0.21360000000000001</v>
      </c>
      <c r="Q12" s="240">
        <f>O12*P12</f>
        <v>38.109088000000114</v>
      </c>
      <c r="R12" s="242">
        <f>VLOOKUP(M12,Tarifa,2)</f>
        <v>1640.18</v>
      </c>
      <c r="S12" s="240">
        <f>Q12+R12</f>
        <v>1678.2890880000002</v>
      </c>
      <c r="T12" s="240">
        <f>VLOOKUP(M12,Credito,2)</f>
        <v>0</v>
      </c>
      <c r="U12" s="240">
        <f>ROUND((S12-T12)/30.4*G12,2)</f>
        <v>828.1</v>
      </c>
      <c r="V12" s="219">
        <f>-IF(U12&gt;0,0,0)</f>
        <v>0</v>
      </c>
      <c r="W12" s="219">
        <f>IF(I12/15&lt;=SMG,0,IF(U12&lt;0,0,U12))</f>
        <v>828.1</v>
      </c>
      <c r="X12" s="220">
        <v>0</v>
      </c>
      <c r="Y12" s="219">
        <f>SUM(W12:X12)</f>
        <v>828.1</v>
      </c>
      <c r="Z12" s="219">
        <f>K12+V12-Y12</f>
        <v>6901.9</v>
      </c>
      <c r="AA12" s="231"/>
      <c r="AE12" s="298"/>
    </row>
    <row r="13" spans="1:31" s="245" customFormat="1" ht="231" customHeight="1" x14ac:dyDescent="0.2">
      <c r="A13" s="297"/>
      <c r="B13" s="226" t="s">
        <v>310</v>
      </c>
      <c r="C13" s="226" t="s">
        <v>108</v>
      </c>
      <c r="D13" s="207" t="s">
        <v>309</v>
      </c>
      <c r="E13" s="144">
        <v>45459</v>
      </c>
      <c r="F13" s="229" t="s">
        <v>245</v>
      </c>
      <c r="G13" s="215">
        <v>15</v>
      </c>
      <c r="H13" s="216">
        <f>I13/G13</f>
        <v>274.66666666666669</v>
      </c>
      <c r="I13" s="217">
        <v>4120</v>
      </c>
      <c r="J13" s="218">
        <v>0</v>
      </c>
      <c r="K13" s="219">
        <f>SUM(I13:J13)</f>
        <v>4120</v>
      </c>
      <c r="L13" s="240">
        <f>IF(I13/15&lt;=SMG,0,J13/2)</f>
        <v>0</v>
      </c>
      <c r="M13" s="259">
        <f>(I13+L13)/G13*30.4</f>
        <v>8349.8666666666668</v>
      </c>
      <c r="N13" s="259">
        <f>VLOOKUP(M13,Tarifa,1)</f>
        <v>6332.06</v>
      </c>
      <c r="O13" s="240">
        <f>M13-N13</f>
        <v>2017.8066666666664</v>
      </c>
      <c r="P13" s="241">
        <f>VLOOKUP(M13,Tarifa,3)</f>
        <v>0.10879999999999999</v>
      </c>
      <c r="Q13" s="240">
        <f>O13*P13</f>
        <v>219.5373653333333</v>
      </c>
      <c r="R13" s="242">
        <f>VLOOKUP(M13,Tarifa,2)</f>
        <v>371.83</v>
      </c>
      <c r="S13" s="240">
        <f>Q13+R13</f>
        <v>591.36736533333328</v>
      </c>
      <c r="T13" s="240">
        <f>VLOOKUP(M13,Credito,2)</f>
        <v>475</v>
      </c>
      <c r="U13" s="240">
        <f>ROUND((S13-T13)/30.4*G13,2)</f>
        <v>57.42</v>
      </c>
      <c r="V13" s="219">
        <f>-IF(U13&gt;0,0,0)</f>
        <v>0</v>
      </c>
      <c r="W13" s="219">
        <f>IF(I13/15&lt;=SMG,0,IF(U13&lt;0,0,U13))</f>
        <v>0</v>
      </c>
      <c r="X13" s="220">
        <v>0</v>
      </c>
      <c r="Y13" s="219">
        <f>SUM(W13:X13)</f>
        <v>0</v>
      </c>
      <c r="Z13" s="219">
        <f>K13+V13-Y13</f>
        <v>4120</v>
      </c>
      <c r="AA13" s="231"/>
      <c r="AE13" s="299"/>
    </row>
    <row r="14" spans="1:31" s="50" customFormat="1" ht="57.75" customHeight="1" x14ac:dyDescent="0.3">
      <c r="A14" s="140"/>
      <c r="B14" s="138" t="s">
        <v>96</v>
      </c>
      <c r="C14" s="138" t="s">
        <v>114</v>
      </c>
      <c r="D14" s="186" t="s">
        <v>190</v>
      </c>
      <c r="E14" s="185" t="s">
        <v>195</v>
      </c>
      <c r="F14" s="186" t="s">
        <v>61</v>
      </c>
      <c r="G14" s="186"/>
      <c r="H14" s="186"/>
      <c r="I14" s="187">
        <f>SUM(I16:I17)</f>
        <v>8142.5</v>
      </c>
      <c r="J14" s="187">
        <f>SUM(J16:J17)</f>
        <v>0</v>
      </c>
      <c r="K14" s="187">
        <f>SUM(K16:K17)</f>
        <v>8142.5</v>
      </c>
      <c r="L14" s="187">
        <f t="shared" ref="L14:U14" si="1">SUM(L16)</f>
        <v>0</v>
      </c>
      <c r="M14" s="187">
        <f t="shared" si="1"/>
        <v>7749.9733333333334</v>
      </c>
      <c r="N14" s="187">
        <f t="shared" si="1"/>
        <v>6332.06</v>
      </c>
      <c r="O14" s="187">
        <f t="shared" si="1"/>
        <v>1417.913333333333</v>
      </c>
      <c r="P14" s="187">
        <f t="shared" si="1"/>
        <v>0.10879999999999999</v>
      </c>
      <c r="Q14" s="187">
        <f t="shared" si="1"/>
        <v>154.2689706666666</v>
      </c>
      <c r="R14" s="187">
        <f t="shared" si="1"/>
        <v>371.83</v>
      </c>
      <c r="S14" s="187">
        <f t="shared" si="1"/>
        <v>526.09897066666656</v>
      </c>
      <c r="T14" s="187">
        <f t="shared" si="1"/>
        <v>475</v>
      </c>
      <c r="U14" s="187">
        <f t="shared" si="1"/>
        <v>25.21</v>
      </c>
      <c r="V14" s="187">
        <f>SUM(V16:V17)</f>
        <v>0</v>
      </c>
      <c r="W14" s="187">
        <f>SUM(W16:W17)</f>
        <v>79.010000000000005</v>
      </c>
      <c r="X14" s="187">
        <f>SUM(X16:X17)</f>
        <v>0</v>
      </c>
      <c r="Y14" s="187">
        <f>SUM(Y16:Y17)</f>
        <v>79.010000000000005</v>
      </c>
      <c r="Z14" s="187">
        <f>SUM(Z16:Z17)</f>
        <v>8063.49</v>
      </c>
      <c r="AA14" s="91"/>
      <c r="AE14" s="63"/>
    </row>
    <row r="15" spans="1:31" s="50" customFormat="1" ht="126" customHeight="1" x14ac:dyDescent="0.2">
      <c r="A15" s="140"/>
      <c r="B15" s="226" t="s">
        <v>373</v>
      </c>
      <c r="C15" s="226" t="s">
        <v>108</v>
      </c>
      <c r="D15" s="207" t="s">
        <v>372</v>
      </c>
      <c r="E15" s="144">
        <v>45778</v>
      </c>
      <c r="F15" s="229" t="s">
        <v>371</v>
      </c>
      <c r="G15" s="215">
        <v>15</v>
      </c>
      <c r="H15" s="216">
        <f>I15/G15</f>
        <v>820.3606666666667</v>
      </c>
      <c r="I15" s="217">
        <v>12305.41</v>
      </c>
      <c r="J15" s="218">
        <v>0</v>
      </c>
      <c r="K15" s="219">
        <f>SUM(I15:J15)</f>
        <v>12305.41</v>
      </c>
      <c r="L15" s="240">
        <f t="shared" ref="L15" si="2">IF(I15/15&lt;=SMG,0,J15/2)</f>
        <v>0</v>
      </c>
      <c r="M15" s="259">
        <f t="shared" ref="M15" si="3">(I15+L15)/G15*30.4</f>
        <v>24938.964266666666</v>
      </c>
      <c r="N15" s="259">
        <f t="shared" ref="N15" si="4">VLOOKUP(M15,Tarifa,1)</f>
        <v>15487.72</v>
      </c>
      <c r="O15" s="240">
        <f t="shared" ref="O15" si="5">M15-N15</f>
        <v>9451.2442666666666</v>
      </c>
      <c r="P15" s="241">
        <f t="shared" ref="P15" si="6">VLOOKUP(M15,Tarifa,3)</f>
        <v>0.21360000000000001</v>
      </c>
      <c r="Q15" s="240">
        <f t="shared" ref="Q15" si="7">O15*P15</f>
        <v>2018.7857753600001</v>
      </c>
      <c r="R15" s="242">
        <f t="shared" ref="R15" si="8">VLOOKUP(M15,Tarifa,2)</f>
        <v>1640.18</v>
      </c>
      <c r="S15" s="240">
        <f t="shared" ref="S15" si="9">Q15+R15</f>
        <v>3658.9657753600004</v>
      </c>
      <c r="T15" s="240">
        <f t="shared" ref="T15" si="10">VLOOKUP(M15,Credito,2)</f>
        <v>0</v>
      </c>
      <c r="U15" s="240">
        <f t="shared" ref="U15" si="11">ROUND((S15-T15)/30.4*G15,2)</f>
        <v>1805.41</v>
      </c>
      <c r="V15" s="219">
        <f>-IF(U15&gt;0,0,0)</f>
        <v>0</v>
      </c>
      <c r="W15" s="219">
        <f t="shared" ref="W15" si="12">IF(I15/15&lt;=SMG,0,IF(U15&lt;0,0,U15))</f>
        <v>1805.41</v>
      </c>
      <c r="X15" s="220">
        <v>0</v>
      </c>
      <c r="Y15" s="219">
        <f t="shared" ref="Y15" si="13">SUM(W15:X15)</f>
        <v>1805.41</v>
      </c>
      <c r="Z15" s="219">
        <f t="shared" ref="Z15" si="14">K15+V15-Y15</f>
        <v>10500</v>
      </c>
      <c r="AA15" s="334"/>
      <c r="AE15" s="63"/>
    </row>
    <row r="16" spans="1:31" s="245" customFormat="1" ht="234.75" customHeight="1" x14ac:dyDescent="0.2">
      <c r="A16" s="300"/>
      <c r="B16" s="232" t="s">
        <v>216</v>
      </c>
      <c r="C16" s="226" t="s">
        <v>108</v>
      </c>
      <c r="D16" s="211" t="s">
        <v>217</v>
      </c>
      <c r="E16" s="213">
        <v>45154</v>
      </c>
      <c r="F16" s="214" t="s">
        <v>218</v>
      </c>
      <c r="G16" s="215">
        <v>15</v>
      </c>
      <c r="H16" s="216">
        <f>I16/G16</f>
        <v>254.93333333333334</v>
      </c>
      <c r="I16" s="217">
        <v>3824</v>
      </c>
      <c r="J16" s="218">
        <v>0</v>
      </c>
      <c r="K16" s="219">
        <f t="shared" ref="K16" si="15">SUM(I16:J16)</f>
        <v>3824</v>
      </c>
      <c r="L16" s="240">
        <f>IF(I16/15&lt;=SMG,0,J16/2)</f>
        <v>0</v>
      </c>
      <c r="M16" s="259">
        <f>(I16+L16)/G16*30.4</f>
        <v>7749.9733333333334</v>
      </c>
      <c r="N16" s="259">
        <f>VLOOKUP(M16,Tarifa,1)</f>
        <v>6332.06</v>
      </c>
      <c r="O16" s="240">
        <f>M16-N16</f>
        <v>1417.913333333333</v>
      </c>
      <c r="P16" s="241">
        <f>VLOOKUP(M16,Tarifa,3)</f>
        <v>0.10879999999999999</v>
      </c>
      <c r="Q16" s="240">
        <f>O16*P16</f>
        <v>154.2689706666666</v>
      </c>
      <c r="R16" s="242">
        <f>VLOOKUP(M16,Tarifa,2)</f>
        <v>371.83</v>
      </c>
      <c r="S16" s="240">
        <f>Q16+R16</f>
        <v>526.09897066666656</v>
      </c>
      <c r="T16" s="240">
        <f>VLOOKUP(M16,Credito,2)</f>
        <v>475</v>
      </c>
      <c r="U16" s="240">
        <f>ROUND((S16-T16)/30.4*G16,2)</f>
        <v>25.21</v>
      </c>
      <c r="V16" s="219">
        <f>-IF(U16&gt;0,0,0)</f>
        <v>0</v>
      </c>
      <c r="W16" s="219">
        <f t="shared" ref="W16" si="16">IF(I16/15&lt;=SMG,0,IF(U16&lt;0,0,U16))</f>
        <v>0</v>
      </c>
      <c r="X16" s="220">
        <v>0</v>
      </c>
      <c r="Y16" s="219">
        <f t="shared" ref="Y16" si="17">SUM(W16:X16)</f>
        <v>0</v>
      </c>
      <c r="Z16" s="219">
        <f t="shared" ref="Z16" si="18">K16+V16-Y16</f>
        <v>3824</v>
      </c>
      <c r="AA16" s="231"/>
      <c r="AE16" s="298"/>
    </row>
    <row r="17" spans="1:31" s="245" customFormat="1" ht="230.25" customHeight="1" x14ac:dyDescent="0.2">
      <c r="A17" s="300"/>
      <c r="B17" s="232" t="s">
        <v>258</v>
      </c>
      <c r="C17" s="226" t="s">
        <v>108</v>
      </c>
      <c r="D17" s="233" t="s">
        <v>312</v>
      </c>
      <c r="E17" s="274">
        <v>45612</v>
      </c>
      <c r="F17" s="214" t="s">
        <v>259</v>
      </c>
      <c r="G17" s="215">
        <v>15</v>
      </c>
      <c r="H17" s="216">
        <f>I17/G17</f>
        <v>287.89999999999998</v>
      </c>
      <c r="I17" s="217">
        <v>4318.5</v>
      </c>
      <c r="J17" s="218">
        <v>0</v>
      </c>
      <c r="K17" s="219">
        <f t="shared" ref="K17" si="19">SUM(I17:J17)</f>
        <v>4318.5</v>
      </c>
      <c r="L17" s="240">
        <f>IF(I17/15&lt;=SMG,0,J17/2)</f>
        <v>0</v>
      </c>
      <c r="M17" s="259">
        <f>(I17+L17)/G17*30.4</f>
        <v>8752.159999999998</v>
      </c>
      <c r="N17" s="259">
        <f>VLOOKUP(M17,Tarifa,1)</f>
        <v>6332.06</v>
      </c>
      <c r="O17" s="240">
        <f>M17-N17</f>
        <v>2420.0999999999976</v>
      </c>
      <c r="P17" s="241">
        <f>VLOOKUP(M17,Tarifa,3)</f>
        <v>0.10879999999999999</v>
      </c>
      <c r="Q17" s="240">
        <f>O17*P17</f>
        <v>263.30687999999975</v>
      </c>
      <c r="R17" s="242">
        <f>VLOOKUP(M17,Tarifa,2)</f>
        <v>371.83</v>
      </c>
      <c r="S17" s="240">
        <f>Q17+R17</f>
        <v>635.13687999999979</v>
      </c>
      <c r="T17" s="240">
        <f>VLOOKUP(M17,Credito,2)</f>
        <v>475</v>
      </c>
      <c r="U17" s="240">
        <f>ROUND((S17-T17)/30.4*G17,2)</f>
        <v>79.010000000000005</v>
      </c>
      <c r="V17" s="219">
        <f>-IF(U17&gt;0,0,0)</f>
        <v>0</v>
      </c>
      <c r="W17" s="219">
        <f t="shared" ref="W17" si="20">IF(I17/15&lt;=SMG,0,IF(U17&lt;0,0,U17))</f>
        <v>79.010000000000005</v>
      </c>
      <c r="X17" s="220">
        <v>0</v>
      </c>
      <c r="Y17" s="219">
        <f t="shared" ref="Y17" si="21">SUM(W17:X17)</f>
        <v>79.010000000000005</v>
      </c>
      <c r="Z17" s="219">
        <f t="shared" ref="Z17" si="22">K17+V17-Y17</f>
        <v>4239.49</v>
      </c>
      <c r="AA17" s="231"/>
      <c r="AE17" s="298"/>
    </row>
    <row r="18" spans="1:31" s="50" customFormat="1" ht="60.75" customHeight="1" x14ac:dyDescent="0.3">
      <c r="A18" s="140"/>
      <c r="B18" s="138" t="s">
        <v>96</v>
      </c>
      <c r="C18" s="138" t="s">
        <v>114</v>
      </c>
      <c r="D18" s="186" t="s">
        <v>205</v>
      </c>
      <c r="E18" s="185" t="s">
        <v>195</v>
      </c>
      <c r="F18" s="186" t="s">
        <v>61</v>
      </c>
      <c r="G18" s="186"/>
      <c r="H18" s="186"/>
      <c r="I18" s="187">
        <f>SUM(I19:I20)</f>
        <v>13133.5</v>
      </c>
      <c r="J18" s="187">
        <f>SUM(J19:J20)</f>
        <v>0</v>
      </c>
      <c r="K18" s="187">
        <f>SUM(K19:K20)</f>
        <v>13133.5</v>
      </c>
      <c r="L18" s="187" t="e">
        <f>#REF!+L19+L20</f>
        <v>#REF!</v>
      </c>
      <c r="M18" s="187" t="e">
        <f>#REF!+M19+M20</f>
        <v>#REF!</v>
      </c>
      <c r="N18" s="187" t="e">
        <f>#REF!+N19+N20</f>
        <v>#REF!</v>
      </c>
      <c r="O18" s="187" t="e">
        <f>#REF!+O19+O20</f>
        <v>#REF!</v>
      </c>
      <c r="P18" s="187" t="e">
        <f>#REF!+P19+P20</f>
        <v>#REF!</v>
      </c>
      <c r="Q18" s="187" t="e">
        <f>#REF!+Q19+Q20</f>
        <v>#REF!</v>
      </c>
      <c r="R18" s="187" t="e">
        <f>#REF!+R19+R20</f>
        <v>#REF!</v>
      </c>
      <c r="S18" s="187" t="e">
        <f>#REF!+S19+S20</f>
        <v>#REF!</v>
      </c>
      <c r="T18" s="187" t="e">
        <f>#REF!+T19+T20</f>
        <v>#REF!</v>
      </c>
      <c r="U18" s="187" t="e">
        <f>#REF!+U19+U20</f>
        <v>#REF!</v>
      </c>
      <c r="V18" s="187">
        <f>SUM(V19:V20)</f>
        <v>0</v>
      </c>
      <c r="W18" s="187">
        <f>SUM(W19:W20)</f>
        <v>1100.98</v>
      </c>
      <c r="X18" s="187">
        <f>SUM(X19:X20)</f>
        <v>0</v>
      </c>
      <c r="Y18" s="187">
        <f>SUM(Y19:Y20)</f>
        <v>1100.98</v>
      </c>
      <c r="Z18" s="187">
        <f>SUM(Z19:Z20)</f>
        <v>12032.52</v>
      </c>
      <c r="AA18" s="91"/>
      <c r="AE18" s="63"/>
    </row>
    <row r="19" spans="1:31" s="245" customFormat="1" ht="230.25" customHeight="1" x14ac:dyDescent="0.2">
      <c r="A19" s="300"/>
      <c r="B19" s="232" t="s">
        <v>213</v>
      </c>
      <c r="C19" s="226" t="s">
        <v>108</v>
      </c>
      <c r="D19" s="233" t="s">
        <v>206</v>
      </c>
      <c r="E19" s="274">
        <v>45108</v>
      </c>
      <c r="F19" s="214" t="s">
        <v>207</v>
      </c>
      <c r="G19" s="215">
        <v>15</v>
      </c>
      <c r="H19" s="216">
        <f>I19/G19</f>
        <v>600.5</v>
      </c>
      <c r="I19" s="217">
        <v>9007.5</v>
      </c>
      <c r="J19" s="218">
        <v>0</v>
      </c>
      <c r="K19" s="219">
        <f t="shared" ref="K19" si="23">SUM(I19:J19)</f>
        <v>9007.5</v>
      </c>
      <c r="L19" s="240">
        <f>IF(I19/15&lt;=SMG,0,J19/2)</f>
        <v>0</v>
      </c>
      <c r="M19" s="259">
        <f>(I19+L19)/G19*30.4</f>
        <v>18255.2</v>
      </c>
      <c r="N19" s="259">
        <f>VLOOKUP(M19,Tarifa,1)</f>
        <v>15487.72</v>
      </c>
      <c r="O19" s="240">
        <f>M19-N19</f>
        <v>2767.4800000000014</v>
      </c>
      <c r="P19" s="241">
        <f>VLOOKUP(M19,Tarifa,3)</f>
        <v>0.21360000000000001</v>
      </c>
      <c r="Q19" s="240">
        <f>O19*P19</f>
        <v>591.13372800000036</v>
      </c>
      <c r="R19" s="242">
        <f>VLOOKUP(M19,Tarifa,2)</f>
        <v>1640.18</v>
      </c>
      <c r="S19" s="240">
        <f>Q19+R19</f>
        <v>2231.3137280000005</v>
      </c>
      <c r="T19" s="240">
        <f>VLOOKUP(M19,Credito,2)</f>
        <v>0</v>
      </c>
      <c r="U19" s="240">
        <f>ROUND((S19-T19)/30.4*G19,2)</f>
        <v>1100.98</v>
      </c>
      <c r="V19" s="219">
        <f>-IF(U19&gt;0,0,0)</f>
        <v>0</v>
      </c>
      <c r="W19" s="219">
        <f t="shared" ref="W19" si="24">IF(I19/15&lt;=SMG,0,IF(U19&lt;0,0,U19))</f>
        <v>1100.98</v>
      </c>
      <c r="X19" s="220">
        <v>0</v>
      </c>
      <c r="Y19" s="219">
        <f t="shared" ref="Y19" si="25">SUM(W19:X19)</f>
        <v>1100.98</v>
      </c>
      <c r="Z19" s="219">
        <f t="shared" ref="Z19" si="26">K19+V19-Y19</f>
        <v>7906.52</v>
      </c>
      <c r="AA19" s="231"/>
      <c r="AE19" s="298"/>
    </row>
    <row r="20" spans="1:31" s="245" customFormat="1" ht="230.25" customHeight="1" x14ac:dyDescent="0.2">
      <c r="A20" s="300"/>
      <c r="B20" s="232" t="s">
        <v>219</v>
      </c>
      <c r="C20" s="226" t="s">
        <v>108</v>
      </c>
      <c r="D20" s="233" t="s">
        <v>221</v>
      </c>
      <c r="E20" s="274">
        <v>45200</v>
      </c>
      <c r="F20" s="214" t="s">
        <v>222</v>
      </c>
      <c r="G20" s="215">
        <v>15</v>
      </c>
      <c r="H20" s="216">
        <f>I20/G20</f>
        <v>275.06666666666666</v>
      </c>
      <c r="I20" s="217">
        <v>4126</v>
      </c>
      <c r="J20" s="218">
        <v>0</v>
      </c>
      <c r="K20" s="219">
        <f>SUM(I20:J20)</f>
        <v>4126</v>
      </c>
      <c r="L20" s="240">
        <f>IF(I20/15&lt;=SMG,0,J20/2)</f>
        <v>0</v>
      </c>
      <c r="M20" s="259">
        <f>(I20+L20)/G20*30.4</f>
        <v>8362.0266666666666</v>
      </c>
      <c r="N20" s="259">
        <f>VLOOKUP(M20,Tarifa,1)</f>
        <v>6332.06</v>
      </c>
      <c r="O20" s="240">
        <f>M20-N20</f>
        <v>2029.9666666666662</v>
      </c>
      <c r="P20" s="241">
        <f>VLOOKUP(M20,Tarifa,3)</f>
        <v>0.10879999999999999</v>
      </c>
      <c r="Q20" s="240">
        <f>O20*P20</f>
        <v>220.86037333333329</v>
      </c>
      <c r="R20" s="242">
        <f>VLOOKUP(M20,Tarifa,2)</f>
        <v>371.83</v>
      </c>
      <c r="S20" s="240">
        <f>Q20+R20</f>
        <v>592.69037333333324</v>
      </c>
      <c r="T20" s="240">
        <f>VLOOKUP(M20,Credito,2)</f>
        <v>475</v>
      </c>
      <c r="U20" s="240">
        <f>ROUND((S20-T20)/30.4*G20,2)</f>
        <v>58.07</v>
      </c>
      <c r="V20" s="219">
        <f>-IF(U20&gt;0,0,0)</f>
        <v>0</v>
      </c>
      <c r="W20" s="219">
        <f>IF(I20/15&lt;=SMG,0,IF(U20&lt;0,0,U20))</f>
        <v>0</v>
      </c>
      <c r="X20" s="220">
        <v>0</v>
      </c>
      <c r="Y20" s="219">
        <f>SUM(W20:X20)</f>
        <v>0</v>
      </c>
      <c r="Z20" s="219">
        <f>K20+V20-Y20</f>
        <v>4126</v>
      </c>
      <c r="AA20" s="231"/>
      <c r="AE20" s="298"/>
    </row>
    <row r="21" spans="1:31" s="50" customFormat="1" ht="47.25" customHeight="1" x14ac:dyDescent="0.25">
      <c r="A21" s="140"/>
      <c r="B21" s="181" t="s">
        <v>96</v>
      </c>
      <c r="C21" s="181" t="s">
        <v>114</v>
      </c>
      <c r="D21" s="181" t="s">
        <v>271</v>
      </c>
      <c r="E21" s="181" t="s">
        <v>195</v>
      </c>
      <c r="F21" s="201" t="s">
        <v>61</v>
      </c>
      <c r="G21" s="201"/>
      <c r="H21" s="201"/>
      <c r="I21" s="202">
        <f>SUM(I22)</f>
        <v>6207.5</v>
      </c>
      <c r="J21" s="202">
        <f>SUM(J22)</f>
        <v>0</v>
      </c>
      <c r="K21" s="202">
        <f>SUM(K22)</f>
        <v>6207.5</v>
      </c>
      <c r="L21" s="201"/>
      <c r="M21" s="201"/>
      <c r="N21" s="201"/>
      <c r="O21" s="201"/>
      <c r="P21" s="201"/>
      <c r="Q21" s="201"/>
      <c r="R21" s="203"/>
      <c r="S21" s="201"/>
      <c r="T21" s="201"/>
      <c r="U21" s="201"/>
      <c r="V21" s="202">
        <f>SUM(V22)</f>
        <v>0</v>
      </c>
      <c r="W21" s="202">
        <f>SUM(W22)</f>
        <v>555.61</v>
      </c>
      <c r="X21" s="202">
        <f>SUM(X22)</f>
        <v>0</v>
      </c>
      <c r="Y21" s="202">
        <f>SUM(Y22)</f>
        <v>555.61</v>
      </c>
      <c r="Z21" s="202">
        <f>SUM(Z22)</f>
        <v>5651.89</v>
      </c>
      <c r="AA21" s="164"/>
      <c r="AE21" s="63"/>
    </row>
    <row r="22" spans="1:31" s="245" customFormat="1" ht="230.25" customHeight="1" x14ac:dyDescent="0.2">
      <c r="A22" s="300"/>
      <c r="B22" s="232" t="s">
        <v>272</v>
      </c>
      <c r="C22" s="226" t="s">
        <v>108</v>
      </c>
      <c r="D22" s="211" t="s">
        <v>273</v>
      </c>
      <c r="E22" s="213">
        <v>45566</v>
      </c>
      <c r="F22" s="214" t="s">
        <v>274</v>
      </c>
      <c r="G22" s="215">
        <v>15</v>
      </c>
      <c r="H22" s="216">
        <f>I22/G22</f>
        <v>413.83333333333331</v>
      </c>
      <c r="I22" s="217">
        <v>6207.5</v>
      </c>
      <c r="J22" s="218">
        <v>0</v>
      </c>
      <c r="K22" s="219">
        <f>SUM(I22:J22)</f>
        <v>6207.5</v>
      </c>
      <c r="L22" s="240">
        <f>IF(I22/15&lt;=SMG,0,J22/2)</f>
        <v>0</v>
      </c>
      <c r="M22" s="259">
        <f>(I22+L22)/G22*30.4</f>
        <v>12580.533333333333</v>
      </c>
      <c r="N22" s="259">
        <f>VLOOKUP(M22,Tarifa,1)</f>
        <v>11128.02</v>
      </c>
      <c r="O22" s="240">
        <f>M22-N22</f>
        <v>1452.5133333333324</v>
      </c>
      <c r="P22" s="241">
        <f>VLOOKUP(M22,Tarifa,3)</f>
        <v>0.16</v>
      </c>
      <c r="Q22" s="240">
        <f>O22*P22</f>
        <v>232.40213333333318</v>
      </c>
      <c r="R22" s="242">
        <f>VLOOKUP(M22,Tarifa,2)</f>
        <v>893.63</v>
      </c>
      <c r="S22" s="240">
        <f>Q22+R22</f>
        <v>1126.0321333333331</v>
      </c>
      <c r="T22" s="240">
        <f>VLOOKUP(M22,Credito,2)</f>
        <v>0</v>
      </c>
      <c r="U22" s="240">
        <f>ROUND((S22-T22)/30.4*G22,2)</f>
        <v>555.61</v>
      </c>
      <c r="V22" s="219">
        <f>-IF(U22&gt;0,0,0)</f>
        <v>0</v>
      </c>
      <c r="W22" s="219">
        <f>IF(I22/15&lt;=SMG,0,IF(U22&lt;0,0,U22))</f>
        <v>555.61</v>
      </c>
      <c r="X22" s="220">
        <v>0</v>
      </c>
      <c r="Y22" s="219">
        <f>SUM(W22:X22)</f>
        <v>555.61</v>
      </c>
      <c r="Z22" s="219">
        <f>K22+V22-Y22</f>
        <v>5651.89</v>
      </c>
      <c r="AA22" s="221"/>
      <c r="AE22" s="298"/>
    </row>
    <row r="23" spans="1:31" s="245" customFormat="1" ht="118.5" customHeight="1" x14ac:dyDescent="0.3">
      <c r="A23" s="300"/>
      <c r="B23" s="181" t="s">
        <v>96</v>
      </c>
      <c r="C23" s="181" t="s">
        <v>114</v>
      </c>
      <c r="D23" s="189" t="s">
        <v>117</v>
      </c>
      <c r="E23" s="189" t="s">
        <v>195</v>
      </c>
      <c r="F23" s="190" t="s">
        <v>61</v>
      </c>
      <c r="G23" s="190"/>
      <c r="H23" s="190"/>
      <c r="I23" s="191">
        <f>SUM(I24)</f>
        <v>7730</v>
      </c>
      <c r="J23" s="191">
        <f>SUM(J24)</f>
        <v>0</v>
      </c>
      <c r="K23" s="191">
        <f>SUM(K24)</f>
        <v>7730</v>
      </c>
      <c r="L23" s="190"/>
      <c r="M23" s="190"/>
      <c r="N23" s="190"/>
      <c r="O23" s="190"/>
      <c r="P23" s="190"/>
      <c r="Q23" s="190"/>
      <c r="R23" s="192"/>
      <c r="S23" s="190"/>
      <c r="T23" s="190"/>
      <c r="U23" s="190"/>
      <c r="V23" s="191">
        <f>SUM(V24)</f>
        <v>0</v>
      </c>
      <c r="W23" s="191">
        <f>SUM(W24)</f>
        <v>828.1</v>
      </c>
      <c r="X23" s="191">
        <f>SUM(X24)</f>
        <v>0</v>
      </c>
      <c r="Y23" s="191">
        <f>SUM(Y24)</f>
        <v>828.1</v>
      </c>
      <c r="Z23" s="191">
        <f>SUM(Z24)</f>
        <v>6901.9</v>
      </c>
      <c r="AA23" s="164"/>
      <c r="AE23" s="298"/>
    </row>
    <row r="24" spans="1:31" s="245" customFormat="1" ht="234" customHeight="1" x14ac:dyDescent="0.2">
      <c r="A24" s="300"/>
      <c r="B24" s="232" t="s">
        <v>267</v>
      </c>
      <c r="C24" s="226" t="s">
        <v>108</v>
      </c>
      <c r="D24" s="211" t="s">
        <v>266</v>
      </c>
      <c r="E24" s="213">
        <v>45566</v>
      </c>
      <c r="F24" s="214" t="s">
        <v>95</v>
      </c>
      <c r="G24" s="215">
        <v>15</v>
      </c>
      <c r="H24" s="216">
        <f>I24/G24</f>
        <v>515.33333333333337</v>
      </c>
      <c r="I24" s="217">
        <v>7730</v>
      </c>
      <c r="J24" s="218">
        <v>0</v>
      </c>
      <c r="K24" s="219">
        <f>SUM(I24:J24)</f>
        <v>7730</v>
      </c>
      <c r="L24" s="240">
        <f>IF(I24/15&lt;=SMG,0,J24/2)</f>
        <v>0</v>
      </c>
      <c r="M24" s="259">
        <f>(I24+L24)/G24*30.4</f>
        <v>15666.133333333333</v>
      </c>
      <c r="N24" s="259">
        <f>VLOOKUP(M24,Tarifa,1)</f>
        <v>15487.72</v>
      </c>
      <c r="O24" s="240">
        <f>M24-N24</f>
        <v>178.41333333333387</v>
      </c>
      <c r="P24" s="241">
        <f>VLOOKUP(M24,Tarifa,3)</f>
        <v>0.21360000000000001</v>
      </c>
      <c r="Q24" s="240">
        <f>O24*P24</f>
        <v>38.109088000000114</v>
      </c>
      <c r="R24" s="242">
        <f>VLOOKUP(M24,Tarifa,2)</f>
        <v>1640.18</v>
      </c>
      <c r="S24" s="240">
        <f>Q24+R24</f>
        <v>1678.2890880000002</v>
      </c>
      <c r="T24" s="240">
        <f>VLOOKUP(M24,Credito,2)</f>
        <v>0</v>
      </c>
      <c r="U24" s="240">
        <f>ROUND((S24-T24)/30.4*G24,2)</f>
        <v>828.1</v>
      </c>
      <c r="V24" s="219">
        <f>-IF(U24&gt;0,0,0)</f>
        <v>0</v>
      </c>
      <c r="W24" s="219">
        <f>IF(I24/15&lt;=SMG,0,IF(U24&lt;0,0,U24))</f>
        <v>828.1</v>
      </c>
      <c r="X24" s="220">
        <v>0</v>
      </c>
      <c r="Y24" s="219">
        <f>SUM(W24:X24)</f>
        <v>828.1</v>
      </c>
      <c r="Z24" s="219">
        <f>K24+V24-Y24</f>
        <v>6901.9</v>
      </c>
      <c r="AA24" s="221"/>
      <c r="AE24" s="298"/>
    </row>
    <row r="25" spans="1:31" s="102" customFormat="1" ht="57.75" customHeight="1" x14ac:dyDescent="0.3">
      <c r="A25" s="145"/>
      <c r="B25" s="138" t="s">
        <v>96</v>
      </c>
      <c r="C25" s="138" t="s">
        <v>114</v>
      </c>
      <c r="D25" s="186" t="s">
        <v>130</v>
      </c>
      <c r="E25" s="185" t="s">
        <v>195</v>
      </c>
      <c r="F25" s="186" t="s">
        <v>61</v>
      </c>
      <c r="G25" s="186"/>
      <c r="H25" s="186"/>
      <c r="I25" s="187">
        <f>SUM(I26:I35)</f>
        <v>75367.81</v>
      </c>
      <c r="J25" s="187">
        <f>SUM(J26:J35)</f>
        <v>0</v>
      </c>
      <c r="K25" s="187">
        <f>SUM(K26:K35)</f>
        <v>75367.81</v>
      </c>
      <c r="L25" s="186"/>
      <c r="M25" s="186"/>
      <c r="N25" s="186"/>
      <c r="O25" s="186"/>
      <c r="P25" s="186"/>
      <c r="Q25" s="186"/>
      <c r="R25" s="188"/>
      <c r="S25" s="186"/>
      <c r="T25" s="186"/>
      <c r="U25" s="186"/>
      <c r="V25" s="187">
        <f>SUM(V26:V35)</f>
        <v>0</v>
      </c>
      <c r="W25" s="187">
        <f>SUM(W26:W35)</f>
        <v>7965.91</v>
      </c>
      <c r="X25" s="187">
        <f>SUM(X26:X35)</f>
        <v>0</v>
      </c>
      <c r="Y25" s="187">
        <f>SUM(Y26:Y35)</f>
        <v>7965.91</v>
      </c>
      <c r="Z25" s="187">
        <f>SUM(Z26:Z35)</f>
        <v>67401.899999999994</v>
      </c>
      <c r="AA25" s="166"/>
    </row>
    <row r="26" spans="1:31" s="301" customFormat="1" ht="230.25" customHeight="1" x14ac:dyDescent="0.2">
      <c r="A26" s="302"/>
      <c r="B26" s="232" t="s">
        <v>137</v>
      </c>
      <c r="C26" s="226" t="s">
        <v>108</v>
      </c>
      <c r="D26" s="211" t="s">
        <v>132</v>
      </c>
      <c r="E26" s="274">
        <v>43101</v>
      </c>
      <c r="F26" s="214" t="s">
        <v>265</v>
      </c>
      <c r="G26" s="215">
        <v>15</v>
      </c>
      <c r="H26" s="216">
        <f>I26/G26</f>
        <v>566.03733333333332</v>
      </c>
      <c r="I26" s="237">
        <v>8490.56</v>
      </c>
      <c r="J26" s="238">
        <v>0</v>
      </c>
      <c r="K26" s="239">
        <f t="shared" ref="K26" si="27">SUM(I26:J26)</f>
        <v>8490.56</v>
      </c>
      <c r="L26" s="240">
        <f>IF(I26/15&lt;=SMG,0,J26/2)</f>
        <v>0</v>
      </c>
      <c r="M26" s="259">
        <f>(I26+L26)/G26*30.4</f>
        <v>17207.534933333332</v>
      </c>
      <c r="N26" s="259">
        <f>VLOOKUP(M26,Tarifa,1)</f>
        <v>15487.72</v>
      </c>
      <c r="O26" s="240">
        <f>M26-N26</f>
        <v>1719.8149333333331</v>
      </c>
      <c r="P26" s="241">
        <f>VLOOKUP(M26,Tarifa,3)</f>
        <v>0.21360000000000001</v>
      </c>
      <c r="Q26" s="240">
        <f>O26*P26</f>
        <v>367.35246975999996</v>
      </c>
      <c r="R26" s="242">
        <f>VLOOKUP(M26,Tarifa,2)</f>
        <v>1640.18</v>
      </c>
      <c r="S26" s="240">
        <f>Q26+R26</f>
        <v>2007.5324697599999</v>
      </c>
      <c r="T26" s="240">
        <f>VLOOKUP(M26,Credito,2)</f>
        <v>0</v>
      </c>
      <c r="U26" s="240">
        <f>ROUND((S26-T26)/30.4*G26,2)</f>
        <v>990.56</v>
      </c>
      <c r="V26" s="239">
        <f>-IF(U26&gt;0,0,0)</f>
        <v>0</v>
      </c>
      <c r="W26" s="239">
        <f t="shared" ref="W26" si="28">IF(I26/15&lt;=SMG,0,IF(U26&lt;0,0,U26))</f>
        <v>990.56</v>
      </c>
      <c r="X26" s="243">
        <v>0</v>
      </c>
      <c r="Y26" s="239">
        <f t="shared" ref="Y26" si="29">SUM(W26:X26)</f>
        <v>990.56</v>
      </c>
      <c r="Z26" s="239">
        <f t="shared" ref="Z26" si="30">K26+V26-Y26</f>
        <v>7500</v>
      </c>
      <c r="AA26" s="303"/>
    </row>
    <row r="27" spans="1:31" s="301" customFormat="1" ht="230.25" customHeight="1" x14ac:dyDescent="0.2">
      <c r="A27" s="302"/>
      <c r="B27" s="232" t="s">
        <v>269</v>
      </c>
      <c r="C27" s="226" t="s">
        <v>108</v>
      </c>
      <c r="D27" s="211" t="s">
        <v>268</v>
      </c>
      <c r="E27" s="274">
        <v>45292</v>
      </c>
      <c r="F27" s="214" t="s">
        <v>133</v>
      </c>
      <c r="G27" s="215">
        <v>15</v>
      </c>
      <c r="H27" s="216">
        <f>I27/G27</f>
        <v>515.33333333333337</v>
      </c>
      <c r="I27" s="217">
        <v>7730</v>
      </c>
      <c r="J27" s="218">
        <v>0</v>
      </c>
      <c r="K27" s="219">
        <f>SUM(I27:J27)</f>
        <v>7730</v>
      </c>
      <c r="L27" s="240">
        <f>IF(I27/15&lt;=SMG,0,J27/2)</f>
        <v>0</v>
      </c>
      <c r="M27" s="259">
        <f>(I27+L27)/G27*30.4</f>
        <v>15666.133333333333</v>
      </c>
      <c r="N27" s="259">
        <f>VLOOKUP(M27,Tarifa,1)</f>
        <v>15487.72</v>
      </c>
      <c r="O27" s="240">
        <f>M27-N27</f>
        <v>178.41333333333387</v>
      </c>
      <c r="P27" s="241">
        <f>VLOOKUP(M27,Tarifa,3)</f>
        <v>0.21360000000000001</v>
      </c>
      <c r="Q27" s="240">
        <f>O27*P27</f>
        <v>38.109088000000114</v>
      </c>
      <c r="R27" s="242">
        <f>VLOOKUP(M27,Tarifa,2)</f>
        <v>1640.18</v>
      </c>
      <c r="S27" s="240">
        <f>Q27+R27</f>
        <v>1678.2890880000002</v>
      </c>
      <c r="T27" s="240">
        <f>VLOOKUP(M27,Credito,2)</f>
        <v>0</v>
      </c>
      <c r="U27" s="240">
        <f>ROUND((S27-T27)/30.4*G27,2)</f>
        <v>828.1</v>
      </c>
      <c r="V27" s="219">
        <f>-IF(U27&gt;0,0,0)</f>
        <v>0</v>
      </c>
      <c r="W27" s="219">
        <f>IF(I27/15&lt;=SMG,0,IF(U27&lt;0,0,U27))</f>
        <v>828.1</v>
      </c>
      <c r="X27" s="220">
        <v>0</v>
      </c>
      <c r="Y27" s="219">
        <f>SUM(W27:X27)</f>
        <v>828.1</v>
      </c>
      <c r="Z27" s="219">
        <f>K27+V27-Y27</f>
        <v>6901.9</v>
      </c>
      <c r="AA27" s="303"/>
    </row>
    <row r="28" spans="1:31" s="301" customFormat="1" ht="230.25" customHeight="1" x14ac:dyDescent="0.2">
      <c r="A28" s="302"/>
      <c r="B28" s="232" t="s">
        <v>351</v>
      </c>
      <c r="C28" s="226" t="s">
        <v>108</v>
      </c>
      <c r="D28" s="211" t="s">
        <v>353</v>
      </c>
      <c r="E28" s="274">
        <v>45732</v>
      </c>
      <c r="F28" s="229" t="s">
        <v>356</v>
      </c>
      <c r="G28" s="230">
        <v>15</v>
      </c>
      <c r="H28" s="262">
        <f>ROUND(I28/G28,2)</f>
        <v>566.04</v>
      </c>
      <c r="I28" s="237">
        <v>8490.56</v>
      </c>
      <c r="J28" s="238">
        <v>0</v>
      </c>
      <c r="K28" s="239">
        <f t="shared" ref="K28" si="31">SUM(I28:J28)</f>
        <v>8490.56</v>
      </c>
      <c r="L28" s="240">
        <f>IF(I28/15&lt;=SMG,0,J28/2)</f>
        <v>0</v>
      </c>
      <c r="M28" s="259">
        <f>(I28+L28)/G28*30.4</f>
        <v>17207.534933333332</v>
      </c>
      <c r="N28" s="259">
        <f>VLOOKUP(M28,Tarifa,1)</f>
        <v>15487.72</v>
      </c>
      <c r="O28" s="240">
        <f>M28-N28</f>
        <v>1719.8149333333331</v>
      </c>
      <c r="P28" s="241">
        <f>VLOOKUP(M28,Tarifa,3)</f>
        <v>0.21360000000000001</v>
      </c>
      <c r="Q28" s="240">
        <f>O28*P28</f>
        <v>367.35246975999996</v>
      </c>
      <c r="R28" s="242">
        <f>VLOOKUP(M28,Tarifa,2)</f>
        <v>1640.18</v>
      </c>
      <c r="S28" s="240">
        <f>Q28+R28</f>
        <v>2007.5324697599999</v>
      </c>
      <c r="T28" s="240">
        <f>VLOOKUP(M28,Credito,2)</f>
        <v>0</v>
      </c>
      <c r="U28" s="240">
        <f>ROUND((S28-T28)/30.4*G28,2)</f>
        <v>990.56</v>
      </c>
      <c r="V28" s="239">
        <f>-IF(U28&gt;0,0,0)</f>
        <v>0</v>
      </c>
      <c r="W28" s="239">
        <f t="shared" ref="W28" si="32">IF(I28/15&lt;=SMG,0,IF(U28&lt;0,0,U28))</f>
        <v>990.56</v>
      </c>
      <c r="X28" s="243">
        <v>0</v>
      </c>
      <c r="Y28" s="239">
        <f t="shared" ref="Y28" si="33">SUM(W28:X28)</f>
        <v>990.56</v>
      </c>
      <c r="Z28" s="239">
        <f t="shared" ref="Z28" si="34">K28+V28-Y28</f>
        <v>7500</v>
      </c>
      <c r="AA28" s="303"/>
    </row>
    <row r="29" spans="1:31" s="301" customFormat="1" ht="230.25" customHeight="1" x14ac:dyDescent="0.2">
      <c r="A29" s="302"/>
      <c r="B29" s="232" t="s">
        <v>352</v>
      </c>
      <c r="C29" s="226" t="s">
        <v>108</v>
      </c>
      <c r="D29" s="211" t="s">
        <v>354</v>
      </c>
      <c r="E29" s="274">
        <v>45732</v>
      </c>
      <c r="F29" s="229" t="s">
        <v>356</v>
      </c>
      <c r="G29" s="215">
        <v>15</v>
      </c>
      <c r="H29" s="216">
        <f>I29/G29</f>
        <v>482.44466666666665</v>
      </c>
      <c r="I29" s="217">
        <v>7236.67</v>
      </c>
      <c r="J29" s="218">
        <v>0</v>
      </c>
      <c r="K29" s="219">
        <f>SUM(I29:J29)</f>
        <v>7236.67</v>
      </c>
      <c r="L29" s="240">
        <f>IF(I29/15&lt;=SMG,0,J29/2)</f>
        <v>0</v>
      </c>
      <c r="M29" s="259">
        <f>(I29+L29)/G29*30.4</f>
        <v>14666.317866666666</v>
      </c>
      <c r="N29" s="259">
        <f>VLOOKUP(M29,Tarifa,1)</f>
        <v>12935.83</v>
      </c>
      <c r="O29" s="240">
        <f>M29-N29</f>
        <v>1730.4878666666664</v>
      </c>
      <c r="P29" s="241">
        <f>VLOOKUP(M29,Tarifa,3)</f>
        <v>0.1792</v>
      </c>
      <c r="Q29" s="240">
        <f>O29*P29</f>
        <v>310.1034257066666</v>
      </c>
      <c r="R29" s="242">
        <f>VLOOKUP(M29,Tarifa,2)</f>
        <v>1182.8800000000001</v>
      </c>
      <c r="S29" s="240">
        <f>Q29+R29</f>
        <v>1492.9834257066668</v>
      </c>
      <c r="T29" s="240">
        <f>VLOOKUP(M29,Credito,2)</f>
        <v>0</v>
      </c>
      <c r="U29" s="240">
        <f>ROUND((S29-T29)/30.4*G29,2)</f>
        <v>736.67</v>
      </c>
      <c r="V29" s="219">
        <f>-IF(U29&gt;0,0,0)</f>
        <v>0</v>
      </c>
      <c r="W29" s="219">
        <f>IF(I29/15&lt;=SMG,0,IF(U29&lt;0,0,U29))</f>
        <v>736.67</v>
      </c>
      <c r="X29" s="220">
        <v>0</v>
      </c>
      <c r="Y29" s="219">
        <f>SUM(W29:X29)</f>
        <v>736.67</v>
      </c>
      <c r="Z29" s="219">
        <f>K29+V29-Y29</f>
        <v>6500</v>
      </c>
      <c r="AA29" s="303"/>
    </row>
    <row r="30" spans="1:31" s="301" customFormat="1" ht="230.25" customHeight="1" x14ac:dyDescent="0.2">
      <c r="A30" s="333"/>
      <c r="B30" s="232" t="s">
        <v>359</v>
      </c>
      <c r="C30" s="226" t="s">
        <v>299</v>
      </c>
      <c r="D30" s="211" t="s">
        <v>360</v>
      </c>
      <c r="E30" s="274">
        <v>45732</v>
      </c>
      <c r="F30" s="229" t="s">
        <v>356</v>
      </c>
      <c r="G30" s="215">
        <v>15</v>
      </c>
      <c r="H30" s="216">
        <f t="shared" ref="H30" si="35">I30/G30</f>
        <v>482.44466666666665</v>
      </c>
      <c r="I30" s="217">
        <v>7236.67</v>
      </c>
      <c r="J30" s="218">
        <v>0</v>
      </c>
      <c r="K30" s="219">
        <f t="shared" ref="K30" si="36">SUM(I30:J30)</f>
        <v>7236.67</v>
      </c>
      <c r="L30" s="240">
        <f t="shared" ref="L30" si="37">IF(I30/15&lt;=SMG,0,J30/2)</f>
        <v>0</v>
      </c>
      <c r="M30" s="259">
        <f t="shared" ref="M30" si="38">(I30+L30)/G30*30.4</f>
        <v>14666.317866666666</v>
      </c>
      <c r="N30" s="259">
        <f t="shared" ref="N30" si="39">VLOOKUP(M30,Tarifa,1)</f>
        <v>12935.83</v>
      </c>
      <c r="O30" s="240">
        <f t="shared" ref="O30" si="40">M30-N30</f>
        <v>1730.4878666666664</v>
      </c>
      <c r="P30" s="241">
        <f t="shared" ref="P30" si="41">VLOOKUP(M30,Tarifa,3)</f>
        <v>0.1792</v>
      </c>
      <c r="Q30" s="240">
        <f t="shared" ref="Q30" si="42">O30*P30</f>
        <v>310.1034257066666</v>
      </c>
      <c r="R30" s="242">
        <f t="shared" ref="R30" si="43">VLOOKUP(M30,Tarifa,2)</f>
        <v>1182.8800000000001</v>
      </c>
      <c r="S30" s="240">
        <f t="shared" ref="S30" si="44">Q30+R30</f>
        <v>1492.9834257066668</v>
      </c>
      <c r="T30" s="240">
        <f t="shared" ref="T30" si="45">VLOOKUP(M30,Credito,2)</f>
        <v>0</v>
      </c>
      <c r="U30" s="240">
        <f t="shared" ref="U30" si="46">ROUND((S30-T30)/30.4*G30,2)</f>
        <v>736.67</v>
      </c>
      <c r="V30" s="219">
        <f t="shared" ref="V30" si="47">-IF(U30&gt;0,0,0)</f>
        <v>0</v>
      </c>
      <c r="W30" s="219">
        <f t="shared" ref="W30" si="48">IF(I30/15&lt;=SMG,0,IF(U30&lt;0,0,U30))</f>
        <v>736.67</v>
      </c>
      <c r="X30" s="220">
        <v>0</v>
      </c>
      <c r="Y30" s="219">
        <f t="shared" ref="Y30" si="49">SUM(W30:X30)</f>
        <v>736.67</v>
      </c>
      <c r="Z30" s="219">
        <f t="shared" ref="Z30" si="50">K30+V30-Y30</f>
        <v>6500</v>
      </c>
      <c r="AA30" s="303"/>
    </row>
    <row r="31" spans="1:31" s="301" customFormat="1" ht="230.25" customHeight="1" x14ac:dyDescent="0.2">
      <c r="A31" s="333"/>
      <c r="B31" s="232" t="s">
        <v>357</v>
      </c>
      <c r="C31" s="226" t="s">
        <v>299</v>
      </c>
      <c r="D31" s="211" t="s">
        <v>358</v>
      </c>
      <c r="E31" s="274">
        <v>45732</v>
      </c>
      <c r="F31" s="229" t="s">
        <v>356</v>
      </c>
      <c r="G31" s="215">
        <v>15</v>
      </c>
      <c r="H31" s="216">
        <f t="shared" ref="H31" si="51">I31/G31</f>
        <v>482.44466666666665</v>
      </c>
      <c r="I31" s="217">
        <v>7236.67</v>
      </c>
      <c r="J31" s="218">
        <v>0</v>
      </c>
      <c r="K31" s="219">
        <f t="shared" ref="K31" si="52">SUM(I31:J31)</f>
        <v>7236.67</v>
      </c>
      <c r="L31" s="240">
        <f t="shared" ref="L31" si="53">IF(I31/15&lt;=SMG,0,J31/2)</f>
        <v>0</v>
      </c>
      <c r="M31" s="259">
        <f t="shared" ref="M31" si="54">(I31+L31)/G31*30.4</f>
        <v>14666.317866666666</v>
      </c>
      <c r="N31" s="259">
        <f t="shared" ref="N31" si="55">VLOOKUP(M31,Tarifa,1)</f>
        <v>12935.83</v>
      </c>
      <c r="O31" s="240">
        <f t="shared" ref="O31" si="56">M31-N31</f>
        <v>1730.4878666666664</v>
      </c>
      <c r="P31" s="241">
        <f t="shared" ref="P31" si="57">VLOOKUP(M31,Tarifa,3)</f>
        <v>0.1792</v>
      </c>
      <c r="Q31" s="240">
        <f t="shared" ref="Q31" si="58">O31*P31</f>
        <v>310.1034257066666</v>
      </c>
      <c r="R31" s="242">
        <f t="shared" ref="R31" si="59">VLOOKUP(M31,Tarifa,2)</f>
        <v>1182.8800000000001</v>
      </c>
      <c r="S31" s="240">
        <f t="shared" ref="S31" si="60">Q31+R31</f>
        <v>1492.9834257066668</v>
      </c>
      <c r="T31" s="240">
        <f t="shared" ref="T31" si="61">VLOOKUP(M31,Credito,2)</f>
        <v>0</v>
      </c>
      <c r="U31" s="240">
        <f t="shared" ref="U31" si="62">ROUND((S31-T31)/30.4*G31,2)</f>
        <v>736.67</v>
      </c>
      <c r="V31" s="219">
        <f t="shared" ref="V31" si="63">-IF(U31&gt;0,0,0)</f>
        <v>0</v>
      </c>
      <c r="W31" s="219">
        <f t="shared" ref="W31" si="64">IF(I31/15&lt;=SMG,0,IF(U31&lt;0,0,U31))</f>
        <v>736.67</v>
      </c>
      <c r="X31" s="220">
        <v>0</v>
      </c>
      <c r="Y31" s="219">
        <f t="shared" ref="Y31" si="65">SUM(W31:X31)</f>
        <v>736.67</v>
      </c>
      <c r="Z31" s="219">
        <f t="shared" ref="Z31" si="66">K31+V31-Y31</f>
        <v>6500</v>
      </c>
      <c r="AA31" s="303"/>
    </row>
    <row r="32" spans="1:31" s="301" customFormat="1" ht="164.25" customHeight="1" x14ac:dyDescent="0.2">
      <c r="A32" s="302"/>
      <c r="B32" s="232" t="s">
        <v>361</v>
      </c>
      <c r="C32" s="226" t="s">
        <v>299</v>
      </c>
      <c r="D32" s="211" t="s">
        <v>364</v>
      </c>
      <c r="E32" s="274">
        <v>45732</v>
      </c>
      <c r="F32" s="229" t="s">
        <v>356</v>
      </c>
      <c r="G32" s="215">
        <v>15</v>
      </c>
      <c r="H32" s="216">
        <f t="shared" ref="H32:H35" si="67">I32/G32</f>
        <v>482.44466666666665</v>
      </c>
      <c r="I32" s="217">
        <v>7236.67</v>
      </c>
      <c r="J32" s="218">
        <v>0</v>
      </c>
      <c r="K32" s="219">
        <f t="shared" ref="K32:K35" si="68">SUM(I32:J32)</f>
        <v>7236.67</v>
      </c>
      <c r="L32" s="240">
        <f t="shared" ref="L32:L35" si="69">IF(I32/15&lt;=SMG,0,J32/2)</f>
        <v>0</v>
      </c>
      <c r="M32" s="259">
        <f t="shared" ref="M32:M35" si="70">(I32+L32)/G32*30.4</f>
        <v>14666.317866666666</v>
      </c>
      <c r="N32" s="259">
        <f t="shared" ref="N32:N35" si="71">VLOOKUP(M32,Tarifa,1)</f>
        <v>12935.83</v>
      </c>
      <c r="O32" s="240">
        <f t="shared" ref="O32:O35" si="72">M32-N32</f>
        <v>1730.4878666666664</v>
      </c>
      <c r="P32" s="241">
        <f t="shared" ref="P32:P35" si="73">VLOOKUP(M32,Tarifa,3)</f>
        <v>0.1792</v>
      </c>
      <c r="Q32" s="240">
        <f t="shared" ref="Q32:Q35" si="74">O32*P32</f>
        <v>310.1034257066666</v>
      </c>
      <c r="R32" s="242">
        <f t="shared" ref="R32:R35" si="75">VLOOKUP(M32,Tarifa,2)</f>
        <v>1182.8800000000001</v>
      </c>
      <c r="S32" s="240">
        <f t="shared" ref="S32:S35" si="76">Q32+R32</f>
        <v>1492.9834257066668</v>
      </c>
      <c r="T32" s="240">
        <f t="shared" ref="T32:T35" si="77">VLOOKUP(M32,Credito,2)</f>
        <v>0</v>
      </c>
      <c r="U32" s="240">
        <f t="shared" ref="U32:U35" si="78">ROUND((S32-T32)/30.4*G32,2)</f>
        <v>736.67</v>
      </c>
      <c r="V32" s="219">
        <f t="shared" ref="V32:V35" si="79">-IF(U32&gt;0,0,0)</f>
        <v>0</v>
      </c>
      <c r="W32" s="219">
        <f t="shared" ref="W32:W35" si="80">IF(I32/15&lt;=SMG,0,IF(U32&lt;0,0,U32))</f>
        <v>736.67</v>
      </c>
      <c r="X32" s="220">
        <v>0</v>
      </c>
      <c r="Y32" s="219">
        <f t="shared" ref="Y32:Y35" si="81">SUM(W32:X32)</f>
        <v>736.67</v>
      </c>
      <c r="Z32" s="219">
        <f t="shared" ref="Z32:Z35" si="82">K32+V32-Y32</f>
        <v>6500</v>
      </c>
      <c r="AA32" s="303"/>
    </row>
    <row r="33" spans="1:27" s="301" customFormat="1" ht="164.25" customHeight="1" x14ac:dyDescent="0.2">
      <c r="A33" s="302"/>
      <c r="B33" s="232" t="s">
        <v>362</v>
      </c>
      <c r="C33" s="226" t="s">
        <v>299</v>
      </c>
      <c r="D33" s="211" t="s">
        <v>365</v>
      </c>
      <c r="E33" s="274">
        <v>45732</v>
      </c>
      <c r="F33" s="229" t="s">
        <v>356</v>
      </c>
      <c r="G33" s="215">
        <v>15</v>
      </c>
      <c r="H33" s="216">
        <f t="shared" si="67"/>
        <v>482.44466666666665</v>
      </c>
      <c r="I33" s="217">
        <v>7236.67</v>
      </c>
      <c r="J33" s="218">
        <v>0</v>
      </c>
      <c r="K33" s="219">
        <f t="shared" si="68"/>
        <v>7236.67</v>
      </c>
      <c r="L33" s="240">
        <f t="shared" si="69"/>
        <v>0</v>
      </c>
      <c r="M33" s="259">
        <f t="shared" si="70"/>
        <v>14666.317866666666</v>
      </c>
      <c r="N33" s="259">
        <f t="shared" si="71"/>
        <v>12935.83</v>
      </c>
      <c r="O33" s="240">
        <f t="shared" si="72"/>
        <v>1730.4878666666664</v>
      </c>
      <c r="P33" s="241">
        <f t="shared" si="73"/>
        <v>0.1792</v>
      </c>
      <c r="Q33" s="240">
        <f t="shared" si="74"/>
        <v>310.1034257066666</v>
      </c>
      <c r="R33" s="242">
        <f t="shared" si="75"/>
        <v>1182.8800000000001</v>
      </c>
      <c r="S33" s="240">
        <f t="shared" si="76"/>
        <v>1492.9834257066668</v>
      </c>
      <c r="T33" s="240">
        <f t="shared" si="77"/>
        <v>0</v>
      </c>
      <c r="U33" s="240">
        <f t="shared" si="78"/>
        <v>736.67</v>
      </c>
      <c r="V33" s="219">
        <f t="shared" si="79"/>
        <v>0</v>
      </c>
      <c r="W33" s="219">
        <f t="shared" si="80"/>
        <v>736.67</v>
      </c>
      <c r="X33" s="220">
        <v>0</v>
      </c>
      <c r="Y33" s="219">
        <f t="shared" si="81"/>
        <v>736.67</v>
      </c>
      <c r="Z33" s="219">
        <f t="shared" si="82"/>
        <v>6500</v>
      </c>
      <c r="AA33" s="303"/>
    </row>
    <row r="34" spans="1:27" s="301" customFormat="1" ht="164.25" customHeight="1" x14ac:dyDescent="0.2">
      <c r="A34" s="302"/>
      <c r="B34" s="232" t="s">
        <v>363</v>
      </c>
      <c r="C34" s="226" t="s">
        <v>299</v>
      </c>
      <c r="D34" s="211" t="s">
        <v>366</v>
      </c>
      <c r="E34" s="274">
        <v>45732</v>
      </c>
      <c r="F34" s="229" t="s">
        <v>356</v>
      </c>
      <c r="G34" s="215">
        <v>15</v>
      </c>
      <c r="H34" s="216">
        <f t="shared" si="67"/>
        <v>482.44466666666665</v>
      </c>
      <c r="I34" s="217">
        <v>7236.67</v>
      </c>
      <c r="J34" s="218">
        <v>0</v>
      </c>
      <c r="K34" s="219">
        <f t="shared" si="68"/>
        <v>7236.67</v>
      </c>
      <c r="L34" s="240">
        <f t="shared" si="69"/>
        <v>0</v>
      </c>
      <c r="M34" s="259">
        <f t="shared" si="70"/>
        <v>14666.317866666666</v>
      </c>
      <c r="N34" s="259">
        <f t="shared" si="71"/>
        <v>12935.83</v>
      </c>
      <c r="O34" s="240">
        <f t="shared" si="72"/>
        <v>1730.4878666666664</v>
      </c>
      <c r="P34" s="241">
        <f t="shared" si="73"/>
        <v>0.1792</v>
      </c>
      <c r="Q34" s="240">
        <f t="shared" si="74"/>
        <v>310.1034257066666</v>
      </c>
      <c r="R34" s="242">
        <f t="shared" si="75"/>
        <v>1182.8800000000001</v>
      </c>
      <c r="S34" s="240">
        <f t="shared" si="76"/>
        <v>1492.9834257066668</v>
      </c>
      <c r="T34" s="240">
        <f t="shared" si="77"/>
        <v>0</v>
      </c>
      <c r="U34" s="240">
        <f t="shared" si="78"/>
        <v>736.67</v>
      </c>
      <c r="V34" s="219">
        <f t="shared" si="79"/>
        <v>0</v>
      </c>
      <c r="W34" s="219">
        <f t="shared" si="80"/>
        <v>736.67</v>
      </c>
      <c r="X34" s="220">
        <v>0</v>
      </c>
      <c r="Y34" s="219">
        <f t="shared" si="81"/>
        <v>736.67</v>
      </c>
      <c r="Z34" s="219">
        <f t="shared" si="82"/>
        <v>6500</v>
      </c>
      <c r="AA34" s="303"/>
    </row>
    <row r="35" spans="1:27" s="301" customFormat="1" ht="164.25" customHeight="1" x14ac:dyDescent="0.2">
      <c r="A35" s="302"/>
      <c r="B35" s="232" t="s">
        <v>367</v>
      </c>
      <c r="C35" s="226" t="s">
        <v>299</v>
      </c>
      <c r="D35" s="211" t="s">
        <v>368</v>
      </c>
      <c r="E35" s="274">
        <v>45732</v>
      </c>
      <c r="F35" s="229" t="s">
        <v>356</v>
      </c>
      <c r="G35" s="215">
        <v>15</v>
      </c>
      <c r="H35" s="216">
        <f t="shared" si="67"/>
        <v>482.44466666666665</v>
      </c>
      <c r="I35" s="217">
        <v>7236.67</v>
      </c>
      <c r="J35" s="218">
        <v>0</v>
      </c>
      <c r="K35" s="219">
        <f t="shared" si="68"/>
        <v>7236.67</v>
      </c>
      <c r="L35" s="240">
        <f t="shared" si="69"/>
        <v>0</v>
      </c>
      <c r="M35" s="259">
        <f t="shared" si="70"/>
        <v>14666.317866666666</v>
      </c>
      <c r="N35" s="259">
        <f t="shared" si="71"/>
        <v>12935.83</v>
      </c>
      <c r="O35" s="240">
        <f t="shared" si="72"/>
        <v>1730.4878666666664</v>
      </c>
      <c r="P35" s="241">
        <f t="shared" si="73"/>
        <v>0.1792</v>
      </c>
      <c r="Q35" s="240">
        <f t="shared" si="74"/>
        <v>310.1034257066666</v>
      </c>
      <c r="R35" s="242">
        <f t="shared" si="75"/>
        <v>1182.8800000000001</v>
      </c>
      <c r="S35" s="240">
        <f t="shared" si="76"/>
        <v>1492.9834257066668</v>
      </c>
      <c r="T35" s="240">
        <f t="shared" si="77"/>
        <v>0</v>
      </c>
      <c r="U35" s="240">
        <f t="shared" si="78"/>
        <v>736.67</v>
      </c>
      <c r="V35" s="219">
        <f t="shared" si="79"/>
        <v>0</v>
      </c>
      <c r="W35" s="219">
        <f t="shared" si="80"/>
        <v>736.67</v>
      </c>
      <c r="X35" s="220">
        <v>0</v>
      </c>
      <c r="Y35" s="219">
        <f t="shared" si="81"/>
        <v>736.67</v>
      </c>
      <c r="Z35" s="219">
        <f t="shared" si="82"/>
        <v>6500</v>
      </c>
      <c r="AA35" s="243"/>
    </row>
    <row r="36" spans="1:27" s="102" customFormat="1" ht="18" x14ac:dyDescent="0.25">
      <c r="A36" s="145"/>
      <c r="B36" s="145"/>
      <c r="C36" s="145"/>
      <c r="D36" s="145"/>
      <c r="E36" s="145"/>
      <c r="F36" s="145"/>
      <c r="G36" s="145"/>
      <c r="H36" s="145"/>
      <c r="I36" s="167"/>
      <c r="J36" s="167"/>
      <c r="K36" s="167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01"/>
    </row>
    <row r="37" spans="1:27" s="102" customFormat="1" ht="39" customHeight="1" x14ac:dyDescent="0.3">
      <c r="A37" s="384" t="s">
        <v>44</v>
      </c>
      <c r="B37" s="384"/>
      <c r="C37" s="384"/>
      <c r="D37" s="384"/>
      <c r="E37" s="384"/>
      <c r="F37" s="384"/>
      <c r="G37" s="384"/>
      <c r="H37" s="384"/>
      <c r="I37" s="193">
        <f>I8+I11+I14+I18+I21+I23+I25</f>
        <v>135596.31</v>
      </c>
      <c r="J37" s="193">
        <f>J8+J11+J14+J18+J21+J23+J25</f>
        <v>0</v>
      </c>
      <c r="K37" s="193">
        <f>K8+K11+K14+K18+K21+K23+K25</f>
        <v>135596.31</v>
      </c>
      <c r="L37" s="193" t="e">
        <f>L8+L11+L14+L18+L21+#REF!+L25</f>
        <v>#REF!</v>
      </c>
      <c r="M37" s="193" t="e">
        <f>M8+M11+M14+M18+M21+#REF!+M25</f>
        <v>#REF!</v>
      </c>
      <c r="N37" s="193" t="e">
        <f>N8+N11+N14+N18+N21+#REF!+N25</f>
        <v>#REF!</v>
      </c>
      <c r="O37" s="193" t="e">
        <f>O8+O11+O14+O18+O21+#REF!+O25</f>
        <v>#REF!</v>
      </c>
      <c r="P37" s="193" t="e">
        <f>P8+P11+P14+P18+P21+#REF!+P25</f>
        <v>#REF!</v>
      </c>
      <c r="Q37" s="193" t="e">
        <f>Q8+Q11+Q14+Q18+Q21+#REF!+Q25</f>
        <v>#REF!</v>
      </c>
      <c r="R37" s="193" t="e">
        <f>R8+R11+R14+R18+R21+#REF!+R25</f>
        <v>#REF!</v>
      </c>
      <c r="S37" s="193" t="e">
        <f>S8+S11+S14+S18+S21+#REF!+S25</f>
        <v>#REF!</v>
      </c>
      <c r="T37" s="193" t="e">
        <f>T8+T11+T14+T18+T21+#REF!+T25</f>
        <v>#REF!</v>
      </c>
      <c r="U37" s="193" t="e">
        <f>U8+U11+U14+U18+U21+#REF!+U25</f>
        <v>#REF!</v>
      </c>
      <c r="V37" s="193">
        <f>V8+V11+V14+V18+V21+V23+V25</f>
        <v>0</v>
      </c>
      <c r="W37" s="193">
        <f>W8+W11+W14+W18+W21+W23+W25</f>
        <v>12620.68</v>
      </c>
      <c r="X37" s="193">
        <f>X8+X11+X14+X18+X21+X23+X25</f>
        <v>0</v>
      </c>
      <c r="Y37" s="193">
        <f>Y8+Y11+Y14+Y18+Y21+Y23+Y25</f>
        <v>12620.68</v>
      </c>
      <c r="Z37" s="193">
        <f>Z8+Z11+Z14+Z18+Z21+Z23+Z25</f>
        <v>122975.63</v>
      </c>
      <c r="AA37" s="101"/>
    </row>
    <row r="38" spans="1:27" s="50" customFormat="1" ht="12" x14ac:dyDescent="0.2"/>
    <row r="39" spans="1:27" s="50" customFormat="1" ht="12" x14ac:dyDescent="0.2"/>
    <row r="40" spans="1:27" s="50" customFormat="1" ht="12" x14ac:dyDescent="0.2"/>
    <row r="41" spans="1:27" s="50" customFormat="1" ht="12" x14ac:dyDescent="0.2"/>
    <row r="42" spans="1:27" s="50" customFormat="1" ht="12" x14ac:dyDescent="0.2"/>
    <row r="43" spans="1:27" s="50" customFormat="1" ht="12" x14ac:dyDescent="0.2"/>
    <row r="44" spans="1:27" s="50" customFormat="1" ht="12" x14ac:dyDescent="0.2"/>
    <row r="45" spans="1:27" s="50" customFormat="1" ht="18" x14ac:dyDescent="0.25"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</row>
    <row r="46" spans="1:27" s="50" customFormat="1" ht="12" x14ac:dyDescent="0.2"/>
  </sheetData>
  <mergeCells count="8">
    <mergeCell ref="A1:AA1"/>
    <mergeCell ref="A2:AA2"/>
    <mergeCell ref="A3:AA3"/>
    <mergeCell ref="I5:K5"/>
    <mergeCell ref="N5:S5"/>
    <mergeCell ref="W5:Y5"/>
    <mergeCell ref="C5:C7"/>
    <mergeCell ref="A37:H37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10 D15:E15 D12:E13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7"/>
  <sheetViews>
    <sheetView topLeftCell="B1" zoomScale="57" zoomScaleNormal="57" workbookViewId="0">
      <selection activeCell="Z11" sqref="Z11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17.7109375" customWidth="1"/>
    <col min="6" max="6" width="27.28515625" customWidth="1"/>
    <col min="7" max="7" width="6.5703125" hidden="1" customWidth="1"/>
    <col min="8" max="8" width="12.7109375" hidden="1" customWidth="1"/>
    <col min="9" max="9" width="16.85546875" customWidth="1"/>
    <col min="10" max="10" width="10.85546875" customWidth="1"/>
    <col min="11" max="11" width="18.5703125" customWidth="1"/>
    <col min="12" max="12" width="13.140625" hidden="1" customWidth="1"/>
    <col min="13" max="13" width="15.140625" hidden="1" customWidth="1"/>
    <col min="14" max="14" width="15.7109375" hidden="1" customWidth="1"/>
    <col min="15" max="15" width="12.28515625" hidden="1" customWidth="1"/>
    <col min="16" max="17" width="13.140625" hidden="1" customWidth="1"/>
    <col min="18" max="18" width="12.85546875" hidden="1" customWidth="1"/>
    <col min="19" max="19" width="12.140625" hidden="1" customWidth="1"/>
    <col min="20" max="20" width="13.140625" hidden="1" customWidth="1"/>
    <col min="21" max="21" width="13.42578125" hidden="1" customWidth="1"/>
    <col min="22" max="22" width="9.7109375" customWidth="1"/>
    <col min="23" max="23" width="15.85546875" customWidth="1"/>
    <col min="24" max="24" width="14.5703125" customWidth="1"/>
    <col min="25" max="25" width="14.28515625" customWidth="1"/>
    <col min="26" max="26" width="18.140625" customWidth="1"/>
    <col min="27" max="27" width="64.140625" customWidth="1"/>
  </cols>
  <sheetData>
    <row r="1" spans="1:27" ht="18" x14ac:dyDescent="0.25">
      <c r="A1" s="362" t="s">
        <v>77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</row>
    <row r="2" spans="1:27" ht="18" x14ac:dyDescent="0.25">
      <c r="A2" s="362" t="s">
        <v>64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</row>
    <row r="3" spans="1:27" ht="19.5" x14ac:dyDescent="0.25">
      <c r="A3" s="352" t="str">
        <f>PRESIDENCIA!A3</f>
        <v>SUELDO  DEL 16 AL 30 DE JUNIO DE 2025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27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7" ht="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</row>
    <row r="6" spans="1:27" x14ac:dyDescent="0.2">
      <c r="A6" s="22"/>
      <c r="B6" s="22"/>
      <c r="C6" s="22"/>
      <c r="D6" s="22"/>
      <c r="E6" s="22"/>
      <c r="F6" s="22"/>
      <c r="G6" s="23" t="s">
        <v>22</v>
      </c>
      <c r="H6" s="23" t="s">
        <v>5</v>
      </c>
      <c r="I6" s="372" t="s">
        <v>1</v>
      </c>
      <c r="J6" s="373"/>
      <c r="K6" s="374"/>
      <c r="L6" s="48" t="s">
        <v>25</v>
      </c>
      <c r="M6" s="49"/>
      <c r="N6" s="375" t="s">
        <v>8</v>
      </c>
      <c r="O6" s="376"/>
      <c r="P6" s="376"/>
      <c r="Q6" s="376"/>
      <c r="R6" s="376"/>
      <c r="S6" s="377"/>
      <c r="T6" s="48" t="s">
        <v>29</v>
      </c>
      <c r="U6" s="48" t="s">
        <v>9</v>
      </c>
      <c r="V6" s="47" t="s">
        <v>52</v>
      </c>
      <c r="W6" s="378" t="s">
        <v>2</v>
      </c>
      <c r="X6" s="379"/>
      <c r="Y6" s="380"/>
      <c r="Z6" s="47" t="s">
        <v>0</v>
      </c>
      <c r="AA6" s="33"/>
    </row>
    <row r="7" spans="1:27" ht="24" x14ac:dyDescent="0.2">
      <c r="A7" s="26" t="s">
        <v>20</v>
      </c>
      <c r="B7" s="45" t="s">
        <v>96</v>
      </c>
      <c r="C7" s="45" t="s">
        <v>109</v>
      </c>
      <c r="D7" s="51" t="s">
        <v>21</v>
      </c>
      <c r="E7" s="26"/>
      <c r="F7" s="26"/>
      <c r="G7" s="27" t="s">
        <v>23</v>
      </c>
      <c r="H7" s="26" t="s">
        <v>24</v>
      </c>
      <c r="I7" s="47" t="s">
        <v>5</v>
      </c>
      <c r="J7" s="47" t="s">
        <v>58</v>
      </c>
      <c r="K7" s="47" t="s">
        <v>27</v>
      </c>
      <c r="L7" s="53" t="s">
        <v>26</v>
      </c>
      <c r="M7" s="49" t="s">
        <v>31</v>
      </c>
      <c r="N7" s="49" t="s">
        <v>11</v>
      </c>
      <c r="O7" s="49" t="s">
        <v>33</v>
      </c>
      <c r="P7" s="49" t="s">
        <v>35</v>
      </c>
      <c r="Q7" s="49" t="s">
        <v>36</v>
      </c>
      <c r="R7" s="49" t="s">
        <v>13</v>
      </c>
      <c r="S7" s="49" t="s">
        <v>9</v>
      </c>
      <c r="T7" s="53" t="s">
        <v>39</v>
      </c>
      <c r="U7" s="53" t="s">
        <v>40</v>
      </c>
      <c r="V7" s="51" t="s">
        <v>30</v>
      </c>
      <c r="W7" s="47" t="s">
        <v>191</v>
      </c>
      <c r="X7" s="47" t="s">
        <v>56</v>
      </c>
      <c r="Y7" s="47" t="s">
        <v>6</v>
      </c>
      <c r="Z7" s="51" t="s">
        <v>3</v>
      </c>
      <c r="AA7" s="35" t="s">
        <v>57</v>
      </c>
    </row>
    <row r="8" spans="1:27" x14ac:dyDescent="0.2">
      <c r="A8" s="29"/>
      <c r="B8" s="29"/>
      <c r="C8" s="29"/>
      <c r="D8" s="29"/>
      <c r="E8" s="29"/>
      <c r="F8" s="29"/>
      <c r="G8" s="29"/>
      <c r="H8" s="29"/>
      <c r="I8" s="59" t="s">
        <v>46</v>
      </c>
      <c r="J8" s="59" t="s">
        <v>59</v>
      </c>
      <c r="K8" s="59" t="s">
        <v>28</v>
      </c>
      <c r="L8" s="60" t="s">
        <v>42</v>
      </c>
      <c r="M8" s="48" t="s">
        <v>32</v>
      </c>
      <c r="N8" s="48" t="s">
        <v>12</v>
      </c>
      <c r="O8" s="48" t="s">
        <v>34</v>
      </c>
      <c r="P8" s="48" t="s">
        <v>34</v>
      </c>
      <c r="Q8" s="48" t="s">
        <v>37</v>
      </c>
      <c r="R8" s="48" t="s">
        <v>14</v>
      </c>
      <c r="S8" s="48" t="s">
        <v>38</v>
      </c>
      <c r="T8" s="53" t="s">
        <v>18</v>
      </c>
      <c r="U8" s="54" t="s">
        <v>115</v>
      </c>
      <c r="V8" s="59" t="s">
        <v>51</v>
      </c>
      <c r="W8" s="59"/>
      <c r="X8" s="59"/>
      <c r="Y8" s="59" t="s">
        <v>43</v>
      </c>
      <c r="Z8" s="59" t="s">
        <v>4</v>
      </c>
      <c r="AA8" s="34"/>
    </row>
    <row r="9" spans="1:27" s="4" customFormat="1" ht="54.75" customHeight="1" x14ac:dyDescent="0.25">
      <c r="A9" s="121"/>
      <c r="B9" s="388" t="s">
        <v>105</v>
      </c>
      <c r="C9" s="389"/>
      <c r="D9" s="390"/>
      <c r="E9" s="119" t="s">
        <v>195</v>
      </c>
      <c r="F9" s="121" t="s">
        <v>61</v>
      </c>
      <c r="G9" s="121"/>
      <c r="H9" s="12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194"/>
      <c r="V9" s="61"/>
      <c r="W9" s="61"/>
      <c r="X9" s="61"/>
      <c r="Y9" s="61"/>
      <c r="Z9" s="61"/>
      <c r="AA9" s="93"/>
    </row>
    <row r="10" spans="1:27" s="277" customFormat="1" ht="216.75" customHeight="1" x14ac:dyDescent="0.2">
      <c r="A10" s="208" t="s">
        <v>82</v>
      </c>
      <c r="B10" s="226" t="s">
        <v>103</v>
      </c>
      <c r="C10" s="226" t="s">
        <v>108</v>
      </c>
      <c r="D10" s="211" t="s">
        <v>94</v>
      </c>
      <c r="E10" s="304">
        <v>42278</v>
      </c>
      <c r="F10" s="214" t="s">
        <v>167</v>
      </c>
      <c r="G10" s="215">
        <v>15</v>
      </c>
      <c r="H10" s="216">
        <f>I10/G10</f>
        <v>1332.8</v>
      </c>
      <c r="I10" s="217">
        <v>19992</v>
      </c>
      <c r="J10" s="218">
        <v>0</v>
      </c>
      <c r="K10" s="219">
        <f>SUM(I10:J10)</f>
        <v>19992</v>
      </c>
      <c r="L10" s="240">
        <f>IF(I10/15&lt;=SMG,0,J10/2)</f>
        <v>0</v>
      </c>
      <c r="M10" s="259">
        <f>(I10+L10)/G10*30.4</f>
        <v>40517.119999999995</v>
      </c>
      <c r="N10" s="259">
        <f>VLOOKUP(M10,Tarifa,1)</f>
        <v>31236.5</v>
      </c>
      <c r="O10" s="259">
        <f>M10-N10</f>
        <v>9280.6199999999953</v>
      </c>
      <c r="P10" s="241">
        <f>VLOOKUP(M10,Tarifa,3)</f>
        <v>0.23519999999999999</v>
      </c>
      <c r="Q10" s="240">
        <f>O10*P10</f>
        <v>2182.8018239999988</v>
      </c>
      <c r="R10" s="242">
        <f>VLOOKUP(M10,Tarifa,2)</f>
        <v>5004.12</v>
      </c>
      <c r="S10" s="309">
        <f>Q10+R10</f>
        <v>7186.9218239999991</v>
      </c>
      <c r="T10" s="309">
        <f>VLOOKUP(M10,Credito,2)</f>
        <v>0</v>
      </c>
      <c r="U10" s="309">
        <f>ROUND((S10-T10)/30.4*G10,2)</f>
        <v>3546.18</v>
      </c>
      <c r="V10" s="219">
        <f>-IF(U10&gt;0,0,0)</f>
        <v>0</v>
      </c>
      <c r="W10" s="219">
        <f>IF(I10/15&lt;=SMG,0,IF(U10&lt;0,0,U10))</f>
        <v>3546.18</v>
      </c>
      <c r="X10" s="220">
        <v>0</v>
      </c>
      <c r="Y10" s="219">
        <f>SUM(W10:X10)</f>
        <v>3546.18</v>
      </c>
      <c r="Z10" s="219">
        <f>K10+V10-Y10</f>
        <v>16445.82</v>
      </c>
      <c r="AA10" s="276"/>
    </row>
    <row r="11" spans="1:27" s="277" customFormat="1" ht="216.75" customHeight="1" x14ac:dyDescent="0.2">
      <c r="A11" s="208" t="s">
        <v>84</v>
      </c>
      <c r="B11" s="226" t="s">
        <v>99</v>
      </c>
      <c r="C11" s="226" t="s">
        <v>108</v>
      </c>
      <c r="D11" s="211" t="s">
        <v>72</v>
      </c>
      <c r="E11" s="304">
        <v>39462</v>
      </c>
      <c r="F11" s="214" t="s">
        <v>346</v>
      </c>
      <c r="G11" s="215">
        <v>15</v>
      </c>
      <c r="H11" s="216">
        <f>I11/G11</f>
        <v>888.66666666666663</v>
      </c>
      <c r="I11" s="217">
        <v>13330</v>
      </c>
      <c r="J11" s="218">
        <v>0</v>
      </c>
      <c r="K11" s="219">
        <f>I11</f>
        <v>13330</v>
      </c>
      <c r="L11" s="240">
        <f>IF(I11/15&lt;=SMG,0,J11/2)</f>
        <v>0</v>
      </c>
      <c r="M11" s="259">
        <f>(I11+L11)/G11*30.4</f>
        <v>27015.466666666664</v>
      </c>
      <c r="N11" s="259">
        <f>VLOOKUP(M11,Tarifa,1)</f>
        <v>15487.72</v>
      </c>
      <c r="O11" s="240">
        <f>M11-N11</f>
        <v>11527.746666666664</v>
      </c>
      <c r="P11" s="241">
        <f>VLOOKUP(M11,Tarifa,3)</f>
        <v>0.21360000000000001</v>
      </c>
      <c r="Q11" s="240">
        <f>O11*P11</f>
        <v>2462.3266879999996</v>
      </c>
      <c r="R11" s="242">
        <f>VLOOKUP(M11,Tarifa,2)</f>
        <v>1640.18</v>
      </c>
      <c r="S11" s="240">
        <f>Q11+R11</f>
        <v>4102.5066879999995</v>
      </c>
      <c r="T11" s="240">
        <f>VLOOKUP(M11,Credito,2)</f>
        <v>0</v>
      </c>
      <c r="U11" s="240">
        <f>ROUND((S11-T11)/30.4*G11,2)</f>
        <v>2024.26</v>
      </c>
      <c r="V11" s="219">
        <f>-IF(U11&gt;0,0,0)</f>
        <v>0</v>
      </c>
      <c r="W11" s="219">
        <f>IF(I11/15&lt;=SMG,0,IF(U11&lt;0,0,U11))</f>
        <v>2024.26</v>
      </c>
      <c r="X11" s="220">
        <v>0</v>
      </c>
      <c r="Y11" s="219">
        <f>SUM(W11:X11)</f>
        <v>2024.26</v>
      </c>
      <c r="Z11" s="219">
        <f>K11+V11-Y11</f>
        <v>11305.74</v>
      </c>
      <c r="AA11" s="276"/>
    </row>
    <row r="12" spans="1:27" s="277" customFormat="1" ht="216.75" customHeight="1" x14ac:dyDescent="0.2">
      <c r="A12" s="208" t="s">
        <v>85</v>
      </c>
      <c r="B12" s="226" t="s">
        <v>104</v>
      </c>
      <c r="C12" s="226" t="s">
        <v>108</v>
      </c>
      <c r="D12" s="211" t="s">
        <v>93</v>
      </c>
      <c r="E12" s="304">
        <v>42278</v>
      </c>
      <c r="F12" s="214" t="s">
        <v>168</v>
      </c>
      <c r="G12" s="215">
        <v>15</v>
      </c>
      <c r="H12" s="216">
        <f>I12/G12</f>
        <v>471.26666666666665</v>
      </c>
      <c r="I12" s="217">
        <v>7069</v>
      </c>
      <c r="J12" s="218">
        <v>0</v>
      </c>
      <c r="K12" s="219">
        <f>SUM(I12:J12)</f>
        <v>7069</v>
      </c>
      <c r="L12" s="240">
        <f>IF(I12/15&lt;=SMG,0,J12/2)</f>
        <v>0</v>
      </c>
      <c r="M12" s="259">
        <f>(I12+L12)/G12*30.4</f>
        <v>14326.506666666666</v>
      </c>
      <c r="N12" s="259">
        <f>VLOOKUP(M12,Tarifa,1)</f>
        <v>12935.83</v>
      </c>
      <c r="O12" s="240">
        <f>M12-N12</f>
        <v>1390.6766666666663</v>
      </c>
      <c r="P12" s="241">
        <f>VLOOKUP(M12,Tarifa,3)</f>
        <v>0.1792</v>
      </c>
      <c r="Q12" s="240">
        <f>O12*P12</f>
        <v>249.20925866666659</v>
      </c>
      <c r="R12" s="242">
        <f>VLOOKUP(M12,Tarifa,2)</f>
        <v>1182.8800000000001</v>
      </c>
      <c r="S12" s="240">
        <f>Q12+R12</f>
        <v>1432.0892586666666</v>
      </c>
      <c r="T12" s="240">
        <f>VLOOKUP(M12,Credito,2)</f>
        <v>0</v>
      </c>
      <c r="U12" s="240">
        <f>ROUND((S12-T12)/30.4*G12,2)</f>
        <v>706.62</v>
      </c>
      <c r="V12" s="219">
        <f>-IF(U12&gt;0,0,0)</f>
        <v>0</v>
      </c>
      <c r="W12" s="219">
        <f>IF(I12/15&lt;=SMG,0,IF(U12&lt;0,0,U12))</f>
        <v>706.62</v>
      </c>
      <c r="X12" s="220">
        <v>0</v>
      </c>
      <c r="Y12" s="219">
        <f>SUM(W12:X12)</f>
        <v>706.62</v>
      </c>
      <c r="Z12" s="219">
        <f>K12+V12-Y12</f>
        <v>6362.38</v>
      </c>
      <c r="AA12" s="276"/>
    </row>
    <row r="13" spans="1:27" s="4" customFormat="1" ht="36" customHeight="1" x14ac:dyDescent="0.25">
      <c r="A13" s="130"/>
      <c r="B13" s="130"/>
      <c r="C13" s="130"/>
      <c r="D13" s="130"/>
      <c r="E13" s="130"/>
      <c r="F13" s="130"/>
      <c r="G13" s="130"/>
      <c r="H13" s="130"/>
      <c r="I13" s="136"/>
      <c r="J13" s="136"/>
      <c r="K13" s="136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</row>
    <row r="14" spans="1:27" s="4" customFormat="1" ht="60" customHeight="1" thickBot="1" x14ac:dyDescent="0.35">
      <c r="A14" s="348" t="s">
        <v>44</v>
      </c>
      <c r="B14" s="349"/>
      <c r="C14" s="349"/>
      <c r="D14" s="349"/>
      <c r="E14" s="349"/>
      <c r="F14" s="349"/>
      <c r="G14" s="349"/>
      <c r="H14" s="350"/>
      <c r="I14" s="182">
        <f>SUM(I10:I13)</f>
        <v>40391</v>
      </c>
      <c r="J14" s="182">
        <f>SUM(J10:J13)</f>
        <v>0</v>
      </c>
      <c r="K14" s="182">
        <f>SUM(K10:K13)</f>
        <v>40391</v>
      </c>
      <c r="L14" s="183">
        <f t="shared" ref="L14" si="0">SUM(L10:L13)</f>
        <v>0</v>
      </c>
      <c r="M14" s="183">
        <f t="shared" ref="M14:Y14" si="1">SUM(M10:M13)</f>
        <v>81859.093333333323</v>
      </c>
      <c r="N14" s="183">
        <f t="shared" si="1"/>
        <v>59660.05</v>
      </c>
      <c r="O14" s="183">
        <f t="shared" si="1"/>
        <v>22199.043333333328</v>
      </c>
      <c r="P14" s="183">
        <f t="shared" si="1"/>
        <v>0.628</v>
      </c>
      <c r="Q14" s="183">
        <f t="shared" si="1"/>
        <v>4894.3377706666652</v>
      </c>
      <c r="R14" s="183">
        <f t="shared" si="1"/>
        <v>7827.18</v>
      </c>
      <c r="S14" s="183">
        <f t="shared" si="1"/>
        <v>12721.517770666665</v>
      </c>
      <c r="T14" s="183">
        <f t="shared" si="1"/>
        <v>0</v>
      </c>
      <c r="U14" s="183">
        <f t="shared" si="1"/>
        <v>6277.0599999999995</v>
      </c>
      <c r="V14" s="182">
        <f t="shared" si="1"/>
        <v>0</v>
      </c>
      <c r="W14" s="182">
        <f t="shared" si="1"/>
        <v>6277.0599999999995</v>
      </c>
      <c r="X14" s="182">
        <f t="shared" si="1"/>
        <v>0</v>
      </c>
      <c r="Y14" s="182">
        <f t="shared" si="1"/>
        <v>6277.0599999999995</v>
      </c>
      <c r="Z14" s="182">
        <f>SUM(Z10:Z12)</f>
        <v>34113.939999999995</v>
      </c>
    </row>
    <row r="15" spans="1:27" ht="35.1" customHeight="1" thickTop="1" x14ac:dyDescent="0.2"/>
    <row r="16" spans="1:27" ht="35.1" customHeight="1" x14ac:dyDescent="0.2"/>
    <row r="17" ht="35.1" customHeight="1" x14ac:dyDescent="0.2"/>
  </sheetData>
  <mergeCells count="8">
    <mergeCell ref="A14:H14"/>
    <mergeCell ref="A1:AA1"/>
    <mergeCell ref="A3:AA3"/>
    <mergeCell ref="I6:K6"/>
    <mergeCell ref="N6:S6"/>
    <mergeCell ref="W6:Y6"/>
    <mergeCell ref="A2:AA2"/>
    <mergeCell ref="B9:D9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20"/>
  <sheetViews>
    <sheetView topLeftCell="B1" zoomScale="70" zoomScaleNormal="70" workbookViewId="0">
      <selection activeCell="X10" sqref="X10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3.5703125" customWidth="1"/>
    <col min="5" max="5" width="15.7109375" customWidth="1"/>
    <col min="6" max="6" width="19.28515625" customWidth="1"/>
    <col min="7" max="7" width="6.5703125" hidden="1" customWidth="1"/>
    <col min="8" max="8" width="8.5703125" hidden="1" customWidth="1"/>
    <col min="9" max="9" width="17.28515625" customWidth="1"/>
    <col min="10" max="10" width="17.28515625" hidden="1" customWidth="1"/>
    <col min="11" max="11" width="17.7109375" customWidth="1"/>
    <col min="12" max="12" width="13.140625" hidden="1" customWidth="1"/>
    <col min="13" max="15" width="12.85546875" hidden="1" customWidth="1"/>
    <col min="16" max="17" width="13.140625" hidden="1" customWidth="1"/>
    <col min="18" max="18" width="15.42578125" hidden="1" customWidth="1"/>
    <col min="19" max="19" width="13" hidden="1" customWidth="1"/>
    <col min="20" max="20" width="20.85546875" hidden="1" customWidth="1"/>
    <col min="21" max="21" width="13.85546875" hidden="1" customWidth="1"/>
    <col min="22" max="22" width="9.7109375" customWidth="1"/>
    <col min="23" max="23" width="18.140625" customWidth="1"/>
    <col min="24" max="24" width="14.7109375" customWidth="1"/>
    <col min="25" max="25" width="17" customWidth="1"/>
    <col min="26" max="26" width="17.42578125" customWidth="1"/>
    <col min="27" max="27" width="69.28515625" customWidth="1"/>
    <col min="28" max="28" width="0.85546875" customWidth="1"/>
  </cols>
  <sheetData>
    <row r="1" spans="1:28" ht="18" x14ac:dyDescent="0.25">
      <c r="A1" s="362" t="s">
        <v>77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</row>
    <row r="2" spans="1:28" ht="18" x14ac:dyDescent="0.25">
      <c r="A2" s="362" t="s">
        <v>64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</row>
    <row r="3" spans="1:28" ht="18" x14ac:dyDescent="0.25">
      <c r="A3" s="391" t="str">
        <f>PRESIDENCIA!A3</f>
        <v>SUELDO  DEL 16 AL 30 DE JUNIO DE 2025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</row>
    <row r="4" spans="1:28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8" x14ac:dyDescent="0.2">
      <c r="A5" s="22"/>
      <c r="B5" s="22"/>
      <c r="C5" s="22"/>
      <c r="D5" s="22"/>
      <c r="E5" s="22"/>
      <c r="F5" s="22"/>
      <c r="G5" s="23" t="s">
        <v>22</v>
      </c>
      <c r="H5" s="23" t="s">
        <v>5</v>
      </c>
      <c r="I5" s="363" t="s">
        <v>1</v>
      </c>
      <c r="J5" s="364"/>
      <c r="K5" s="365"/>
      <c r="L5" s="24" t="s">
        <v>25</v>
      </c>
      <c r="M5" s="25"/>
      <c r="N5" s="366" t="s">
        <v>8</v>
      </c>
      <c r="O5" s="367"/>
      <c r="P5" s="367"/>
      <c r="Q5" s="367"/>
      <c r="R5" s="367"/>
      <c r="S5" s="368"/>
      <c r="T5" s="24" t="s">
        <v>29</v>
      </c>
      <c r="U5" s="24" t="s">
        <v>9</v>
      </c>
      <c r="V5" s="23" t="s">
        <v>52</v>
      </c>
      <c r="W5" s="369" t="s">
        <v>2</v>
      </c>
      <c r="X5" s="370"/>
      <c r="Y5" s="371"/>
      <c r="Z5" s="23" t="s">
        <v>0</v>
      </c>
      <c r="AA5" s="33"/>
    </row>
    <row r="6" spans="1:28" ht="33.75" customHeight="1" x14ac:dyDescent="0.2">
      <c r="A6" s="26" t="s">
        <v>20</v>
      </c>
      <c r="B6" s="43" t="s">
        <v>96</v>
      </c>
      <c r="C6" s="43" t="s">
        <v>109</v>
      </c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/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23" t="s">
        <v>191</v>
      </c>
      <c r="X6" s="23" t="s">
        <v>56</v>
      </c>
      <c r="Y6" s="23" t="s">
        <v>6</v>
      </c>
      <c r="Z6" s="26" t="s">
        <v>3</v>
      </c>
      <c r="AA6" s="35" t="s">
        <v>57</v>
      </c>
    </row>
    <row r="7" spans="1:28" x14ac:dyDescent="0.2">
      <c r="A7" s="29"/>
      <c r="B7" s="29"/>
      <c r="C7" s="29"/>
      <c r="D7" s="29"/>
      <c r="E7" s="29"/>
      <c r="F7" s="29"/>
      <c r="G7" s="29"/>
      <c r="H7" s="29"/>
      <c r="I7" s="29" t="s">
        <v>46</v>
      </c>
      <c r="J7" s="29"/>
      <c r="K7" s="29" t="s">
        <v>28</v>
      </c>
      <c r="L7" s="30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9" t="s">
        <v>51</v>
      </c>
      <c r="W7" s="29"/>
      <c r="X7" s="29"/>
      <c r="Y7" s="29" t="s">
        <v>43</v>
      </c>
      <c r="Z7" s="29" t="s">
        <v>4</v>
      </c>
      <c r="AA7" s="34"/>
    </row>
    <row r="8" spans="1:28" ht="30" x14ac:dyDescent="0.25">
      <c r="A8" s="38"/>
      <c r="B8" s="38"/>
      <c r="C8" s="38"/>
      <c r="D8" s="85" t="s">
        <v>60</v>
      </c>
      <c r="E8" s="178" t="s">
        <v>195</v>
      </c>
      <c r="F8" s="37" t="s">
        <v>61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9"/>
      <c r="V8" s="38"/>
      <c r="W8" s="38"/>
      <c r="X8" s="38"/>
      <c r="Y8" s="38"/>
      <c r="Z8" s="38"/>
      <c r="AA8" s="86"/>
    </row>
    <row r="9" spans="1:28" s="263" customFormat="1" ht="230.25" customHeight="1" x14ac:dyDescent="0.2">
      <c r="A9" s="208" t="s">
        <v>82</v>
      </c>
      <c r="B9" s="232" t="s">
        <v>294</v>
      </c>
      <c r="C9" s="226" t="s">
        <v>108</v>
      </c>
      <c r="D9" s="211" t="s">
        <v>278</v>
      </c>
      <c r="E9" s="305">
        <v>45566</v>
      </c>
      <c r="F9" s="212" t="s">
        <v>74</v>
      </c>
      <c r="G9" s="230">
        <v>15</v>
      </c>
      <c r="H9" s="306">
        <f>I9/G9</f>
        <v>625.93333333333328</v>
      </c>
      <c r="I9" s="217">
        <v>9389</v>
      </c>
      <c r="J9" s="217"/>
      <c r="K9" s="219">
        <f t="shared" ref="K9:K17" si="0">SUM(I9:I9)</f>
        <v>9389</v>
      </c>
      <c r="L9" s="240">
        <f>IF(I9/15&lt;=SMG,0,J9/2)</f>
        <v>0</v>
      </c>
      <c r="M9" s="259">
        <f>(I9+L9)/G9*30.4</f>
        <v>19028.373333333329</v>
      </c>
      <c r="N9" s="259">
        <f>VLOOKUP(M9,Tarifa,1)</f>
        <v>15487.72</v>
      </c>
      <c r="O9" s="240">
        <f>M9-N9</f>
        <v>3540.65333333333</v>
      </c>
      <c r="P9" s="241">
        <f>VLOOKUP(M9,Tarifa,3)</f>
        <v>0.21360000000000001</v>
      </c>
      <c r="Q9" s="240">
        <f>O9*P9</f>
        <v>756.2835519999993</v>
      </c>
      <c r="R9" s="242">
        <f>VLOOKUP(M9,Tarifa,2)</f>
        <v>1640.18</v>
      </c>
      <c r="S9" s="240">
        <f>Q9+R9</f>
        <v>2396.4635519999993</v>
      </c>
      <c r="T9" s="240">
        <f>VLOOKUP(M9,Credito,2)</f>
        <v>0</v>
      </c>
      <c r="U9" s="240">
        <f>ROUND((S9-T9)/30.4*G9,2)</f>
        <v>1182.47</v>
      </c>
      <c r="V9" s="219">
        <f>-IF(U9&gt;0,0,U9)</f>
        <v>0</v>
      </c>
      <c r="W9" s="219">
        <f>IF(I9/15&lt;=SMG,0,IF(U9&lt;0,0,U9))</f>
        <v>1182.47</v>
      </c>
      <c r="X9" s="220">
        <v>0</v>
      </c>
      <c r="Y9" s="219">
        <f t="shared" ref="Y9:Y16" si="1">SUM(W9:X9)</f>
        <v>1182.47</v>
      </c>
      <c r="Z9" s="219">
        <f t="shared" ref="Z9:Z17" si="2">K9+V9-Y9</f>
        <v>8206.5300000000007</v>
      </c>
      <c r="AA9" s="307"/>
    </row>
    <row r="10" spans="1:28" s="263" customFormat="1" ht="230.25" customHeight="1" x14ac:dyDescent="0.2">
      <c r="A10" s="208" t="s">
        <v>83</v>
      </c>
      <c r="B10" s="232" t="s">
        <v>292</v>
      </c>
      <c r="C10" s="226" t="s">
        <v>108</v>
      </c>
      <c r="D10" s="211" t="s">
        <v>279</v>
      </c>
      <c r="E10" s="305">
        <v>45566</v>
      </c>
      <c r="F10" s="212" t="s">
        <v>74</v>
      </c>
      <c r="G10" s="230">
        <v>15</v>
      </c>
      <c r="H10" s="306">
        <f>I10/G10</f>
        <v>625.93333333333328</v>
      </c>
      <c r="I10" s="217">
        <v>9389</v>
      </c>
      <c r="J10" s="217"/>
      <c r="K10" s="219">
        <f t="shared" si="0"/>
        <v>9389</v>
      </c>
      <c r="L10" s="240">
        <f>IF(I10/15&lt;=SMG,0,J10/2)</f>
        <v>0</v>
      </c>
      <c r="M10" s="259">
        <f>(I10+L10)/G10*30.4</f>
        <v>19028.373333333329</v>
      </c>
      <c r="N10" s="259">
        <f>VLOOKUP(M10,Tarifa,1)</f>
        <v>15487.72</v>
      </c>
      <c r="O10" s="240">
        <f>M10-N10</f>
        <v>3540.65333333333</v>
      </c>
      <c r="P10" s="241">
        <f>VLOOKUP(M10,Tarifa,3)</f>
        <v>0.21360000000000001</v>
      </c>
      <c r="Q10" s="240">
        <f>O10*P10</f>
        <v>756.2835519999993</v>
      </c>
      <c r="R10" s="242">
        <f>VLOOKUP(M10,Tarifa,2)</f>
        <v>1640.18</v>
      </c>
      <c r="S10" s="240">
        <f>Q10+R10</f>
        <v>2396.4635519999993</v>
      </c>
      <c r="T10" s="240">
        <f>VLOOKUP(M10,Credito,2)</f>
        <v>0</v>
      </c>
      <c r="U10" s="240">
        <f>ROUND((S10-T10)/30.4*G10,2)</f>
        <v>1182.47</v>
      </c>
      <c r="V10" s="219">
        <f t="shared" ref="V10:V17" si="3">-IF(U10&gt;0,0,U10)</f>
        <v>0</v>
      </c>
      <c r="W10" s="219">
        <f t="shared" ref="W10:W17" si="4">IF(I10/15&lt;=SMG,0,IF(U10&lt;0,0,U10))</f>
        <v>1182.47</v>
      </c>
      <c r="X10" s="220">
        <v>0</v>
      </c>
      <c r="Y10" s="219">
        <f t="shared" si="1"/>
        <v>1182.47</v>
      </c>
      <c r="Z10" s="219">
        <f t="shared" si="2"/>
        <v>8206.5300000000007</v>
      </c>
      <c r="AA10" s="307"/>
    </row>
    <row r="11" spans="1:28" s="263" customFormat="1" ht="230.25" customHeight="1" x14ac:dyDescent="0.2">
      <c r="A11" s="208" t="s">
        <v>84</v>
      </c>
      <c r="B11" s="232" t="s">
        <v>293</v>
      </c>
      <c r="C11" s="226" t="s">
        <v>108</v>
      </c>
      <c r="D11" s="211" t="s">
        <v>290</v>
      </c>
      <c r="E11" s="305">
        <v>45566</v>
      </c>
      <c r="F11" s="212" t="s">
        <v>74</v>
      </c>
      <c r="G11" s="230">
        <v>15</v>
      </c>
      <c r="H11" s="306">
        <f>I11/G11</f>
        <v>625.93333333333328</v>
      </c>
      <c r="I11" s="217">
        <v>9389</v>
      </c>
      <c r="J11" s="217"/>
      <c r="K11" s="219">
        <f t="shared" si="0"/>
        <v>9389</v>
      </c>
      <c r="L11" s="240">
        <f>IF(I11/15&lt;=SMG,0,J11/2)</f>
        <v>0</v>
      </c>
      <c r="M11" s="259">
        <f>(I11+L11)/G11*30.4</f>
        <v>19028.373333333329</v>
      </c>
      <c r="N11" s="259">
        <f>VLOOKUP(M11,Tarifa,1)</f>
        <v>15487.72</v>
      </c>
      <c r="O11" s="240">
        <f>M11-N11</f>
        <v>3540.65333333333</v>
      </c>
      <c r="P11" s="241">
        <f>VLOOKUP(M11,Tarifa,3)</f>
        <v>0.21360000000000001</v>
      </c>
      <c r="Q11" s="240">
        <f>O11*P11</f>
        <v>756.2835519999993</v>
      </c>
      <c r="R11" s="242">
        <f>VLOOKUP(M11,Tarifa,2)</f>
        <v>1640.18</v>
      </c>
      <c r="S11" s="240">
        <f>Q11+R11</f>
        <v>2396.4635519999993</v>
      </c>
      <c r="T11" s="240">
        <f>VLOOKUP(M11,Credito,2)</f>
        <v>0</v>
      </c>
      <c r="U11" s="240">
        <f>ROUND((S11-T11)/30.4*G11,2)</f>
        <v>1182.47</v>
      </c>
      <c r="V11" s="219">
        <f t="shared" si="3"/>
        <v>0</v>
      </c>
      <c r="W11" s="219">
        <f t="shared" si="4"/>
        <v>1182.47</v>
      </c>
      <c r="X11" s="220">
        <v>0</v>
      </c>
      <c r="Y11" s="219">
        <f t="shared" si="1"/>
        <v>1182.47</v>
      </c>
      <c r="Z11" s="219">
        <f t="shared" si="2"/>
        <v>8206.5300000000007</v>
      </c>
      <c r="AA11" s="308"/>
    </row>
    <row r="12" spans="1:28" s="263" customFormat="1" ht="230.25" customHeight="1" x14ac:dyDescent="0.2">
      <c r="A12" s="208" t="s">
        <v>85</v>
      </c>
      <c r="B12" s="232" t="s">
        <v>291</v>
      </c>
      <c r="C12" s="226" t="s">
        <v>108</v>
      </c>
      <c r="D12" s="211" t="s">
        <v>280</v>
      </c>
      <c r="E12" s="305">
        <v>45566</v>
      </c>
      <c r="F12" s="212" t="s">
        <v>74</v>
      </c>
      <c r="G12" s="230">
        <v>15</v>
      </c>
      <c r="H12" s="306">
        <f>I12/G12</f>
        <v>625.93333333333328</v>
      </c>
      <c r="I12" s="217">
        <v>9389</v>
      </c>
      <c r="J12" s="217"/>
      <c r="K12" s="219">
        <f t="shared" ref="K12" si="5">SUM(I12:I12)</f>
        <v>9389</v>
      </c>
      <c r="L12" s="240">
        <f>IF(I12/15&lt;=SMG,0,J12/2)</f>
        <v>0</v>
      </c>
      <c r="M12" s="259">
        <f>(I12+L12)/G12*30.4</f>
        <v>19028.373333333329</v>
      </c>
      <c r="N12" s="259">
        <f>VLOOKUP(M12,Tarifa,1)</f>
        <v>15487.72</v>
      </c>
      <c r="O12" s="240">
        <f>M12-N12</f>
        <v>3540.65333333333</v>
      </c>
      <c r="P12" s="241">
        <f>VLOOKUP(M12,Tarifa,3)</f>
        <v>0.21360000000000001</v>
      </c>
      <c r="Q12" s="240">
        <f>O12*P12</f>
        <v>756.2835519999993</v>
      </c>
      <c r="R12" s="242">
        <f>VLOOKUP(M12,Tarifa,2)</f>
        <v>1640.18</v>
      </c>
      <c r="S12" s="240">
        <f>Q12+R12</f>
        <v>2396.4635519999993</v>
      </c>
      <c r="T12" s="240">
        <f>VLOOKUP(M12,Credito,2)</f>
        <v>0</v>
      </c>
      <c r="U12" s="240">
        <f>ROUND((S12-T12)/30.4*G12,2)</f>
        <v>1182.47</v>
      </c>
      <c r="V12" s="219">
        <f t="shared" si="3"/>
        <v>0</v>
      </c>
      <c r="W12" s="219">
        <f t="shared" si="4"/>
        <v>1182.47</v>
      </c>
      <c r="X12" s="220">
        <v>0</v>
      </c>
      <c r="Y12" s="219">
        <f t="shared" si="1"/>
        <v>1182.47</v>
      </c>
      <c r="Z12" s="219">
        <f t="shared" si="2"/>
        <v>8206.5300000000007</v>
      </c>
      <c r="AA12" s="307"/>
    </row>
    <row r="13" spans="1:28" s="263" customFormat="1" ht="230.25" customHeight="1" x14ac:dyDescent="0.2">
      <c r="A13" s="208" t="s">
        <v>86</v>
      </c>
      <c r="B13" s="232" t="s">
        <v>295</v>
      </c>
      <c r="C13" s="226" t="s">
        <v>108</v>
      </c>
      <c r="D13" s="233" t="s">
        <v>281</v>
      </c>
      <c r="E13" s="305">
        <v>45566</v>
      </c>
      <c r="F13" s="234" t="s">
        <v>74</v>
      </c>
      <c r="G13" s="230">
        <v>15</v>
      </c>
      <c r="H13" s="306">
        <f>I13/G13</f>
        <v>625.93333333333328</v>
      </c>
      <c r="I13" s="217">
        <v>9389</v>
      </c>
      <c r="J13" s="217"/>
      <c r="K13" s="219">
        <f t="shared" ref="K13" si="6">SUM(I13:I13)</f>
        <v>9389</v>
      </c>
      <c r="L13" s="240">
        <f>IF(I13/15&lt;=SMG,0,J13/2)</f>
        <v>0</v>
      </c>
      <c r="M13" s="259">
        <f>(I13+L13)/G13*30.4</f>
        <v>19028.373333333329</v>
      </c>
      <c r="N13" s="259">
        <f>VLOOKUP(M13,Tarifa,1)</f>
        <v>15487.72</v>
      </c>
      <c r="O13" s="240">
        <f>M13-N13</f>
        <v>3540.65333333333</v>
      </c>
      <c r="P13" s="241">
        <f>VLOOKUP(M13,Tarifa,3)</f>
        <v>0.21360000000000001</v>
      </c>
      <c r="Q13" s="240">
        <f>O13*P13</f>
        <v>756.2835519999993</v>
      </c>
      <c r="R13" s="242">
        <f>VLOOKUP(M13,Tarifa,2)</f>
        <v>1640.18</v>
      </c>
      <c r="S13" s="240">
        <f>Q13+R13</f>
        <v>2396.4635519999993</v>
      </c>
      <c r="T13" s="240">
        <f>VLOOKUP(M13,Credito,2)</f>
        <v>0</v>
      </c>
      <c r="U13" s="240">
        <f>ROUND((S13-T13)/30.4*G13,2)</f>
        <v>1182.47</v>
      </c>
      <c r="V13" s="219">
        <f t="shared" ref="V13" si="7">-IF(U13&gt;0,0,U13)</f>
        <v>0</v>
      </c>
      <c r="W13" s="219">
        <f t="shared" si="4"/>
        <v>1182.47</v>
      </c>
      <c r="X13" s="220">
        <v>0</v>
      </c>
      <c r="Y13" s="219">
        <f t="shared" ref="Y13" si="8">SUM(W13:X13)</f>
        <v>1182.47</v>
      </c>
      <c r="Z13" s="219">
        <f t="shared" ref="Z13" si="9">K13+V13-Y13</f>
        <v>8206.5300000000007</v>
      </c>
      <c r="AA13" s="307"/>
    </row>
    <row r="14" spans="1:28" s="263" customFormat="1" ht="216.75" customHeight="1" x14ac:dyDescent="0.2">
      <c r="A14" s="208" t="s">
        <v>87</v>
      </c>
      <c r="B14" s="232" t="s">
        <v>284</v>
      </c>
      <c r="C14" s="226" t="s">
        <v>108</v>
      </c>
      <c r="D14" s="211" t="s">
        <v>285</v>
      </c>
      <c r="E14" s="305">
        <v>45566</v>
      </c>
      <c r="F14" s="212" t="s">
        <v>74</v>
      </c>
      <c r="G14" s="230">
        <v>15</v>
      </c>
      <c r="H14" s="306">
        <f>I14/G14</f>
        <v>625.93333333333328</v>
      </c>
      <c r="I14" s="217">
        <v>9389</v>
      </c>
      <c r="J14" s="217"/>
      <c r="K14" s="219">
        <f t="shared" si="0"/>
        <v>9389</v>
      </c>
      <c r="L14" s="240">
        <f>IF(I14/15&lt;=SMG,0,J14/2)</f>
        <v>0</v>
      </c>
      <c r="M14" s="259">
        <f>(I14+L14)/G14*30.4</f>
        <v>19028.373333333329</v>
      </c>
      <c r="N14" s="259">
        <f>VLOOKUP(M14,Tarifa,1)</f>
        <v>15487.72</v>
      </c>
      <c r="O14" s="240">
        <f>M14-N14</f>
        <v>3540.65333333333</v>
      </c>
      <c r="P14" s="241">
        <f>VLOOKUP(M14,Tarifa,3)</f>
        <v>0.21360000000000001</v>
      </c>
      <c r="Q14" s="240">
        <f>O14*P14</f>
        <v>756.2835519999993</v>
      </c>
      <c r="R14" s="242">
        <f>VLOOKUP(M14,Tarifa,2)</f>
        <v>1640.18</v>
      </c>
      <c r="S14" s="240">
        <f>Q14+R14</f>
        <v>2396.4635519999993</v>
      </c>
      <c r="T14" s="240">
        <f>VLOOKUP(M14,Credito,2)</f>
        <v>0</v>
      </c>
      <c r="U14" s="240">
        <f>ROUND((S14-T14)/30.4*G14,2)</f>
        <v>1182.47</v>
      </c>
      <c r="V14" s="219">
        <f t="shared" si="3"/>
        <v>0</v>
      </c>
      <c r="W14" s="219">
        <f t="shared" si="4"/>
        <v>1182.47</v>
      </c>
      <c r="X14" s="220">
        <v>0</v>
      </c>
      <c r="Y14" s="219">
        <f t="shared" si="1"/>
        <v>1182.47</v>
      </c>
      <c r="Z14" s="219">
        <f t="shared" si="2"/>
        <v>8206.5300000000007</v>
      </c>
      <c r="AA14" s="307"/>
    </row>
    <row r="15" spans="1:28" s="263" customFormat="1" ht="216.75" customHeight="1" x14ac:dyDescent="0.2">
      <c r="A15" s="208" t="s">
        <v>88</v>
      </c>
      <c r="B15" s="232" t="s">
        <v>283</v>
      </c>
      <c r="C15" s="226" t="s">
        <v>108</v>
      </c>
      <c r="D15" s="211" t="s">
        <v>282</v>
      </c>
      <c r="E15" s="305">
        <v>45566</v>
      </c>
      <c r="F15" s="212" t="s">
        <v>74</v>
      </c>
      <c r="G15" s="230">
        <v>15</v>
      </c>
      <c r="H15" s="306">
        <f>I15/G15</f>
        <v>625.93333333333328</v>
      </c>
      <c r="I15" s="217">
        <v>9389</v>
      </c>
      <c r="J15" s="217"/>
      <c r="K15" s="219">
        <f t="shared" si="0"/>
        <v>9389</v>
      </c>
      <c r="L15" s="240">
        <f>IF(I15/15&lt;=SMG,0,J15/2)</f>
        <v>0</v>
      </c>
      <c r="M15" s="259">
        <f>(I15+L15)/G15*30.4</f>
        <v>19028.373333333329</v>
      </c>
      <c r="N15" s="259">
        <f>VLOOKUP(M15,Tarifa,1)</f>
        <v>15487.72</v>
      </c>
      <c r="O15" s="240">
        <f>M15-N15</f>
        <v>3540.65333333333</v>
      </c>
      <c r="P15" s="241">
        <f>VLOOKUP(M15,Tarifa,3)</f>
        <v>0.21360000000000001</v>
      </c>
      <c r="Q15" s="240">
        <f>O15*P15</f>
        <v>756.2835519999993</v>
      </c>
      <c r="R15" s="242">
        <f>VLOOKUP(M15,Tarifa,2)</f>
        <v>1640.18</v>
      </c>
      <c r="S15" s="240">
        <f>Q15+R15</f>
        <v>2396.4635519999993</v>
      </c>
      <c r="T15" s="240">
        <f>VLOOKUP(M15,Credito,2)</f>
        <v>0</v>
      </c>
      <c r="U15" s="240">
        <f>ROUND((S15-T15)/30.4*G15,2)</f>
        <v>1182.47</v>
      </c>
      <c r="V15" s="219">
        <f t="shared" si="3"/>
        <v>0</v>
      </c>
      <c r="W15" s="219">
        <f t="shared" si="4"/>
        <v>1182.47</v>
      </c>
      <c r="X15" s="220">
        <v>0</v>
      </c>
      <c r="Y15" s="219">
        <f t="shared" si="1"/>
        <v>1182.47</v>
      </c>
      <c r="Z15" s="219">
        <f t="shared" si="2"/>
        <v>8206.5300000000007</v>
      </c>
      <c r="AA15" s="307"/>
    </row>
    <row r="16" spans="1:28" s="263" customFormat="1" ht="216.75" customHeight="1" x14ac:dyDescent="0.2">
      <c r="A16" s="208" t="s">
        <v>89</v>
      </c>
      <c r="B16" s="232" t="s">
        <v>296</v>
      </c>
      <c r="C16" s="226" t="s">
        <v>108</v>
      </c>
      <c r="D16" s="211" t="s">
        <v>288</v>
      </c>
      <c r="E16" s="305">
        <v>45566</v>
      </c>
      <c r="F16" s="212" t="s">
        <v>74</v>
      </c>
      <c r="G16" s="230">
        <v>15</v>
      </c>
      <c r="H16" s="306">
        <f>I16/G16</f>
        <v>625.93333333333328</v>
      </c>
      <c r="I16" s="217">
        <v>9389</v>
      </c>
      <c r="J16" s="217"/>
      <c r="K16" s="219">
        <f t="shared" si="0"/>
        <v>9389</v>
      </c>
      <c r="L16" s="240">
        <f>IF(I16/15&lt;=SMG,0,J16/2)</f>
        <v>0</v>
      </c>
      <c r="M16" s="259">
        <f>(I16+L16)/G16*30.4</f>
        <v>19028.373333333329</v>
      </c>
      <c r="N16" s="259">
        <f>VLOOKUP(M16,Tarifa,1)</f>
        <v>15487.72</v>
      </c>
      <c r="O16" s="240">
        <f>M16-N16</f>
        <v>3540.65333333333</v>
      </c>
      <c r="P16" s="241">
        <f>VLOOKUP(M16,Tarifa,3)</f>
        <v>0.21360000000000001</v>
      </c>
      <c r="Q16" s="240">
        <f>O16*P16</f>
        <v>756.2835519999993</v>
      </c>
      <c r="R16" s="242">
        <f>VLOOKUP(M16,Tarifa,2)</f>
        <v>1640.18</v>
      </c>
      <c r="S16" s="240">
        <f>Q16+R16</f>
        <v>2396.4635519999993</v>
      </c>
      <c r="T16" s="240">
        <f>VLOOKUP(M16,Credito,2)</f>
        <v>0</v>
      </c>
      <c r="U16" s="240">
        <f>ROUND((S16-T16)/30.4*G16,2)</f>
        <v>1182.47</v>
      </c>
      <c r="V16" s="219">
        <f t="shared" si="3"/>
        <v>0</v>
      </c>
      <c r="W16" s="219">
        <f t="shared" si="4"/>
        <v>1182.47</v>
      </c>
      <c r="X16" s="220">
        <v>0</v>
      </c>
      <c r="Y16" s="219">
        <f t="shared" si="1"/>
        <v>1182.47</v>
      </c>
      <c r="Z16" s="219">
        <f t="shared" si="2"/>
        <v>8206.5300000000007</v>
      </c>
      <c r="AA16" s="307"/>
    </row>
    <row r="17" spans="1:27" s="263" customFormat="1" ht="216.75" customHeight="1" x14ac:dyDescent="0.2">
      <c r="A17" s="208" t="s">
        <v>90</v>
      </c>
      <c r="B17" s="232" t="s">
        <v>297</v>
      </c>
      <c r="C17" s="226" t="s">
        <v>108</v>
      </c>
      <c r="D17" s="211" t="s">
        <v>289</v>
      </c>
      <c r="E17" s="305">
        <v>45566</v>
      </c>
      <c r="F17" s="212" t="s">
        <v>74</v>
      </c>
      <c r="G17" s="230">
        <v>15</v>
      </c>
      <c r="H17" s="306">
        <f>I17/G17</f>
        <v>625.93333333333328</v>
      </c>
      <c r="I17" s="217">
        <v>9389</v>
      </c>
      <c r="J17" s="217"/>
      <c r="K17" s="219">
        <f t="shared" si="0"/>
        <v>9389</v>
      </c>
      <c r="L17" s="240">
        <f>IF(I17/15&lt;=SMG,0,J17/2)</f>
        <v>0</v>
      </c>
      <c r="M17" s="259">
        <f>(I17+L17)/G17*30.4</f>
        <v>19028.373333333329</v>
      </c>
      <c r="N17" s="259">
        <f>VLOOKUP(M17,Tarifa,1)</f>
        <v>15487.72</v>
      </c>
      <c r="O17" s="240">
        <f>M17-N17</f>
        <v>3540.65333333333</v>
      </c>
      <c r="P17" s="241">
        <f>VLOOKUP(M17,Tarifa,3)</f>
        <v>0.21360000000000001</v>
      </c>
      <c r="Q17" s="240">
        <f>O17*P17</f>
        <v>756.2835519999993</v>
      </c>
      <c r="R17" s="242">
        <f>VLOOKUP(M17,Tarifa,2)</f>
        <v>1640.18</v>
      </c>
      <c r="S17" s="240">
        <f>Q17+R17</f>
        <v>2396.4635519999993</v>
      </c>
      <c r="T17" s="240">
        <f>VLOOKUP(M17,Credito,2)</f>
        <v>0</v>
      </c>
      <c r="U17" s="240">
        <f>ROUND((S17-T17)/30.4*G17,2)</f>
        <v>1182.47</v>
      </c>
      <c r="V17" s="219">
        <f t="shared" si="3"/>
        <v>0</v>
      </c>
      <c r="W17" s="219">
        <f t="shared" si="4"/>
        <v>1182.47</v>
      </c>
      <c r="X17" s="220">
        <v>0</v>
      </c>
      <c r="Y17" s="219">
        <f>SUM(W17:X17)</f>
        <v>1182.47</v>
      </c>
      <c r="Z17" s="219">
        <f t="shared" si="2"/>
        <v>8206.5300000000007</v>
      </c>
      <c r="AA17" s="307"/>
    </row>
    <row r="18" spans="1:27" ht="21.75" customHeight="1" x14ac:dyDescent="0.25">
      <c r="A18" s="130"/>
      <c r="B18" s="130"/>
      <c r="C18" s="130"/>
      <c r="D18" s="130"/>
      <c r="E18" s="130"/>
      <c r="F18" s="130"/>
      <c r="G18" s="130"/>
      <c r="H18" s="130"/>
      <c r="I18" s="136"/>
      <c r="J18" s="136"/>
      <c r="K18" s="136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</row>
    <row r="19" spans="1:27" ht="40.5" customHeight="1" thickBot="1" x14ac:dyDescent="0.35">
      <c r="A19" s="348" t="s">
        <v>44</v>
      </c>
      <c r="B19" s="349"/>
      <c r="C19" s="349"/>
      <c r="D19" s="349"/>
      <c r="E19" s="349"/>
      <c r="F19" s="349"/>
      <c r="G19" s="349"/>
      <c r="H19" s="350"/>
      <c r="I19" s="182">
        <f>SUM(I9:I18)</f>
        <v>84501</v>
      </c>
      <c r="J19" s="182"/>
      <c r="K19" s="182">
        <f>SUM(K9:K18)</f>
        <v>84501</v>
      </c>
      <c r="L19" s="183">
        <f t="shared" ref="L19:U19" si="10">SUM(L9:L18)</f>
        <v>0</v>
      </c>
      <c r="M19" s="183">
        <f t="shared" si="10"/>
        <v>171255.35999999993</v>
      </c>
      <c r="N19" s="183">
        <f t="shared" si="10"/>
        <v>139389.47999999998</v>
      </c>
      <c r="O19" s="183">
        <f t="shared" si="10"/>
        <v>31865.879999999961</v>
      </c>
      <c r="P19" s="183">
        <f t="shared" si="10"/>
        <v>1.9224000000000001</v>
      </c>
      <c r="Q19" s="183">
        <f t="shared" si="10"/>
        <v>6806.5519679999925</v>
      </c>
      <c r="R19" s="183">
        <f t="shared" si="10"/>
        <v>14761.62</v>
      </c>
      <c r="S19" s="183">
        <f t="shared" si="10"/>
        <v>21568.171967999995</v>
      </c>
      <c r="T19" s="183">
        <f t="shared" si="10"/>
        <v>0</v>
      </c>
      <c r="U19" s="183">
        <f t="shared" si="10"/>
        <v>10642.23</v>
      </c>
      <c r="V19" s="182">
        <f>SUM(V9:V18)</f>
        <v>0</v>
      </c>
      <c r="W19" s="182">
        <f>SUM(W9:W18)</f>
        <v>10642.23</v>
      </c>
      <c r="X19" s="182">
        <f>SUM(X9:X18)</f>
        <v>0</v>
      </c>
      <c r="Y19" s="182">
        <f>SUM(Y9:Y18)</f>
        <v>10642.23</v>
      </c>
      <c r="Z19" s="182">
        <f>SUM(Z9:Z18)</f>
        <v>73858.77</v>
      </c>
    </row>
    <row r="20" spans="1:27" ht="13.5" thickTop="1" x14ac:dyDescent="0.2"/>
  </sheetData>
  <sortState xmlns:xlrd2="http://schemas.microsoft.com/office/spreadsheetml/2017/richdata2" ref="D9:D17">
    <sortCondition ref="D9"/>
  </sortState>
  <mergeCells count="7">
    <mergeCell ref="A19:H19"/>
    <mergeCell ref="A1:AA1"/>
    <mergeCell ref="A2:AA2"/>
    <mergeCell ref="I5:K5"/>
    <mergeCell ref="N5:S5"/>
    <mergeCell ref="W5:Y5"/>
    <mergeCell ref="A3:AB3"/>
  </mergeCells>
  <pageMargins left="0.27559055118110237" right="0.39370078740157483" top="0.74803149606299213" bottom="0.19685039370078741" header="0.31496062992125984" footer="0.31496062992125984"/>
  <pageSetup scale="41" orientation="landscape" horizontalDpi="4294967293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12"/>
  <sheetViews>
    <sheetView zoomScale="70" zoomScaleNormal="70" workbookViewId="0">
      <selection activeCell="W28" sqref="W28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17.28515625" customWidth="1"/>
    <col min="5" max="5" width="19.85546875" customWidth="1"/>
    <col min="6" max="6" width="11.5703125" hidden="1" customWidth="1"/>
    <col min="7" max="7" width="9.140625" hidden="1" customWidth="1"/>
    <col min="8" max="8" width="15.85546875" bestFit="1" customWidth="1"/>
    <col min="9" max="9" width="8.7109375" customWidth="1"/>
    <col min="10" max="10" width="15.85546875" bestFit="1" customWidth="1"/>
    <col min="11" max="11" width="11.42578125" hidden="1" customWidth="1"/>
    <col min="12" max="12" width="14.85546875" hidden="1" customWidth="1"/>
    <col min="13" max="13" width="14.7109375" hidden="1" customWidth="1"/>
    <col min="14" max="14" width="13" hidden="1" customWidth="1"/>
    <col min="15" max="15" width="11.42578125" hidden="1" customWidth="1"/>
    <col min="16" max="16" width="13.28515625" hidden="1" customWidth="1"/>
    <col min="17" max="18" width="12.5703125" hidden="1" customWidth="1"/>
    <col min="19" max="19" width="11.42578125" hidden="1" customWidth="1"/>
    <col min="20" max="20" width="12.85546875" hidden="1" customWidth="1"/>
    <col min="21" max="21" width="8.85546875" customWidth="1"/>
    <col min="22" max="22" width="13.85546875" customWidth="1"/>
    <col min="23" max="23" width="14" customWidth="1"/>
    <col min="24" max="24" width="15.140625" customWidth="1"/>
    <col min="25" max="25" width="15.85546875" bestFit="1" customWidth="1"/>
    <col min="26" max="26" width="57" customWidth="1"/>
  </cols>
  <sheetData>
    <row r="1" spans="1:27" ht="18" x14ac:dyDescent="0.25">
      <c r="A1" s="362" t="s">
        <v>77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</row>
    <row r="2" spans="1:27" ht="18" x14ac:dyDescent="0.25">
      <c r="A2" s="362" t="s">
        <v>64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</row>
    <row r="3" spans="1:27" ht="19.5" x14ac:dyDescent="0.25">
      <c r="A3" s="352" t="str">
        <f>PRESIDENCIA!A3</f>
        <v>SUELDO  DEL 16 AL 30 DE JUNIO DE 2025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27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7" x14ac:dyDescent="0.2">
      <c r="A5" s="22"/>
      <c r="B5" s="22"/>
      <c r="C5" s="22"/>
      <c r="D5" s="22"/>
      <c r="E5" s="22"/>
      <c r="F5" s="23" t="s">
        <v>22</v>
      </c>
      <c r="G5" s="23" t="s">
        <v>5</v>
      </c>
      <c r="H5" s="363" t="s">
        <v>1</v>
      </c>
      <c r="I5" s="364"/>
      <c r="J5" s="365"/>
      <c r="K5" s="24" t="s">
        <v>25</v>
      </c>
      <c r="L5" s="25"/>
      <c r="M5" s="366" t="s">
        <v>8</v>
      </c>
      <c r="N5" s="367"/>
      <c r="O5" s="367"/>
      <c r="P5" s="367"/>
      <c r="Q5" s="367"/>
      <c r="R5" s="368"/>
      <c r="S5" s="24" t="s">
        <v>29</v>
      </c>
      <c r="T5" s="24" t="s">
        <v>9</v>
      </c>
      <c r="U5" s="23" t="s">
        <v>52</v>
      </c>
      <c r="V5" s="369" t="s">
        <v>2</v>
      </c>
      <c r="W5" s="370"/>
      <c r="X5" s="371"/>
      <c r="Y5" s="23" t="s">
        <v>0</v>
      </c>
      <c r="Z5" s="33"/>
    </row>
    <row r="6" spans="1:27" ht="22.5" x14ac:dyDescent="0.2">
      <c r="A6" s="43" t="s">
        <v>96</v>
      </c>
      <c r="B6" s="43" t="s">
        <v>109</v>
      </c>
      <c r="C6" s="26" t="s">
        <v>21</v>
      </c>
      <c r="D6" s="26"/>
      <c r="E6" s="26"/>
      <c r="F6" s="27" t="s">
        <v>23</v>
      </c>
      <c r="G6" s="26" t="s">
        <v>24</v>
      </c>
      <c r="H6" s="23" t="s">
        <v>5</v>
      </c>
      <c r="I6" s="23" t="s">
        <v>58</v>
      </c>
      <c r="J6" s="23" t="s">
        <v>27</v>
      </c>
      <c r="K6" s="28" t="s">
        <v>26</v>
      </c>
      <c r="L6" s="25" t="s">
        <v>31</v>
      </c>
      <c r="M6" s="25" t="s">
        <v>11</v>
      </c>
      <c r="N6" s="25" t="s">
        <v>33</v>
      </c>
      <c r="O6" s="25" t="s">
        <v>35</v>
      </c>
      <c r="P6" s="25" t="s">
        <v>36</v>
      </c>
      <c r="Q6" s="25" t="s">
        <v>13</v>
      </c>
      <c r="R6" s="25" t="s">
        <v>9</v>
      </c>
      <c r="S6" s="28" t="s">
        <v>39</v>
      </c>
      <c r="T6" s="28" t="s">
        <v>40</v>
      </c>
      <c r="U6" s="26" t="s">
        <v>30</v>
      </c>
      <c r="V6" s="23" t="s">
        <v>191</v>
      </c>
      <c r="W6" s="23" t="s">
        <v>56</v>
      </c>
      <c r="X6" s="23" t="s">
        <v>6</v>
      </c>
      <c r="Y6" s="26" t="s">
        <v>3</v>
      </c>
      <c r="Z6" s="35" t="s">
        <v>57</v>
      </c>
    </row>
    <row r="7" spans="1:27" x14ac:dyDescent="0.2">
      <c r="A7" s="29"/>
      <c r="B7" s="29"/>
      <c r="C7" s="29"/>
      <c r="D7" s="29"/>
      <c r="E7" s="29"/>
      <c r="F7" s="29"/>
      <c r="G7" s="29"/>
      <c r="H7" s="29" t="s">
        <v>46</v>
      </c>
      <c r="I7" s="29" t="s">
        <v>59</v>
      </c>
      <c r="J7" s="29" t="s">
        <v>28</v>
      </c>
      <c r="K7" s="30" t="s">
        <v>42</v>
      </c>
      <c r="L7" s="24" t="s">
        <v>32</v>
      </c>
      <c r="M7" s="24" t="s">
        <v>12</v>
      </c>
      <c r="N7" s="24" t="s">
        <v>34</v>
      </c>
      <c r="O7" s="24" t="s">
        <v>34</v>
      </c>
      <c r="P7" s="24" t="s">
        <v>37</v>
      </c>
      <c r="Q7" s="24" t="s">
        <v>14</v>
      </c>
      <c r="R7" s="24" t="s">
        <v>38</v>
      </c>
      <c r="S7" s="28" t="s">
        <v>18</v>
      </c>
      <c r="T7" s="31" t="s">
        <v>41</v>
      </c>
      <c r="U7" s="29" t="s">
        <v>51</v>
      </c>
      <c r="V7" s="29"/>
      <c r="W7" s="29"/>
      <c r="X7" s="29" t="s">
        <v>43</v>
      </c>
      <c r="Y7" s="29" t="s">
        <v>4</v>
      </c>
      <c r="Z7" s="34"/>
    </row>
    <row r="8" spans="1:27" ht="40.5" x14ac:dyDescent="0.3">
      <c r="A8" s="38"/>
      <c r="B8" s="38"/>
      <c r="C8" s="195" t="s">
        <v>73</v>
      </c>
      <c r="D8" s="197" t="s">
        <v>195</v>
      </c>
      <c r="E8" s="196" t="s">
        <v>61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9"/>
      <c r="U8" s="38"/>
      <c r="V8" s="38"/>
      <c r="W8" s="38"/>
      <c r="X8" s="38"/>
      <c r="Y8" s="38"/>
      <c r="Z8" s="86"/>
    </row>
    <row r="9" spans="1:27" s="263" customFormat="1" ht="222" customHeight="1" x14ac:dyDescent="0.2">
      <c r="A9" s="232" t="s">
        <v>298</v>
      </c>
      <c r="B9" s="226" t="s">
        <v>108</v>
      </c>
      <c r="C9" s="211" t="s">
        <v>275</v>
      </c>
      <c r="D9" s="304">
        <v>45566</v>
      </c>
      <c r="E9" s="214" t="s">
        <v>178</v>
      </c>
      <c r="F9" s="215">
        <v>15</v>
      </c>
      <c r="G9" s="216">
        <f>H9/F9</f>
        <v>1332.8</v>
      </c>
      <c r="H9" s="217">
        <v>19992</v>
      </c>
      <c r="I9" s="218">
        <v>0</v>
      </c>
      <c r="J9" s="219">
        <f>SUM(H9:I9)</f>
        <v>19992</v>
      </c>
      <c r="K9" s="240">
        <f>IF(H9/15&lt;=SMG,0,I9/2)</f>
        <v>0</v>
      </c>
      <c r="L9" s="259">
        <f>(H9+K9)/F9*30.4</f>
        <v>40517.119999999995</v>
      </c>
      <c r="M9" s="259">
        <f>VLOOKUP(L9,Tarifa,1)</f>
        <v>31236.5</v>
      </c>
      <c r="N9" s="240">
        <f>L9-M9</f>
        <v>9280.6199999999953</v>
      </c>
      <c r="O9" s="241">
        <f>VLOOKUP(L9,Tarifa,3)</f>
        <v>0.23519999999999999</v>
      </c>
      <c r="P9" s="240">
        <f>N9*O9</f>
        <v>2182.8018239999988</v>
      </c>
      <c r="Q9" s="242">
        <f>VLOOKUP(L9,Tarifa,2)</f>
        <v>5004.12</v>
      </c>
      <c r="R9" s="240">
        <f>P9+Q9</f>
        <v>7186.9218239999991</v>
      </c>
      <c r="S9" s="240">
        <f>VLOOKUP(L9,Credito,2)</f>
        <v>0</v>
      </c>
      <c r="T9" s="240">
        <f>ROUND((R9-S9)/30.4*F9,2)</f>
        <v>3546.18</v>
      </c>
      <c r="U9" s="219">
        <f>-IF(T9&gt;0,0,0)</f>
        <v>0</v>
      </c>
      <c r="V9" s="219">
        <f>IF(H9/15&lt;=SMG,0,IF(T9&lt;0,0,T9))</f>
        <v>3546.18</v>
      </c>
      <c r="W9" s="220">
        <v>0</v>
      </c>
      <c r="X9" s="219">
        <f>SUM(V9:W9)</f>
        <v>3546.18</v>
      </c>
      <c r="Y9" s="219">
        <f>J9+U9-X9</f>
        <v>16445.82</v>
      </c>
      <c r="Z9" s="310"/>
    </row>
    <row r="10" spans="1:27" ht="18" x14ac:dyDescent="0.25">
      <c r="A10" s="130"/>
      <c r="B10" s="130"/>
      <c r="C10" s="130"/>
      <c r="D10" s="130"/>
      <c r="E10" s="130"/>
      <c r="F10" s="131"/>
      <c r="G10" s="130"/>
      <c r="H10" s="132"/>
      <c r="I10" s="132"/>
      <c r="J10" s="132"/>
      <c r="K10" s="133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</row>
    <row r="11" spans="1:27" ht="41.25" customHeight="1" thickBot="1" x14ac:dyDescent="0.3">
      <c r="A11" s="349"/>
      <c r="B11" s="349"/>
      <c r="C11" s="349"/>
      <c r="D11" s="349"/>
      <c r="E11" s="349"/>
      <c r="F11" s="349"/>
      <c r="G11" s="350"/>
      <c r="H11" s="128">
        <f>SUM(H9:H9)</f>
        <v>19992</v>
      </c>
      <c r="I11" s="128">
        <f>SUM(I9:I9)</f>
        <v>0</v>
      </c>
      <c r="J11" s="128">
        <f>SUM(J9:J9)</f>
        <v>19992</v>
      </c>
      <c r="K11" s="129">
        <f t="shared" ref="K11:T11" si="0">SUM(K10:K10)</f>
        <v>0</v>
      </c>
      <c r="L11" s="129">
        <f t="shared" si="0"/>
        <v>0</v>
      </c>
      <c r="M11" s="129">
        <f t="shared" si="0"/>
        <v>0</v>
      </c>
      <c r="N11" s="129">
        <f t="shared" si="0"/>
        <v>0</v>
      </c>
      <c r="O11" s="129">
        <f t="shared" si="0"/>
        <v>0</v>
      </c>
      <c r="P11" s="129">
        <f t="shared" si="0"/>
        <v>0</v>
      </c>
      <c r="Q11" s="129">
        <f t="shared" si="0"/>
        <v>0</v>
      </c>
      <c r="R11" s="129">
        <f t="shared" si="0"/>
        <v>0</v>
      </c>
      <c r="S11" s="129">
        <f t="shared" si="0"/>
        <v>0</v>
      </c>
      <c r="T11" s="129">
        <f t="shared" si="0"/>
        <v>0</v>
      </c>
      <c r="U11" s="128">
        <f>SUM(U9:U9)</f>
        <v>0</v>
      </c>
      <c r="V11" s="128">
        <f>SUM(V9:V9)</f>
        <v>3546.18</v>
      </c>
      <c r="W11" s="128">
        <f>SUM(W9:W9)</f>
        <v>0</v>
      </c>
      <c r="X11" s="128">
        <f>SUM(X9:X9)</f>
        <v>3546.18</v>
      </c>
      <c r="Y11" s="128">
        <f>SUM(Y9:Y9)</f>
        <v>16445.82</v>
      </c>
    </row>
    <row r="12" spans="1:27" ht="13.5" thickTop="1" x14ac:dyDescent="0.2"/>
  </sheetData>
  <mergeCells count="7">
    <mergeCell ref="A11:G11"/>
    <mergeCell ref="A1:AA1"/>
    <mergeCell ref="A2:AA2"/>
    <mergeCell ref="A3:AA3"/>
    <mergeCell ref="H5:J5"/>
    <mergeCell ref="M5:R5"/>
    <mergeCell ref="V5:X5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'CONTRALORIA '!Área_de_impresión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Contabilidad</cp:lastModifiedBy>
  <cp:lastPrinted>2025-06-30T20:26:18Z</cp:lastPrinted>
  <dcterms:created xsi:type="dcterms:W3CDTF">2000-05-05T04:08:27Z</dcterms:created>
  <dcterms:modified xsi:type="dcterms:W3CDTF">2025-11-18T17:57:13Z</dcterms:modified>
</cp:coreProperties>
</file>