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0.29\Users\tesor\OneDrive\Escritorio\Red\NOMINAS ENE-DIC 2026\"/>
    </mc:Choice>
  </mc:AlternateContent>
  <xr:revisionPtr revIDLastSave="0" documentId="13_ncr:1_{60D82FB6-CC4D-4500-A843-75A5178DF7E3}" xr6:coauthVersionLast="47" xr6:coauthVersionMax="47" xr10:uidLastSave="{00000000-0000-0000-0000-000000000000}"/>
  <bookViews>
    <workbookView xWindow="-120" yWindow="-120" windowWidth="20640" windowHeight="11040" tabRatio="772" firstSheet="2" activeTab="5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8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6" i="135" l="1"/>
  <c r="O36" i="135" s="1"/>
  <c r="M36" i="135"/>
  <c r="J36" i="135"/>
  <c r="V36" i="135" l="1"/>
  <c r="T36" i="135"/>
  <c r="R36" i="135"/>
  <c r="P36" i="135"/>
  <c r="Q36" i="135" s="1"/>
  <c r="S36" i="135" s="1"/>
  <c r="U36" i="135" s="1"/>
  <c r="W36" i="135" s="1"/>
  <c r="Y36" i="135" l="1"/>
  <c r="AA36" i="135" s="1"/>
  <c r="X36" i="135"/>
  <c r="AB36" i="135" l="1"/>
  <c r="N11" i="118" l="1"/>
  <c r="O11" i="118" s="1"/>
  <c r="M11" i="118"/>
  <c r="J11" i="118"/>
  <c r="V11" i="118" l="1"/>
  <c r="T11" i="118"/>
  <c r="R11" i="118"/>
  <c r="P11" i="118"/>
  <c r="Q11" i="118" s="1"/>
  <c r="S11" i="118" s="1"/>
  <c r="U11" i="118" s="1"/>
  <c r="W11" i="118" s="1"/>
  <c r="Y11" i="118" l="1"/>
  <c r="AA11" i="118" s="1"/>
  <c r="X11" i="118"/>
  <c r="AB11" i="118" l="1"/>
  <c r="J24" i="119" l="1"/>
  <c r="J22" i="119"/>
  <c r="J20" i="119"/>
  <c r="J19" i="119"/>
  <c r="J13" i="119"/>
  <c r="J11" i="119"/>
  <c r="J10" i="119"/>
  <c r="J9" i="119"/>
  <c r="K38" i="135" l="1"/>
  <c r="O21" i="132"/>
  <c r="P21" i="132" s="1"/>
  <c r="N21" i="132"/>
  <c r="O13" i="132"/>
  <c r="P13" i="132" s="1"/>
  <c r="N13" i="132"/>
  <c r="O12" i="132"/>
  <c r="P12" i="132" s="1"/>
  <c r="N12" i="132"/>
  <c r="N12" i="118"/>
  <c r="O12" i="118" s="1"/>
  <c r="M12" i="118"/>
  <c r="W21" i="132" l="1"/>
  <c r="U21" i="132"/>
  <c r="S21" i="132"/>
  <c r="Q21" i="132"/>
  <c r="R21" i="132" s="1"/>
  <c r="W13" i="132"/>
  <c r="U13" i="132"/>
  <c r="S13" i="132"/>
  <c r="Q13" i="132"/>
  <c r="R13" i="132" s="1"/>
  <c r="W12" i="132"/>
  <c r="U12" i="132"/>
  <c r="S12" i="132"/>
  <c r="Q12" i="132"/>
  <c r="R12" i="132" s="1"/>
  <c r="V12" i="118"/>
  <c r="T12" i="118"/>
  <c r="R12" i="118"/>
  <c r="P12" i="118"/>
  <c r="Q12" i="118" s="1"/>
  <c r="S12" i="118" l="1"/>
  <c r="U12" i="118" s="1"/>
  <c r="W12" i="118" s="1"/>
  <c r="X12" i="118" s="1"/>
  <c r="T12" i="132"/>
  <c r="V12" i="132" s="1"/>
  <c r="X12" i="132" s="1"/>
  <c r="Y12" i="132" s="1"/>
  <c r="T13" i="132"/>
  <c r="V13" i="132" s="1"/>
  <c r="X13" i="132" s="1"/>
  <c r="Z13" i="132" s="1"/>
  <c r="AB13" i="132" s="1"/>
  <c r="T21" i="132"/>
  <c r="V21" i="132" s="1"/>
  <c r="X21" i="132" s="1"/>
  <c r="Z21" i="132" s="1"/>
  <c r="AB21" i="132" s="1"/>
  <c r="Y12" i="118" l="1"/>
  <c r="AA12" i="118" s="1"/>
  <c r="Y13" i="132"/>
  <c r="Z12" i="132"/>
  <c r="AB12" i="132" s="1"/>
  <c r="AC12" i="132" s="1"/>
  <c r="Y21" i="132"/>
  <c r="AC21" i="132" s="1"/>
  <c r="AC13" i="132"/>
  <c r="AB12" i="118"/>
  <c r="M13" i="135" l="1"/>
  <c r="M12" i="135"/>
  <c r="M14" i="135"/>
  <c r="M11" i="135"/>
  <c r="M10" i="135"/>
  <c r="N20" i="119"/>
  <c r="O20" i="119" s="1"/>
  <c r="M20" i="119"/>
  <c r="N28" i="135"/>
  <c r="O28" i="135" s="1"/>
  <c r="M28" i="135"/>
  <c r="J28" i="135"/>
  <c r="N16" i="135"/>
  <c r="O16" i="135" s="1"/>
  <c r="M16" i="135"/>
  <c r="J16" i="135"/>
  <c r="N35" i="135"/>
  <c r="O35" i="135" s="1"/>
  <c r="M35" i="135"/>
  <c r="J35" i="135"/>
  <c r="N13" i="135"/>
  <c r="O13" i="135" s="1"/>
  <c r="N12" i="135"/>
  <c r="O12" i="135" s="1"/>
  <c r="N11" i="135"/>
  <c r="O11" i="135" s="1"/>
  <c r="N10" i="135"/>
  <c r="O10" i="135" s="1"/>
  <c r="N9" i="135"/>
  <c r="O9" i="135" s="1"/>
  <c r="M9" i="135"/>
  <c r="N33" i="135"/>
  <c r="O33" i="135" s="1"/>
  <c r="M33" i="135"/>
  <c r="J33" i="135"/>
  <c r="N34" i="135"/>
  <c r="O34" i="135" s="1"/>
  <c r="M34" i="135"/>
  <c r="J34" i="135"/>
  <c r="N27" i="121"/>
  <c r="O27" i="121" s="1"/>
  <c r="M27" i="121"/>
  <c r="N34" i="121"/>
  <c r="O34" i="121" s="1"/>
  <c r="M34" i="121"/>
  <c r="M33" i="121" s="1"/>
  <c r="J34" i="121"/>
  <c r="Z33" i="121"/>
  <c r="L33" i="121"/>
  <c r="K33" i="121"/>
  <c r="Z11" i="123"/>
  <c r="L11" i="123"/>
  <c r="K11" i="123"/>
  <c r="N13" i="123"/>
  <c r="O13" i="123" s="1"/>
  <c r="M13" i="123"/>
  <c r="J13" i="123"/>
  <c r="V20" i="119" l="1"/>
  <c r="T20" i="119"/>
  <c r="R20" i="119"/>
  <c r="P20" i="119"/>
  <c r="Q20" i="119" s="1"/>
  <c r="V28" i="135"/>
  <c r="T28" i="135"/>
  <c r="R28" i="135"/>
  <c r="P28" i="135"/>
  <c r="Q28" i="135" s="1"/>
  <c r="S28" i="135" s="1"/>
  <c r="U28" i="135" s="1"/>
  <c r="W28" i="135" s="1"/>
  <c r="V16" i="135"/>
  <c r="T16" i="135"/>
  <c r="R16" i="135"/>
  <c r="P16" i="135"/>
  <c r="Q16" i="135" s="1"/>
  <c r="V35" i="135"/>
  <c r="T35" i="135"/>
  <c r="R35" i="135"/>
  <c r="P35" i="135"/>
  <c r="Q35" i="135" s="1"/>
  <c r="S35" i="135" s="1"/>
  <c r="V13" i="135"/>
  <c r="T13" i="135"/>
  <c r="R13" i="135"/>
  <c r="P13" i="135"/>
  <c r="Q13" i="135" s="1"/>
  <c r="V12" i="135"/>
  <c r="T12" i="135"/>
  <c r="R12" i="135"/>
  <c r="P12" i="135"/>
  <c r="Q12" i="135" s="1"/>
  <c r="V11" i="135"/>
  <c r="T11" i="135"/>
  <c r="R11" i="135"/>
  <c r="P11" i="135"/>
  <c r="Q11" i="135" s="1"/>
  <c r="V10" i="135"/>
  <c r="T10" i="135"/>
  <c r="R10" i="135"/>
  <c r="P10" i="135"/>
  <c r="Q10" i="135" s="1"/>
  <c r="V9" i="135"/>
  <c r="T9" i="135"/>
  <c r="R9" i="135"/>
  <c r="P9" i="135"/>
  <c r="Q9" i="135" s="1"/>
  <c r="V33" i="135"/>
  <c r="T33" i="135"/>
  <c r="R33" i="135"/>
  <c r="P33" i="135"/>
  <c r="Q33" i="135" s="1"/>
  <c r="P34" i="135"/>
  <c r="Q34" i="135" s="1"/>
  <c r="V34" i="135"/>
  <c r="T34" i="135"/>
  <c r="R34" i="135"/>
  <c r="V27" i="121"/>
  <c r="T27" i="121"/>
  <c r="R27" i="121"/>
  <c r="P27" i="121"/>
  <c r="Q27" i="121" s="1"/>
  <c r="S27" i="121" s="1"/>
  <c r="V34" i="121"/>
  <c r="T34" i="121"/>
  <c r="R34" i="121"/>
  <c r="P34" i="121"/>
  <c r="Q34" i="121" s="1"/>
  <c r="S34" i="121" s="1"/>
  <c r="U34" i="121" s="1"/>
  <c r="P13" i="123"/>
  <c r="Q13" i="123" s="1"/>
  <c r="V13" i="123"/>
  <c r="T13" i="123"/>
  <c r="R13" i="123"/>
  <c r="S20" i="119" l="1"/>
  <c r="U20" i="119" s="1"/>
  <c r="W20" i="119" s="1"/>
  <c r="Y20" i="119" s="1"/>
  <c r="AA20" i="119" s="1"/>
  <c r="S16" i="135"/>
  <c r="W34" i="121"/>
  <c r="U16" i="135"/>
  <c r="W16" i="135" s="1"/>
  <c r="Y16" i="135" s="1"/>
  <c r="AA16" i="135" s="1"/>
  <c r="S9" i="135"/>
  <c r="S13" i="135"/>
  <c r="U13" i="135" s="1"/>
  <c r="W13" i="135" s="1"/>
  <c r="X13" i="135" s="1"/>
  <c r="S33" i="135"/>
  <c r="U33" i="135" s="1"/>
  <c r="W33" i="135" s="1"/>
  <c r="X33" i="135" s="1"/>
  <c r="Y28" i="135"/>
  <c r="AA28" i="135" s="1"/>
  <c r="X28" i="135"/>
  <c r="U9" i="135"/>
  <c r="W9" i="135" s="1"/>
  <c r="X9" i="135" s="1"/>
  <c r="U35" i="135"/>
  <c r="W35" i="135" s="1"/>
  <c r="X35" i="135" s="1"/>
  <c r="S13" i="123"/>
  <c r="U13" i="123" s="1"/>
  <c r="W13" i="123" s="1"/>
  <c r="U27" i="121"/>
  <c r="W27" i="121" s="1"/>
  <c r="X27" i="121" s="1"/>
  <c r="Y13" i="135"/>
  <c r="AA13" i="135" s="1"/>
  <c r="S12" i="135"/>
  <c r="U12" i="135" s="1"/>
  <c r="W12" i="135" s="1"/>
  <c r="Y12" i="135" s="1"/>
  <c r="AA12" i="135" s="1"/>
  <c r="S11" i="135"/>
  <c r="U11" i="135" s="1"/>
  <c r="W11" i="135" s="1"/>
  <c r="S10" i="135"/>
  <c r="U10" i="135" s="1"/>
  <c r="W10" i="135" s="1"/>
  <c r="S34" i="135"/>
  <c r="U34" i="135" s="1"/>
  <c r="W34" i="135" s="1"/>
  <c r="Y27" i="121"/>
  <c r="AA27" i="121" s="1"/>
  <c r="Y34" i="121"/>
  <c r="X34" i="121"/>
  <c r="X20" i="119" l="1"/>
  <c r="AB20" i="119" s="1"/>
  <c r="X13" i="123"/>
  <c r="Y13" i="123"/>
  <c r="AA13" i="123" s="1"/>
  <c r="X16" i="135"/>
  <c r="AB16" i="135" s="1"/>
  <c r="AB13" i="135"/>
  <c r="Y9" i="135"/>
  <c r="AA9" i="135" s="1"/>
  <c r="Y35" i="135"/>
  <c r="AA35" i="135" s="1"/>
  <c r="AB35" i="135" s="1"/>
  <c r="AB28" i="135"/>
  <c r="X12" i="135"/>
  <c r="AB12" i="135" s="1"/>
  <c r="AB27" i="121"/>
  <c r="Y11" i="135"/>
  <c r="AA11" i="135" s="1"/>
  <c r="X11" i="135"/>
  <c r="X10" i="135"/>
  <c r="Y10" i="135"/>
  <c r="AA10" i="135" s="1"/>
  <c r="Y33" i="135"/>
  <c r="AA33" i="135" s="1"/>
  <c r="AB33" i="135" s="1"/>
  <c r="Y34" i="135"/>
  <c r="AA34" i="135" s="1"/>
  <c r="X34" i="135"/>
  <c r="X33" i="121"/>
  <c r="AA34" i="121"/>
  <c r="AA33" i="121" s="1"/>
  <c r="Y33" i="121"/>
  <c r="O9" i="132"/>
  <c r="P9" i="132" s="1"/>
  <c r="N9" i="132"/>
  <c r="AB13" i="123" l="1"/>
  <c r="AB11" i="135"/>
  <c r="AB10" i="135"/>
  <c r="AB34" i="135"/>
  <c r="AB34" i="121"/>
  <c r="AB33" i="121" s="1"/>
  <c r="W9" i="132"/>
  <c r="U9" i="132"/>
  <c r="S9" i="132"/>
  <c r="Q9" i="132"/>
  <c r="R9" i="132" s="1"/>
  <c r="N10" i="133"/>
  <c r="O10" i="133" s="1"/>
  <c r="M10" i="133"/>
  <c r="J10" i="133"/>
  <c r="J22" i="135"/>
  <c r="M22" i="135"/>
  <c r="N22" i="135"/>
  <c r="O22" i="135" s="1"/>
  <c r="J12" i="135"/>
  <c r="N50" i="123"/>
  <c r="O50" i="123" s="1"/>
  <c r="M50" i="123"/>
  <c r="J50" i="123"/>
  <c r="N9" i="120"/>
  <c r="O9" i="120" s="1"/>
  <c r="M9" i="120"/>
  <c r="T9" i="132" l="1"/>
  <c r="V9" i="132" s="1"/>
  <c r="X9" i="132" s="1"/>
  <c r="Z9" i="132" s="1"/>
  <c r="AB9" i="132" s="1"/>
  <c r="V10" i="133"/>
  <c r="T10" i="133"/>
  <c r="R10" i="133"/>
  <c r="P10" i="133"/>
  <c r="Q10" i="133" s="1"/>
  <c r="P22" i="135"/>
  <c r="Q22" i="135" s="1"/>
  <c r="R22" i="135"/>
  <c r="T22" i="135"/>
  <c r="V22" i="135"/>
  <c r="V50" i="123"/>
  <c r="T50" i="123"/>
  <c r="R50" i="123"/>
  <c r="P50" i="123"/>
  <c r="Q50" i="123" s="1"/>
  <c r="V9" i="120"/>
  <c r="T9" i="120"/>
  <c r="R9" i="120"/>
  <c r="P9" i="120"/>
  <c r="Q9" i="120" s="1"/>
  <c r="N27" i="135"/>
  <c r="O27" i="135" s="1"/>
  <c r="M27" i="135"/>
  <c r="J27" i="135"/>
  <c r="N26" i="135"/>
  <c r="O26" i="135" s="1"/>
  <c r="M26" i="135"/>
  <c r="J26" i="135"/>
  <c r="N25" i="135"/>
  <c r="O25" i="135" s="1"/>
  <c r="M25" i="135"/>
  <c r="J25" i="135"/>
  <c r="N13" i="121"/>
  <c r="O13" i="121" s="1"/>
  <c r="M13" i="121"/>
  <c r="AC9" i="132" l="1"/>
  <c r="S50" i="123"/>
  <c r="S10" i="133"/>
  <c r="U10" i="133" s="1"/>
  <c r="W10" i="133" s="1"/>
  <c r="Y10" i="133" s="1"/>
  <c r="AA10" i="133" s="1"/>
  <c r="U50" i="123"/>
  <c r="W50" i="123" s="1"/>
  <c r="Y50" i="123" s="1"/>
  <c r="AA50" i="123" s="1"/>
  <c r="S22" i="135"/>
  <c r="U22" i="135" s="1"/>
  <c r="W22" i="135" s="1"/>
  <c r="S9" i="120"/>
  <c r="U9" i="120" s="1"/>
  <c r="W9" i="120" s="1"/>
  <c r="Y9" i="120" s="1"/>
  <c r="AA9" i="120" s="1"/>
  <c r="V25" i="135"/>
  <c r="T25" i="135"/>
  <c r="R25" i="135"/>
  <c r="P25" i="135"/>
  <c r="Q25" i="135" s="1"/>
  <c r="V26" i="135"/>
  <c r="T26" i="135"/>
  <c r="R26" i="135"/>
  <c r="P26" i="135"/>
  <c r="Q26" i="135" s="1"/>
  <c r="V27" i="135"/>
  <c r="T27" i="135"/>
  <c r="R27" i="135"/>
  <c r="P27" i="135"/>
  <c r="Q27" i="135" s="1"/>
  <c r="V13" i="121"/>
  <c r="T13" i="121"/>
  <c r="R13" i="121"/>
  <c r="P13" i="121"/>
  <c r="Q13" i="121" s="1"/>
  <c r="S26" i="135" l="1"/>
  <c r="X10" i="133"/>
  <c r="AB10" i="133" s="1"/>
  <c r="U26" i="135"/>
  <c r="W26" i="135" s="1"/>
  <c r="X50" i="123"/>
  <c r="AB50" i="123" s="1"/>
  <c r="X22" i="135"/>
  <c r="Y22" i="135"/>
  <c r="AA22" i="135" s="1"/>
  <c r="S25" i="135"/>
  <c r="U25" i="135" s="1"/>
  <c r="W25" i="135" s="1"/>
  <c r="S27" i="135"/>
  <c r="U27" i="135" s="1"/>
  <c r="W27" i="135" s="1"/>
  <c r="X27" i="135" s="1"/>
  <c r="X9" i="120"/>
  <c r="AB9" i="120" s="1"/>
  <c r="S13" i="121"/>
  <c r="U13" i="121" s="1"/>
  <c r="W13" i="121" s="1"/>
  <c r="Y26" i="135" l="1"/>
  <c r="AA26" i="135" s="1"/>
  <c r="X26" i="135"/>
  <c r="Y27" i="135"/>
  <c r="AA27" i="135" s="1"/>
  <c r="AB27" i="135" s="1"/>
  <c r="X13" i="121"/>
  <c r="Y13" i="121"/>
  <c r="AA13" i="121" s="1"/>
  <c r="AB13" i="121" s="1"/>
  <c r="AB22" i="135"/>
  <c r="Y25" i="135"/>
  <c r="AA25" i="135" s="1"/>
  <c r="X25" i="135"/>
  <c r="AB26" i="135"/>
  <c r="AB25" i="135" l="1"/>
  <c r="N31" i="120"/>
  <c r="O31" i="120" s="1"/>
  <c r="M31" i="120"/>
  <c r="J31" i="120"/>
  <c r="V31" i="120" l="1"/>
  <c r="T31" i="120"/>
  <c r="R31" i="120"/>
  <c r="P31" i="120"/>
  <c r="Q31" i="120" s="1"/>
  <c r="S31" i="120" l="1"/>
  <c r="U31" i="120" s="1"/>
  <c r="W31" i="120" s="1"/>
  <c r="Y31" i="120" l="1"/>
  <c r="AA31" i="120" s="1"/>
  <c r="X31" i="120"/>
  <c r="N13" i="133"/>
  <c r="O13" i="133" s="1"/>
  <c r="M13" i="133"/>
  <c r="J13" i="133"/>
  <c r="N51" i="123"/>
  <c r="O51" i="123" s="1"/>
  <c r="M51" i="123"/>
  <c r="J51" i="123"/>
  <c r="N49" i="123"/>
  <c r="O49" i="123" s="1"/>
  <c r="M49" i="123"/>
  <c r="J49" i="123"/>
  <c r="J27" i="121"/>
  <c r="N35" i="120"/>
  <c r="O35" i="120" s="1"/>
  <c r="M35" i="120"/>
  <c r="J35" i="120"/>
  <c r="N34" i="120"/>
  <c r="O34" i="120" s="1"/>
  <c r="M34" i="120"/>
  <c r="J34" i="120"/>
  <c r="N33" i="120"/>
  <c r="O33" i="120" s="1"/>
  <c r="M33" i="120"/>
  <c r="J33" i="120"/>
  <c r="N32" i="120"/>
  <c r="O32" i="120" s="1"/>
  <c r="M32" i="120"/>
  <c r="J32" i="120"/>
  <c r="N25" i="120"/>
  <c r="O25" i="120" s="1"/>
  <c r="M25" i="120"/>
  <c r="J25" i="120"/>
  <c r="N24" i="120"/>
  <c r="O24" i="120" s="1"/>
  <c r="M24" i="120"/>
  <c r="J24" i="120"/>
  <c r="AB31" i="120" l="1"/>
  <c r="V13" i="133"/>
  <c r="T13" i="133"/>
  <c r="R13" i="133"/>
  <c r="P13" i="133"/>
  <c r="Q13" i="133" s="1"/>
  <c r="V51" i="123"/>
  <c r="T51" i="123"/>
  <c r="R51" i="123"/>
  <c r="P51" i="123"/>
  <c r="Q51" i="123" s="1"/>
  <c r="V49" i="123"/>
  <c r="T49" i="123"/>
  <c r="R49" i="123"/>
  <c r="P49" i="123"/>
  <c r="Q49" i="123" s="1"/>
  <c r="V35" i="120"/>
  <c r="T35" i="120"/>
  <c r="R35" i="120"/>
  <c r="P35" i="120"/>
  <c r="Q35" i="120" s="1"/>
  <c r="R32" i="120"/>
  <c r="P32" i="120"/>
  <c r="Q32" i="120" s="1"/>
  <c r="V32" i="120"/>
  <c r="T32" i="120"/>
  <c r="R33" i="120"/>
  <c r="P33" i="120"/>
  <c r="Q33" i="120" s="1"/>
  <c r="V33" i="120"/>
  <c r="T33" i="120"/>
  <c r="R34" i="120"/>
  <c r="P34" i="120"/>
  <c r="Q34" i="120" s="1"/>
  <c r="V34" i="120"/>
  <c r="T34" i="120"/>
  <c r="V25" i="120"/>
  <c r="T25" i="120"/>
  <c r="R25" i="120"/>
  <c r="P25" i="120"/>
  <c r="Q25" i="120" s="1"/>
  <c r="V24" i="120"/>
  <c r="T24" i="120"/>
  <c r="R24" i="120"/>
  <c r="P24" i="120"/>
  <c r="Q24" i="120" s="1"/>
  <c r="N40" i="123"/>
  <c r="O40" i="123" s="1"/>
  <c r="M40" i="123"/>
  <c r="J40" i="123"/>
  <c r="N37" i="135"/>
  <c r="O37" i="135" s="1"/>
  <c r="M37" i="135"/>
  <c r="J37" i="135"/>
  <c r="J21" i="132"/>
  <c r="O10" i="132"/>
  <c r="P10" i="132" s="1"/>
  <c r="N10" i="132"/>
  <c r="N36" i="123"/>
  <c r="O36" i="123" s="1"/>
  <c r="M36" i="123"/>
  <c r="N24" i="135"/>
  <c r="O24" i="135" s="1"/>
  <c r="M24" i="135"/>
  <c r="J24" i="135"/>
  <c r="N23" i="135"/>
  <c r="O23" i="135" s="1"/>
  <c r="M23" i="135"/>
  <c r="J23" i="135"/>
  <c r="N21" i="135"/>
  <c r="O21" i="135" s="1"/>
  <c r="M21" i="135"/>
  <c r="J21" i="135"/>
  <c r="N15" i="135"/>
  <c r="O15" i="135" s="1"/>
  <c r="M15" i="135"/>
  <c r="J15" i="135"/>
  <c r="B19" i="135"/>
  <c r="B31" i="135" s="1"/>
  <c r="B3" i="135"/>
  <c r="N15" i="123"/>
  <c r="O15" i="123" s="1"/>
  <c r="M15" i="123"/>
  <c r="J15" i="123"/>
  <c r="N41" i="123"/>
  <c r="O41" i="123" s="1"/>
  <c r="M41" i="123"/>
  <c r="J41" i="123"/>
  <c r="N29" i="123"/>
  <c r="O29" i="123" s="1"/>
  <c r="M29" i="123"/>
  <c r="M28" i="123" s="1"/>
  <c r="J29" i="123"/>
  <c r="Z28" i="123"/>
  <c r="L28" i="123"/>
  <c r="K28" i="123"/>
  <c r="N26" i="121"/>
  <c r="O26" i="121" s="1"/>
  <c r="M26" i="121"/>
  <c r="J26" i="121"/>
  <c r="S35" i="120" l="1"/>
  <c r="U35" i="120" s="1"/>
  <c r="W35" i="120" s="1"/>
  <c r="X35" i="120" s="1"/>
  <c r="S49" i="123"/>
  <c r="S51" i="123"/>
  <c r="U51" i="123" s="1"/>
  <c r="W51" i="123" s="1"/>
  <c r="X51" i="123" s="1"/>
  <c r="S33" i="120"/>
  <c r="U33" i="120" s="1"/>
  <c r="W33" i="120" s="1"/>
  <c r="S24" i="120"/>
  <c r="U24" i="120" s="1"/>
  <c r="W24" i="120" s="1"/>
  <c r="Y24" i="120" s="1"/>
  <c r="AA24" i="120" s="1"/>
  <c r="S13" i="133"/>
  <c r="U13" i="133" s="1"/>
  <c r="W13" i="133" s="1"/>
  <c r="Y13" i="133" s="1"/>
  <c r="AA13" i="133" s="1"/>
  <c r="S34" i="120"/>
  <c r="U49" i="123"/>
  <c r="W49" i="123" s="1"/>
  <c r="Y49" i="123" s="1"/>
  <c r="AA49" i="123" s="1"/>
  <c r="S25" i="120"/>
  <c r="U25" i="120" s="1"/>
  <c r="W25" i="120" s="1"/>
  <c r="X25" i="120" s="1"/>
  <c r="S32" i="120"/>
  <c r="U32" i="120" s="1"/>
  <c r="W32" i="120" s="1"/>
  <c r="U34" i="120"/>
  <c r="W34" i="120" s="1"/>
  <c r="X34" i="120" s="1"/>
  <c r="Y25" i="120"/>
  <c r="AA25" i="120" s="1"/>
  <c r="V40" i="123"/>
  <c r="T40" i="123"/>
  <c r="R40" i="123"/>
  <c r="P40" i="123"/>
  <c r="Q40" i="123" s="1"/>
  <c r="V37" i="135"/>
  <c r="T37" i="135"/>
  <c r="R37" i="135"/>
  <c r="P37" i="135"/>
  <c r="Q37" i="135" s="1"/>
  <c r="W10" i="132"/>
  <c r="U10" i="132"/>
  <c r="S10" i="132"/>
  <c r="Q10" i="132"/>
  <c r="R10" i="132" s="1"/>
  <c r="V36" i="123"/>
  <c r="T36" i="123"/>
  <c r="R36" i="123"/>
  <c r="P36" i="123"/>
  <c r="Q36" i="123" s="1"/>
  <c r="V24" i="135"/>
  <c r="T24" i="135"/>
  <c r="R24" i="135"/>
  <c r="P24" i="135"/>
  <c r="Q24" i="135" s="1"/>
  <c r="V21" i="135"/>
  <c r="T21" i="135"/>
  <c r="R21" i="135"/>
  <c r="P21" i="135"/>
  <c r="Q21" i="135" s="1"/>
  <c r="V23" i="135"/>
  <c r="T23" i="135"/>
  <c r="R23" i="135"/>
  <c r="P23" i="135"/>
  <c r="Q23" i="135" s="1"/>
  <c r="V15" i="135"/>
  <c r="T15" i="135"/>
  <c r="R15" i="135"/>
  <c r="P15" i="135"/>
  <c r="Q15" i="135" s="1"/>
  <c r="V15" i="123"/>
  <c r="T15" i="123"/>
  <c r="R15" i="123"/>
  <c r="P15" i="123"/>
  <c r="Q15" i="123" s="1"/>
  <c r="V41" i="123"/>
  <c r="T41" i="123"/>
  <c r="R41" i="123"/>
  <c r="P41" i="123"/>
  <c r="Q41" i="123" s="1"/>
  <c r="T29" i="123"/>
  <c r="R29" i="123"/>
  <c r="P29" i="123"/>
  <c r="Q29" i="123" s="1"/>
  <c r="V29" i="123"/>
  <c r="V26" i="121"/>
  <c r="T26" i="121"/>
  <c r="R26" i="121"/>
  <c r="P26" i="121"/>
  <c r="Q26" i="121" s="1"/>
  <c r="X49" i="123" l="1"/>
  <c r="X24" i="120"/>
  <c r="X33" i="120"/>
  <c r="Y33" i="120"/>
  <c r="AA33" i="120" s="1"/>
  <c r="Y35" i="120"/>
  <c r="AA35" i="120" s="1"/>
  <c r="AB35" i="120" s="1"/>
  <c r="S41" i="123"/>
  <c r="Y51" i="123"/>
  <c r="AA51" i="123" s="1"/>
  <c r="AB51" i="123" s="1"/>
  <c r="Y34" i="120"/>
  <c r="AA34" i="120" s="1"/>
  <c r="X13" i="133"/>
  <c r="AB13" i="133" s="1"/>
  <c r="U41" i="123"/>
  <c r="W41" i="123" s="1"/>
  <c r="X41" i="123" s="1"/>
  <c r="AB49" i="123"/>
  <c r="S15" i="123"/>
  <c r="U15" i="123" s="1"/>
  <c r="W15" i="123" s="1"/>
  <c r="Y15" i="123" s="1"/>
  <c r="AA15" i="123" s="1"/>
  <c r="S23" i="135"/>
  <c r="U23" i="135" s="1"/>
  <c r="W23" i="135" s="1"/>
  <c r="Y23" i="135" s="1"/>
  <c r="AA23" i="135" s="1"/>
  <c r="S15" i="135"/>
  <c r="U15" i="135" s="1"/>
  <c r="W15" i="135" s="1"/>
  <c r="Y15" i="135" s="1"/>
  <c r="AA15" i="135" s="1"/>
  <c r="S37" i="135"/>
  <c r="U37" i="135" s="1"/>
  <c r="W37" i="135" s="1"/>
  <c r="Y37" i="135" s="1"/>
  <c r="AA37" i="135" s="1"/>
  <c r="S24" i="135"/>
  <c r="U24" i="135" s="1"/>
  <c r="W24" i="135" s="1"/>
  <c r="Y24" i="135" s="1"/>
  <c r="AA24" i="135" s="1"/>
  <c r="Y32" i="120"/>
  <c r="AA32" i="120" s="1"/>
  <c r="X32" i="120"/>
  <c r="AB25" i="120"/>
  <c r="S40" i="123"/>
  <c r="U40" i="123" s="1"/>
  <c r="W40" i="123" s="1"/>
  <c r="Y40" i="123" s="1"/>
  <c r="AA40" i="123" s="1"/>
  <c r="S26" i="121"/>
  <c r="U26" i="121" s="1"/>
  <c r="W26" i="121" s="1"/>
  <c r="AB24" i="120"/>
  <c r="AB34" i="120"/>
  <c r="S36" i="123"/>
  <c r="U36" i="123" s="1"/>
  <c r="W36" i="123" s="1"/>
  <c r="X36" i="123" s="1"/>
  <c r="S29" i="123"/>
  <c r="U29" i="123" s="1"/>
  <c r="W29" i="123" s="1"/>
  <c r="X29" i="123" s="1"/>
  <c r="T10" i="132"/>
  <c r="V10" i="132" s="1"/>
  <c r="X10" i="132" s="1"/>
  <c r="Z10" i="132" s="1"/>
  <c r="AB10" i="132" s="1"/>
  <c r="S21" i="135"/>
  <c r="U21" i="135" s="1"/>
  <c r="W21" i="135" s="1"/>
  <c r="X21" i="135" s="1"/>
  <c r="AB33" i="120" l="1"/>
  <c r="X37" i="135"/>
  <c r="AB37" i="135" s="1"/>
  <c r="X23" i="135"/>
  <c r="X15" i="135"/>
  <c r="AB15" i="135" s="1"/>
  <c r="X24" i="135"/>
  <c r="AB24" i="135" s="1"/>
  <c r="X40" i="123"/>
  <c r="AB40" i="123" s="1"/>
  <c r="Y41" i="123"/>
  <c r="AA41" i="123" s="1"/>
  <c r="AB41" i="123" s="1"/>
  <c r="AB32" i="120"/>
  <c r="X15" i="123"/>
  <c r="Y36" i="123"/>
  <c r="AA36" i="123" s="1"/>
  <c r="AB36" i="123" s="1"/>
  <c r="X26" i="121"/>
  <c r="Y26" i="121"/>
  <c r="AA26" i="121" s="1"/>
  <c r="AB26" i="121" s="1"/>
  <c r="Y21" i="135"/>
  <c r="AA21" i="135" s="1"/>
  <c r="AB21" i="135" s="1"/>
  <c r="AB23" i="135"/>
  <c r="Y10" i="132"/>
  <c r="AC10" i="132" s="1"/>
  <c r="AB15" i="123"/>
  <c r="Y29" i="123"/>
  <c r="Y28" i="123" s="1"/>
  <c r="X28" i="123"/>
  <c r="AA29" i="123" l="1"/>
  <c r="N48" i="123"/>
  <c r="O48" i="123" s="1"/>
  <c r="M48" i="123"/>
  <c r="J48" i="123"/>
  <c r="N46" i="123"/>
  <c r="O46" i="123" s="1"/>
  <c r="M46" i="123"/>
  <c r="J46" i="123"/>
  <c r="N47" i="123"/>
  <c r="O47" i="123" s="1"/>
  <c r="M47" i="123"/>
  <c r="J47" i="123"/>
  <c r="B44" i="123"/>
  <c r="M9" i="134"/>
  <c r="M8" i="134" s="1"/>
  <c r="N9" i="134"/>
  <c r="O9" i="134" s="1"/>
  <c r="J9" i="134"/>
  <c r="Z8" i="134"/>
  <c r="L8" i="134"/>
  <c r="L14" i="134" s="1"/>
  <c r="K8" i="134"/>
  <c r="M39" i="123"/>
  <c r="N39" i="123"/>
  <c r="O39" i="123" s="1"/>
  <c r="M37" i="123"/>
  <c r="N37" i="123"/>
  <c r="O37" i="123" s="1"/>
  <c r="M38" i="123"/>
  <c r="N38" i="123"/>
  <c r="O38" i="123" s="1"/>
  <c r="P38" i="123" s="1"/>
  <c r="Z35" i="123"/>
  <c r="L35" i="123"/>
  <c r="K35" i="123"/>
  <c r="J39" i="123"/>
  <c r="M23" i="120"/>
  <c r="N23" i="120"/>
  <c r="O23" i="120" s="1"/>
  <c r="J23" i="120"/>
  <c r="M22" i="120"/>
  <c r="N22" i="120"/>
  <c r="O22" i="120" s="1"/>
  <c r="J22" i="120"/>
  <c r="M21" i="120"/>
  <c r="N21" i="120"/>
  <c r="O21" i="120" s="1"/>
  <c r="J21" i="120"/>
  <c r="M20" i="120"/>
  <c r="N20" i="120"/>
  <c r="O20" i="120" s="1"/>
  <c r="J20" i="120"/>
  <c r="M14" i="120"/>
  <c r="N14" i="120"/>
  <c r="O14" i="120" s="1"/>
  <c r="P14" i="120" s="1"/>
  <c r="J14" i="120"/>
  <c r="J38" i="123"/>
  <c r="J37" i="123"/>
  <c r="Y16" i="123"/>
  <c r="AA16" i="123" s="1"/>
  <c r="N16" i="123"/>
  <c r="O16" i="123" s="1"/>
  <c r="M16" i="123"/>
  <c r="J16" i="123"/>
  <c r="N13" i="120"/>
  <c r="O13" i="120" s="1"/>
  <c r="M13" i="120"/>
  <c r="J13" i="120"/>
  <c r="M11" i="134"/>
  <c r="N11" i="134"/>
  <c r="O11" i="134" s="1"/>
  <c r="M13" i="134"/>
  <c r="N13" i="134"/>
  <c r="O13" i="134" s="1"/>
  <c r="Z10" i="134"/>
  <c r="Z12" i="134"/>
  <c r="L10" i="134"/>
  <c r="L12" i="134"/>
  <c r="K10" i="134"/>
  <c r="K12" i="134"/>
  <c r="N16" i="133"/>
  <c r="O16" i="133" s="1"/>
  <c r="M16" i="133"/>
  <c r="N22" i="119"/>
  <c r="O22" i="119" s="1"/>
  <c r="M22" i="119"/>
  <c r="M21" i="119" s="1"/>
  <c r="Z21" i="119"/>
  <c r="L21" i="119"/>
  <c r="K21" i="119"/>
  <c r="N15" i="133"/>
  <c r="O15" i="133" s="1"/>
  <c r="M15" i="133"/>
  <c r="J15" i="133"/>
  <c r="Z8" i="121"/>
  <c r="L8" i="121"/>
  <c r="K8" i="121"/>
  <c r="N25" i="121"/>
  <c r="O25" i="121" s="1"/>
  <c r="M25" i="121"/>
  <c r="J25" i="121"/>
  <c r="N9" i="133"/>
  <c r="O9" i="133" s="1"/>
  <c r="M9" i="133"/>
  <c r="J9" i="133"/>
  <c r="N11" i="133"/>
  <c r="O11" i="133" s="1"/>
  <c r="M11" i="133"/>
  <c r="J11" i="133"/>
  <c r="J12" i="133"/>
  <c r="M12" i="133"/>
  <c r="N12" i="133"/>
  <c r="O12" i="133" s="1"/>
  <c r="J14" i="133"/>
  <c r="M14" i="133"/>
  <c r="N14" i="133"/>
  <c r="O14" i="133" s="1"/>
  <c r="J16" i="133"/>
  <c r="N14" i="135"/>
  <c r="O14" i="135" s="1"/>
  <c r="V14" i="135" s="1"/>
  <c r="J14" i="135"/>
  <c r="J13" i="135"/>
  <c r="J11" i="135"/>
  <c r="J10" i="135"/>
  <c r="J9" i="135"/>
  <c r="J22" i="132"/>
  <c r="J20" i="132"/>
  <c r="J13" i="132"/>
  <c r="J12" i="132"/>
  <c r="J11" i="132"/>
  <c r="J10" i="132"/>
  <c r="J9" i="132"/>
  <c r="O22" i="132"/>
  <c r="P22" i="132" s="1"/>
  <c r="O20" i="132"/>
  <c r="P20" i="132" s="1"/>
  <c r="O11" i="132"/>
  <c r="P11" i="132" s="1"/>
  <c r="M9" i="136"/>
  <c r="N9" i="136" s="1"/>
  <c r="N22" i="131"/>
  <c r="O22" i="131" s="1"/>
  <c r="N21" i="131"/>
  <c r="O21" i="131" s="1"/>
  <c r="N20" i="131"/>
  <c r="O20" i="131" s="1"/>
  <c r="N19" i="131"/>
  <c r="O19" i="131" s="1"/>
  <c r="N13" i="131"/>
  <c r="O13" i="131" s="1"/>
  <c r="N12" i="131"/>
  <c r="O12" i="131" s="1"/>
  <c r="N11" i="131"/>
  <c r="O11" i="131" s="1"/>
  <c r="N10" i="131"/>
  <c r="O10" i="131" s="1"/>
  <c r="N9" i="131"/>
  <c r="J22" i="131"/>
  <c r="J21" i="131"/>
  <c r="J20" i="131"/>
  <c r="J19" i="131"/>
  <c r="J13" i="131"/>
  <c r="J12" i="131"/>
  <c r="J11" i="131"/>
  <c r="J10" i="131"/>
  <c r="J9" i="131"/>
  <c r="N10" i="118"/>
  <c r="O10" i="118" s="1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2" i="123"/>
  <c r="O12" i="123" s="1"/>
  <c r="V12" i="123" s="1"/>
  <c r="N10" i="123"/>
  <c r="O10" i="123" s="1"/>
  <c r="N9" i="123"/>
  <c r="J36" i="123"/>
  <c r="J27" i="123"/>
  <c r="J25" i="123"/>
  <c r="J24" i="123"/>
  <c r="J22" i="123"/>
  <c r="J12" i="123"/>
  <c r="J10" i="123"/>
  <c r="J9" i="123"/>
  <c r="N39" i="121"/>
  <c r="O39" i="121" s="1"/>
  <c r="V39" i="121" s="1"/>
  <c r="N37" i="121"/>
  <c r="O37" i="121" s="1"/>
  <c r="N36" i="121"/>
  <c r="O36" i="121" s="1"/>
  <c r="P36" i="121" s="1"/>
  <c r="J39" i="121"/>
  <c r="J37" i="121"/>
  <c r="J36" i="121"/>
  <c r="J24" i="121"/>
  <c r="J23" i="121"/>
  <c r="J22" i="121"/>
  <c r="J21" i="121"/>
  <c r="N24" i="121"/>
  <c r="O24" i="121" s="1"/>
  <c r="P24" i="121" s="1"/>
  <c r="N23" i="121"/>
  <c r="O23" i="121" s="1"/>
  <c r="N22" i="121"/>
  <c r="O22" i="121" s="1"/>
  <c r="N21" i="121"/>
  <c r="O21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J9" i="121"/>
  <c r="N12" i="120"/>
  <c r="O12" i="120" s="1"/>
  <c r="N11" i="120"/>
  <c r="O11" i="120" s="1"/>
  <c r="N10" i="120"/>
  <c r="O10" i="120" s="1"/>
  <c r="J12" i="120"/>
  <c r="J11" i="120"/>
  <c r="J10" i="120"/>
  <c r="J9" i="120"/>
  <c r="J11" i="134"/>
  <c r="J13" i="134"/>
  <c r="N24" i="119"/>
  <c r="O24" i="119" s="1"/>
  <c r="N19" i="119"/>
  <c r="O19" i="119" s="1"/>
  <c r="R19" i="119" s="1"/>
  <c r="N13" i="119"/>
  <c r="O13" i="119" s="1"/>
  <c r="T13" i="119" s="1"/>
  <c r="N11" i="119"/>
  <c r="O11" i="119" s="1"/>
  <c r="N10" i="119"/>
  <c r="O10" i="119" s="1"/>
  <c r="N9" i="119"/>
  <c r="O9" i="119" s="1"/>
  <c r="U11" i="136"/>
  <c r="O11" i="136"/>
  <c r="S11" i="136"/>
  <c r="Q11" i="136"/>
  <c r="N11" i="136"/>
  <c r="Z23" i="119"/>
  <c r="X23" i="119"/>
  <c r="L23" i="119"/>
  <c r="K23" i="119"/>
  <c r="M19" i="119"/>
  <c r="M18" i="119" s="1"/>
  <c r="Z18" i="119"/>
  <c r="L18" i="119"/>
  <c r="K18" i="119"/>
  <c r="B17" i="131"/>
  <c r="M27" i="123"/>
  <c r="M26" i="123" s="1"/>
  <c r="Z26" i="123"/>
  <c r="L26" i="123"/>
  <c r="K26" i="123"/>
  <c r="B33" i="123"/>
  <c r="B20" i="123"/>
  <c r="Z35" i="121"/>
  <c r="L35" i="121"/>
  <c r="K35" i="121"/>
  <c r="B31" i="121"/>
  <c r="M36" i="121"/>
  <c r="B29" i="120"/>
  <c r="B18" i="120"/>
  <c r="K36" i="120"/>
  <c r="Z38" i="135"/>
  <c r="L38" i="135"/>
  <c r="AA24" i="132"/>
  <c r="M24" i="132"/>
  <c r="Y11" i="136"/>
  <c r="K11" i="136"/>
  <c r="Z24" i="131"/>
  <c r="Z23" i="123"/>
  <c r="L23" i="123"/>
  <c r="K23" i="123"/>
  <c r="Z14" i="123"/>
  <c r="L14" i="123"/>
  <c r="K14" i="123"/>
  <c r="Z8" i="123"/>
  <c r="L8" i="123"/>
  <c r="Z36" i="120"/>
  <c r="L36" i="120"/>
  <c r="M22" i="121"/>
  <c r="M10" i="121"/>
  <c r="P11" i="136"/>
  <c r="R11" i="136"/>
  <c r="T11" i="136"/>
  <c r="V11" i="136"/>
  <c r="Z12" i="119"/>
  <c r="L12" i="119"/>
  <c r="K12" i="119"/>
  <c r="Z17" i="133"/>
  <c r="L17" i="133"/>
  <c r="K17" i="133"/>
  <c r="J11" i="136"/>
  <c r="Z8" i="119"/>
  <c r="L8" i="119"/>
  <c r="M21" i="121"/>
  <c r="M12" i="121"/>
  <c r="B19" i="121"/>
  <c r="M22" i="123"/>
  <c r="N22" i="132"/>
  <c r="N20" i="132"/>
  <c r="Z22" i="132"/>
  <c r="AB22" i="132" s="1"/>
  <c r="L9" i="136"/>
  <c r="I9" i="136"/>
  <c r="M10" i="120"/>
  <c r="L11" i="136"/>
  <c r="M39" i="121"/>
  <c r="M24" i="121"/>
  <c r="A3" i="136"/>
  <c r="Y24" i="119"/>
  <c r="Y23" i="119" s="1"/>
  <c r="M24" i="119"/>
  <c r="M23" i="119" s="1"/>
  <c r="A3" i="132"/>
  <c r="A3" i="133" s="1"/>
  <c r="A3" i="131"/>
  <c r="A3" i="118"/>
  <c r="A3" i="123"/>
  <c r="A3" i="121"/>
  <c r="A3" i="120"/>
  <c r="B3" i="134"/>
  <c r="M25" i="123"/>
  <c r="M23" i="121"/>
  <c r="K8" i="123"/>
  <c r="M37" i="121"/>
  <c r="M11" i="120"/>
  <c r="M24" i="123"/>
  <c r="M11" i="121"/>
  <c r="M9" i="121"/>
  <c r="N11" i="132"/>
  <c r="M10" i="118"/>
  <c r="M14" i="118" s="1"/>
  <c r="M10" i="119"/>
  <c r="M12" i="123"/>
  <c r="M11" i="123" s="1"/>
  <c r="M13" i="119"/>
  <c r="M12" i="119" s="1"/>
  <c r="M10" i="123"/>
  <c r="M12" i="120"/>
  <c r="M9" i="123"/>
  <c r="M11" i="136"/>
  <c r="M12" i="131"/>
  <c r="M9" i="119"/>
  <c r="M13" i="131"/>
  <c r="M22" i="131"/>
  <c r="M21" i="131"/>
  <c r="M20" i="131"/>
  <c r="M19" i="131"/>
  <c r="M11" i="131"/>
  <c r="M10" i="131"/>
  <c r="M9" i="131"/>
  <c r="T14" i="134"/>
  <c r="P14" i="134"/>
  <c r="N14" i="134"/>
  <c r="O14" i="134"/>
  <c r="R14" i="134"/>
  <c r="Q14" i="134"/>
  <c r="Z38" i="121"/>
  <c r="L38" i="121"/>
  <c r="S14" i="134"/>
  <c r="U14" i="134"/>
  <c r="K38" i="121"/>
  <c r="Z14" i="118"/>
  <c r="L14" i="118"/>
  <c r="K8" i="119"/>
  <c r="M11" i="119"/>
  <c r="L24" i="132"/>
  <c r="K24" i="131"/>
  <c r="K14" i="118"/>
  <c r="V14" i="134"/>
  <c r="W14" i="134"/>
  <c r="Z14" i="134" l="1"/>
  <c r="K41" i="121"/>
  <c r="Z41" i="121"/>
  <c r="L41" i="121"/>
  <c r="R11" i="134"/>
  <c r="P11" i="134"/>
  <c r="Q11" i="134" s="1"/>
  <c r="P13" i="134"/>
  <c r="Q13" i="134" s="1"/>
  <c r="V13" i="134"/>
  <c r="R13" i="134"/>
  <c r="T13" i="134"/>
  <c r="K14" i="134"/>
  <c r="M12" i="134"/>
  <c r="S11" i="134"/>
  <c r="M10" i="134"/>
  <c r="V11" i="134"/>
  <c r="T11" i="134"/>
  <c r="M14" i="134"/>
  <c r="R9" i="134"/>
  <c r="T9" i="134"/>
  <c r="V9" i="134"/>
  <c r="P9" i="134"/>
  <c r="Q9" i="134" s="1"/>
  <c r="S9" i="134" s="1"/>
  <c r="U9" i="134" s="1"/>
  <c r="Q9" i="136"/>
  <c r="O9" i="136"/>
  <c r="P9" i="136" s="1"/>
  <c r="R9" i="136" s="1"/>
  <c r="S9" i="136"/>
  <c r="U9" i="136"/>
  <c r="P10" i="131"/>
  <c r="Q10" i="131" s="1"/>
  <c r="T10" i="131"/>
  <c r="R10" i="131"/>
  <c r="V10" i="131"/>
  <c r="N24" i="131"/>
  <c r="O9" i="131"/>
  <c r="R9" i="131" s="1"/>
  <c r="K26" i="119"/>
  <c r="R21" i="131"/>
  <c r="T21" i="131"/>
  <c r="V21" i="131"/>
  <c r="P21" i="131"/>
  <c r="Q21" i="131" s="1"/>
  <c r="R11" i="131"/>
  <c r="V11" i="131"/>
  <c r="P11" i="131"/>
  <c r="T11" i="131"/>
  <c r="P12" i="131"/>
  <c r="Q12" i="131" s="1"/>
  <c r="T12" i="131"/>
  <c r="V12" i="131"/>
  <c r="R12" i="131"/>
  <c r="V13" i="131"/>
  <c r="P13" i="131"/>
  <c r="Q13" i="131" s="1"/>
  <c r="R13" i="131"/>
  <c r="T13" i="131"/>
  <c r="T19" i="131"/>
  <c r="P19" i="131"/>
  <c r="R19" i="131"/>
  <c r="Q19" i="131"/>
  <c r="V19" i="131"/>
  <c r="V20" i="131"/>
  <c r="R20" i="131"/>
  <c r="P20" i="131"/>
  <c r="Q20" i="131" s="1"/>
  <c r="T20" i="131"/>
  <c r="R22" i="131"/>
  <c r="V22" i="131"/>
  <c r="P22" i="131"/>
  <c r="Q22" i="131" s="1"/>
  <c r="S22" i="131" s="1"/>
  <c r="T22" i="131"/>
  <c r="M24" i="131"/>
  <c r="M8" i="119"/>
  <c r="M26" i="119" s="1"/>
  <c r="P11" i="119"/>
  <c r="Q11" i="119" s="1"/>
  <c r="R11" i="119"/>
  <c r="T11" i="119"/>
  <c r="T22" i="119"/>
  <c r="R22" i="119"/>
  <c r="V22" i="119"/>
  <c r="R24" i="119"/>
  <c r="V24" i="119"/>
  <c r="T24" i="119"/>
  <c r="AA24" i="119"/>
  <c r="AA23" i="119" s="1"/>
  <c r="L26" i="119"/>
  <c r="Z26" i="119"/>
  <c r="N24" i="132"/>
  <c r="N8" i="123"/>
  <c r="R10" i="118"/>
  <c r="P10" i="118"/>
  <c r="V10" i="118"/>
  <c r="T10" i="118"/>
  <c r="O14" i="118"/>
  <c r="N14" i="118"/>
  <c r="P12" i="133"/>
  <c r="Q12" i="133" s="1"/>
  <c r="R12" i="133"/>
  <c r="T10" i="119"/>
  <c r="V10" i="119"/>
  <c r="R10" i="119"/>
  <c r="P10" i="119"/>
  <c r="Q10" i="119" s="1"/>
  <c r="O26" i="119"/>
  <c r="P9" i="119"/>
  <c r="Q9" i="119" s="1"/>
  <c r="V9" i="119"/>
  <c r="T9" i="119"/>
  <c r="R9" i="119"/>
  <c r="V19" i="119"/>
  <c r="P24" i="119"/>
  <c r="Q24" i="119" s="1"/>
  <c r="P22" i="119"/>
  <c r="Q22" i="119" s="1"/>
  <c r="V13" i="119"/>
  <c r="T19" i="119"/>
  <c r="V11" i="119"/>
  <c r="N26" i="119"/>
  <c r="P13" i="119"/>
  <c r="Q13" i="119" s="1"/>
  <c r="R13" i="119"/>
  <c r="P19" i="119"/>
  <c r="Q19" i="119" s="1"/>
  <c r="S19" i="119" s="1"/>
  <c r="R11" i="133"/>
  <c r="T11" i="133"/>
  <c r="V11" i="133"/>
  <c r="R16" i="133"/>
  <c r="T16" i="133"/>
  <c r="P16" i="133"/>
  <c r="Q16" i="133" s="1"/>
  <c r="V16" i="133"/>
  <c r="T12" i="133"/>
  <c r="V12" i="133"/>
  <c r="P11" i="133"/>
  <c r="Q11" i="133" s="1"/>
  <c r="R15" i="133"/>
  <c r="V15" i="133"/>
  <c r="T15" i="133"/>
  <c r="P15" i="133"/>
  <c r="Q15" i="133" s="1"/>
  <c r="K53" i="123"/>
  <c r="Z53" i="123"/>
  <c r="L53" i="123"/>
  <c r="P24" i="132"/>
  <c r="T9" i="133"/>
  <c r="V9" i="133"/>
  <c r="M17" i="133"/>
  <c r="P14" i="135"/>
  <c r="Q14" i="135" s="1"/>
  <c r="R14" i="135"/>
  <c r="T14" i="135"/>
  <c r="P13" i="120"/>
  <c r="Q13" i="120" s="1"/>
  <c r="T13" i="120"/>
  <c r="R13" i="120"/>
  <c r="V13" i="120"/>
  <c r="V10" i="120"/>
  <c r="R10" i="120"/>
  <c r="T10" i="120"/>
  <c r="P10" i="120"/>
  <c r="Q10" i="120" s="1"/>
  <c r="P12" i="120"/>
  <c r="Q12" i="120" s="1"/>
  <c r="T12" i="120"/>
  <c r="V12" i="120"/>
  <c r="R12" i="120"/>
  <c r="P23" i="120"/>
  <c r="Q23" i="120" s="1"/>
  <c r="R23" i="120"/>
  <c r="T23" i="120"/>
  <c r="V23" i="120"/>
  <c r="R11" i="120"/>
  <c r="V11" i="120"/>
  <c r="P11" i="120"/>
  <c r="Q11" i="120" s="1"/>
  <c r="S11" i="120" s="1"/>
  <c r="T11" i="120"/>
  <c r="V20" i="120"/>
  <c r="P20" i="120"/>
  <c r="Q20" i="120" s="1"/>
  <c r="R20" i="120"/>
  <c r="T20" i="120"/>
  <c r="P22" i="120"/>
  <c r="Q22" i="120" s="1"/>
  <c r="R22" i="120"/>
  <c r="T22" i="120"/>
  <c r="V22" i="120"/>
  <c r="R24" i="121"/>
  <c r="V24" i="121"/>
  <c r="T24" i="121"/>
  <c r="N17" i="133"/>
  <c r="O24" i="132"/>
  <c r="S11" i="132"/>
  <c r="U11" i="132"/>
  <c r="W11" i="132"/>
  <c r="Q11" i="132"/>
  <c r="R11" i="132" s="1"/>
  <c r="Q20" i="132"/>
  <c r="R20" i="132" s="1"/>
  <c r="W20" i="132"/>
  <c r="S20" i="132"/>
  <c r="U20" i="132"/>
  <c r="U22" i="132"/>
  <c r="W22" i="132"/>
  <c r="S22" i="132"/>
  <c r="Q22" i="132"/>
  <c r="R22" i="132" s="1"/>
  <c r="R11" i="121"/>
  <c r="T21" i="120"/>
  <c r="P21" i="120"/>
  <c r="Q21" i="120" s="1"/>
  <c r="N38" i="135"/>
  <c r="O38" i="135"/>
  <c r="M38" i="135"/>
  <c r="AA28" i="123"/>
  <c r="AB29" i="123"/>
  <c r="AB28" i="123" s="1"/>
  <c r="M8" i="123"/>
  <c r="R21" i="120"/>
  <c r="V21" i="120"/>
  <c r="O17" i="133"/>
  <c r="R14" i="133"/>
  <c r="P14" i="133"/>
  <c r="Q14" i="133" s="1"/>
  <c r="T14" i="133"/>
  <c r="V14" i="133"/>
  <c r="P9" i="133"/>
  <c r="R9" i="133"/>
  <c r="V11" i="121"/>
  <c r="R37" i="121"/>
  <c r="T37" i="121"/>
  <c r="P37" i="121"/>
  <c r="Q37" i="121" s="1"/>
  <c r="V37" i="121"/>
  <c r="T11" i="121"/>
  <c r="M8" i="121"/>
  <c r="Q24" i="121"/>
  <c r="T10" i="121"/>
  <c r="R10" i="121"/>
  <c r="P10" i="121"/>
  <c r="Q10" i="121" s="1"/>
  <c r="P25" i="121"/>
  <c r="Q25" i="121" s="1"/>
  <c r="T25" i="121"/>
  <c r="V25" i="121"/>
  <c r="R25" i="121"/>
  <c r="T21" i="121"/>
  <c r="R21" i="121"/>
  <c r="P21" i="121"/>
  <c r="Q21" i="121" s="1"/>
  <c r="V21" i="121"/>
  <c r="T22" i="121"/>
  <c r="V22" i="121"/>
  <c r="R22" i="121"/>
  <c r="P22" i="121"/>
  <c r="Q22" i="121" s="1"/>
  <c r="P12" i="121"/>
  <c r="Q12" i="121" s="1"/>
  <c r="T12" i="121"/>
  <c r="V12" i="121"/>
  <c r="M35" i="121"/>
  <c r="V36" i="121"/>
  <c r="M38" i="121"/>
  <c r="Q36" i="121"/>
  <c r="T23" i="121"/>
  <c r="T36" i="121"/>
  <c r="R39" i="121"/>
  <c r="R36" i="121"/>
  <c r="P39" i="121"/>
  <c r="Q39" i="121" s="1"/>
  <c r="V23" i="121"/>
  <c r="T39" i="121"/>
  <c r="P23" i="121"/>
  <c r="Q23" i="121" s="1"/>
  <c r="Q11" i="121"/>
  <c r="R23" i="121"/>
  <c r="V14" i="120"/>
  <c r="T14" i="120"/>
  <c r="R14" i="120"/>
  <c r="Q14" i="120"/>
  <c r="M36" i="120"/>
  <c r="R12" i="121"/>
  <c r="O41" i="121"/>
  <c r="V9" i="121"/>
  <c r="P9" i="121"/>
  <c r="T9" i="121"/>
  <c r="R9" i="121"/>
  <c r="N41" i="121"/>
  <c r="B18" i="132"/>
  <c r="O36" i="120"/>
  <c r="N36" i="120"/>
  <c r="R48" i="123"/>
  <c r="P48" i="123"/>
  <c r="Q48" i="123" s="1"/>
  <c r="V48" i="123"/>
  <c r="T48" i="123"/>
  <c r="N23" i="123"/>
  <c r="M14" i="123"/>
  <c r="V46" i="123"/>
  <c r="T46" i="123"/>
  <c r="R46" i="123"/>
  <c r="P46" i="123"/>
  <c r="Q46" i="123" s="1"/>
  <c r="V47" i="123"/>
  <c r="T47" i="123"/>
  <c r="R47" i="123"/>
  <c r="P47" i="123"/>
  <c r="Q47" i="123" s="1"/>
  <c r="O9" i="123"/>
  <c r="V9" i="123" s="1"/>
  <c r="V16" i="123"/>
  <c r="V14" i="123" s="1"/>
  <c r="O14" i="123"/>
  <c r="T37" i="123"/>
  <c r="P37" i="123"/>
  <c r="Q37" i="123" s="1"/>
  <c r="R37" i="123"/>
  <c r="V22" i="123"/>
  <c r="M23" i="123"/>
  <c r="R12" i="123"/>
  <c r="R22" i="123"/>
  <c r="N14" i="123"/>
  <c r="M35" i="123"/>
  <c r="T22" i="123"/>
  <c r="V37" i="123"/>
  <c r="Q22" i="123"/>
  <c r="P10" i="123"/>
  <c r="T10" i="123"/>
  <c r="V10" i="123"/>
  <c r="R10" i="123"/>
  <c r="V25" i="123"/>
  <c r="P25" i="123"/>
  <c r="Q25" i="123" s="1"/>
  <c r="T25" i="123"/>
  <c r="R25" i="123"/>
  <c r="T39" i="123"/>
  <c r="P39" i="123"/>
  <c r="Q39" i="123" s="1"/>
  <c r="V39" i="123"/>
  <c r="R39" i="123"/>
  <c r="R24" i="123"/>
  <c r="P24" i="123"/>
  <c r="Q24" i="123" s="1"/>
  <c r="V38" i="123"/>
  <c r="V27" i="123"/>
  <c r="T12" i="123"/>
  <c r="P16" i="123"/>
  <c r="P14" i="123" s="1"/>
  <c r="T38" i="123"/>
  <c r="T16" i="123"/>
  <c r="T14" i="123" s="1"/>
  <c r="R38" i="123"/>
  <c r="V24" i="123"/>
  <c r="R16" i="123"/>
  <c r="R14" i="123" s="1"/>
  <c r="P12" i="123"/>
  <c r="Q12" i="123" s="1"/>
  <c r="P27" i="123"/>
  <c r="Q27" i="123" s="1"/>
  <c r="S27" i="123" s="1"/>
  <c r="Q38" i="123"/>
  <c r="T27" i="123"/>
  <c r="O23" i="123"/>
  <c r="S24" i="119" l="1"/>
  <c r="T9" i="136"/>
  <c r="O24" i="131"/>
  <c r="M41" i="121"/>
  <c r="W9" i="134"/>
  <c r="X9" i="134" s="1"/>
  <c r="T22" i="132"/>
  <c r="T11" i="132"/>
  <c r="V11" i="132" s="1"/>
  <c r="X11" i="132" s="1"/>
  <c r="S10" i="119"/>
  <c r="U10" i="119" s="1"/>
  <c r="W10" i="119" s="1"/>
  <c r="Y10" i="119" s="1"/>
  <c r="AA10" i="119" s="1"/>
  <c r="AB24" i="119"/>
  <c r="AB23" i="119" s="1"/>
  <c r="S20" i="131"/>
  <c r="S13" i="131"/>
  <c r="U13" i="131" s="1"/>
  <c r="W13" i="131" s="1"/>
  <c r="Y13" i="131" s="1"/>
  <c r="AA13" i="131" s="1"/>
  <c r="S21" i="131"/>
  <c r="U21" i="131" s="1"/>
  <c r="W21" i="131" s="1"/>
  <c r="Y21" i="131" s="1"/>
  <c r="AA21" i="131" s="1"/>
  <c r="V9" i="136"/>
  <c r="W9" i="136" s="1"/>
  <c r="S13" i="134"/>
  <c r="U13" i="134" s="1"/>
  <c r="W13" i="134" s="1"/>
  <c r="V22" i="132"/>
  <c r="X22" i="132" s="1"/>
  <c r="Y22" i="132" s="1"/>
  <c r="AC22" i="132" s="1"/>
  <c r="Y13" i="134"/>
  <c r="X13" i="134"/>
  <c r="U11" i="134"/>
  <c r="W11" i="134" s="1"/>
  <c r="S22" i="119"/>
  <c r="U22" i="119" s="1"/>
  <c r="W22" i="119" s="1"/>
  <c r="Y22" i="119" s="1"/>
  <c r="Y9" i="134"/>
  <c r="U22" i="131"/>
  <c r="W22" i="131" s="1"/>
  <c r="X22" i="131" s="1"/>
  <c r="U20" i="131"/>
  <c r="W20" i="131" s="1"/>
  <c r="X20" i="131" s="1"/>
  <c r="S19" i="131"/>
  <c r="U19" i="131" s="1"/>
  <c r="W19" i="131" s="1"/>
  <c r="S10" i="131"/>
  <c r="U10" i="131" s="1"/>
  <c r="W10" i="131" s="1"/>
  <c r="P9" i="131"/>
  <c r="Q9" i="131" s="1"/>
  <c r="S9" i="131" s="1"/>
  <c r="T9" i="131"/>
  <c r="T24" i="131" s="1"/>
  <c r="V9" i="131"/>
  <c r="V24" i="131" s="1"/>
  <c r="X21" i="131"/>
  <c r="S12" i="131"/>
  <c r="U12" i="131" s="1"/>
  <c r="W12" i="131" s="1"/>
  <c r="Q11" i="131"/>
  <c r="S11" i="131" s="1"/>
  <c r="U11" i="131" s="1"/>
  <c r="W11" i="131" s="1"/>
  <c r="R24" i="131"/>
  <c r="U24" i="119"/>
  <c r="W24" i="119" s="1"/>
  <c r="S11" i="119"/>
  <c r="U11" i="119" s="1"/>
  <c r="W11" i="119" s="1"/>
  <c r="P14" i="118"/>
  <c r="T14" i="118"/>
  <c r="S13" i="119"/>
  <c r="U13" i="119" s="1"/>
  <c r="W13" i="119" s="1"/>
  <c r="Y13" i="119" s="1"/>
  <c r="U19" i="119"/>
  <c r="W19" i="119" s="1"/>
  <c r="X19" i="119" s="1"/>
  <c r="S10" i="120"/>
  <c r="U10" i="120" s="1"/>
  <c r="W10" i="120" s="1"/>
  <c r="U11" i="120"/>
  <c r="W11" i="120" s="1"/>
  <c r="Y11" i="120" s="1"/>
  <c r="AA11" i="120" s="1"/>
  <c r="S22" i="121"/>
  <c r="U22" i="121" s="1"/>
  <c r="W22" i="121" s="1"/>
  <c r="Y22" i="121" s="1"/>
  <c r="AA22" i="121" s="1"/>
  <c r="S39" i="121"/>
  <c r="U39" i="121" s="1"/>
  <c r="W39" i="121" s="1"/>
  <c r="X39" i="121" s="1"/>
  <c r="S15" i="133"/>
  <c r="U15" i="133" s="1"/>
  <c r="W15" i="133" s="1"/>
  <c r="X15" i="133" s="1"/>
  <c r="S12" i="133"/>
  <c r="U12" i="133" s="1"/>
  <c r="W12" i="133" s="1"/>
  <c r="X12" i="133" s="1"/>
  <c r="S47" i="123"/>
  <c r="U47" i="123" s="1"/>
  <c r="W47" i="123" s="1"/>
  <c r="Y47" i="123" s="1"/>
  <c r="AA47" i="123" s="1"/>
  <c r="Q10" i="118"/>
  <c r="V14" i="118"/>
  <c r="R14" i="118"/>
  <c r="S14" i="133"/>
  <c r="U14" i="133" s="1"/>
  <c r="W14" i="133" s="1"/>
  <c r="S11" i="133"/>
  <c r="U11" i="133" s="1"/>
  <c r="W11" i="133" s="1"/>
  <c r="Y11" i="133" s="1"/>
  <c r="AA11" i="133" s="1"/>
  <c r="S16" i="133"/>
  <c r="U16" i="133" s="1"/>
  <c r="W16" i="133" s="1"/>
  <c r="T26" i="119"/>
  <c r="S9" i="119"/>
  <c r="Q26" i="119"/>
  <c r="R26" i="119"/>
  <c r="V26" i="119"/>
  <c r="P26" i="119"/>
  <c r="S37" i="121"/>
  <c r="U37" i="121" s="1"/>
  <c r="W37" i="121" s="1"/>
  <c r="S21" i="121"/>
  <c r="U21" i="121" s="1"/>
  <c r="W21" i="121" s="1"/>
  <c r="Y21" i="121" s="1"/>
  <c r="AA21" i="121" s="1"/>
  <c r="S24" i="121"/>
  <c r="U24" i="121" s="1"/>
  <c r="W24" i="121" s="1"/>
  <c r="S21" i="120"/>
  <c r="U21" i="120" s="1"/>
  <c r="W21" i="120" s="1"/>
  <c r="Y21" i="120" s="1"/>
  <c r="AA21" i="120" s="1"/>
  <c r="S14" i="135"/>
  <c r="U14" i="135" s="1"/>
  <c r="W14" i="135" s="1"/>
  <c r="S11" i="121"/>
  <c r="U11" i="121" s="1"/>
  <c r="W11" i="121" s="1"/>
  <c r="S23" i="120"/>
  <c r="U23" i="120" s="1"/>
  <c r="W23" i="120" s="1"/>
  <c r="T17" i="133"/>
  <c r="V17" i="133"/>
  <c r="P38" i="135"/>
  <c r="V38" i="135"/>
  <c r="R38" i="135"/>
  <c r="T38" i="135"/>
  <c r="S20" i="120"/>
  <c r="U20" i="120" s="1"/>
  <c r="W20" i="120" s="1"/>
  <c r="X20" i="120" s="1"/>
  <c r="S13" i="120"/>
  <c r="U13" i="120" s="1"/>
  <c r="W13" i="120" s="1"/>
  <c r="X13" i="120" s="1"/>
  <c r="X10" i="120"/>
  <c r="Y10" i="120"/>
  <c r="AA10" i="120" s="1"/>
  <c r="X11" i="120"/>
  <c r="S22" i="120"/>
  <c r="U22" i="120" s="1"/>
  <c r="W22" i="120" s="1"/>
  <c r="S12" i="120"/>
  <c r="U12" i="120" s="1"/>
  <c r="W12" i="120" s="1"/>
  <c r="P17" i="133"/>
  <c r="R17" i="133"/>
  <c r="M53" i="123"/>
  <c r="Q24" i="132"/>
  <c r="P36" i="120"/>
  <c r="T20" i="132"/>
  <c r="V20" i="132" s="1"/>
  <c r="X20" i="132" s="1"/>
  <c r="W24" i="132"/>
  <c r="U24" i="132"/>
  <c r="S24" i="132"/>
  <c r="R9" i="123"/>
  <c r="R8" i="123" s="1"/>
  <c r="S48" i="123"/>
  <c r="U48" i="123" s="1"/>
  <c r="W48" i="123" s="1"/>
  <c r="Y48" i="123" s="1"/>
  <c r="AA48" i="123" s="1"/>
  <c r="S24" i="123"/>
  <c r="U24" i="123" s="1"/>
  <c r="W24" i="123" s="1"/>
  <c r="X24" i="123" s="1"/>
  <c r="S46" i="123"/>
  <c r="U46" i="123" s="1"/>
  <c r="W46" i="123" s="1"/>
  <c r="O8" i="123"/>
  <c r="O53" i="123" s="1"/>
  <c r="N53" i="123"/>
  <c r="P9" i="123"/>
  <c r="Q9" i="123" s="1"/>
  <c r="V8" i="123"/>
  <c r="Q10" i="123"/>
  <c r="S10" i="123" s="1"/>
  <c r="U10" i="123" s="1"/>
  <c r="W10" i="123" s="1"/>
  <c r="Q9" i="133"/>
  <c r="S12" i="121"/>
  <c r="U12" i="121" s="1"/>
  <c r="W12" i="121" s="1"/>
  <c r="Y12" i="121" s="1"/>
  <c r="AA12" i="121" s="1"/>
  <c r="S23" i="121"/>
  <c r="U23" i="121" s="1"/>
  <c r="W23" i="121" s="1"/>
  <c r="X23" i="121" s="1"/>
  <c r="S25" i="121"/>
  <c r="U25" i="121" s="1"/>
  <c r="W25" i="121" s="1"/>
  <c r="Y25" i="121" s="1"/>
  <c r="AA25" i="121" s="1"/>
  <c r="S10" i="121"/>
  <c r="U10" i="121" s="1"/>
  <c r="W10" i="121" s="1"/>
  <c r="T41" i="121"/>
  <c r="S36" i="121"/>
  <c r="U36" i="121" s="1"/>
  <c r="W36" i="121" s="1"/>
  <c r="R41" i="121"/>
  <c r="V41" i="121"/>
  <c r="P41" i="121"/>
  <c r="R36" i="120"/>
  <c r="V36" i="120"/>
  <c r="T36" i="120"/>
  <c r="S14" i="120"/>
  <c r="U14" i="120" s="1"/>
  <c r="W14" i="120" s="1"/>
  <c r="X14" i="120" s="1"/>
  <c r="Q9" i="121"/>
  <c r="T9" i="123"/>
  <c r="T8" i="123" s="1"/>
  <c r="S12" i="123"/>
  <c r="U12" i="123" s="1"/>
  <c r="W12" i="123" s="1"/>
  <c r="U27" i="123"/>
  <c r="W27" i="123" s="1"/>
  <c r="X27" i="123" s="1"/>
  <c r="S37" i="123"/>
  <c r="U37" i="123" s="1"/>
  <c r="W37" i="123" s="1"/>
  <c r="S22" i="123"/>
  <c r="U22" i="123" s="1"/>
  <c r="W22" i="123" s="1"/>
  <c r="S38" i="123"/>
  <c r="U38" i="123" s="1"/>
  <c r="W38" i="123" s="1"/>
  <c r="S39" i="123"/>
  <c r="U39" i="123" s="1"/>
  <c r="W39" i="123" s="1"/>
  <c r="Y39" i="123" s="1"/>
  <c r="AA39" i="123" s="1"/>
  <c r="S25" i="123"/>
  <c r="U25" i="123" s="1"/>
  <c r="W25" i="123" s="1"/>
  <c r="V23" i="123"/>
  <c r="Q23" i="123"/>
  <c r="Q16" i="123"/>
  <c r="T23" i="123"/>
  <c r="R23" i="123"/>
  <c r="P23" i="123"/>
  <c r="X22" i="119" l="1"/>
  <c r="X13" i="131"/>
  <c r="Y22" i="131"/>
  <c r="AA22" i="131" s="1"/>
  <c r="X9" i="136"/>
  <c r="Y11" i="132"/>
  <c r="Z11" i="132"/>
  <c r="AB11" i="132" s="1"/>
  <c r="AC11" i="132" s="1"/>
  <c r="X16" i="133"/>
  <c r="Y16" i="133"/>
  <c r="AA16" i="133" s="1"/>
  <c r="X25" i="123"/>
  <c r="Y25" i="123"/>
  <c r="AA25" i="123" s="1"/>
  <c r="X24" i="121"/>
  <c r="Y24" i="121"/>
  <c r="AA24" i="121" s="1"/>
  <c r="X12" i="134"/>
  <c r="Y12" i="134"/>
  <c r="AA13" i="134"/>
  <c r="AA12" i="134" s="1"/>
  <c r="X11" i="134"/>
  <c r="Y11" i="134"/>
  <c r="AA9" i="134"/>
  <c r="AA8" i="134" s="1"/>
  <c r="Y8" i="134"/>
  <c r="X8" i="134"/>
  <c r="X10" i="119"/>
  <c r="AB10" i="119" s="1"/>
  <c r="W11" i="136"/>
  <c r="Z9" i="136"/>
  <c r="Z11" i="136" s="1"/>
  <c r="X11" i="136"/>
  <c r="Y20" i="131"/>
  <c r="AA20" i="131" s="1"/>
  <c r="AB20" i="131" s="1"/>
  <c r="AB13" i="131"/>
  <c r="Y10" i="131"/>
  <c r="AA10" i="131" s="1"/>
  <c r="X10" i="131"/>
  <c r="P24" i="131"/>
  <c r="X22" i="121"/>
  <c r="AB22" i="121" s="1"/>
  <c r="Y19" i="119"/>
  <c r="AA19" i="119" s="1"/>
  <c r="AA18" i="119" s="1"/>
  <c r="X13" i="119"/>
  <c r="X12" i="119" s="1"/>
  <c r="X11" i="131"/>
  <c r="Y11" i="131"/>
  <c r="AA11" i="131" s="1"/>
  <c r="Q24" i="131"/>
  <c r="X12" i="131"/>
  <c r="Y12" i="131"/>
  <c r="AA12" i="131" s="1"/>
  <c r="X19" i="131"/>
  <c r="Y19" i="131"/>
  <c r="AA19" i="131" s="1"/>
  <c r="U9" i="131"/>
  <c r="S24" i="131"/>
  <c r="AB21" i="131"/>
  <c r="AB22" i="131"/>
  <c r="Y12" i="133"/>
  <c r="AA12" i="133" s="1"/>
  <c r="AB12" i="133" s="1"/>
  <c r="X11" i="133"/>
  <c r="AB11" i="133" s="1"/>
  <c r="S9" i="123"/>
  <c r="U9" i="123" s="1"/>
  <c r="W9" i="123" s="1"/>
  <c r="Q14" i="118"/>
  <c r="S10" i="118"/>
  <c r="Y13" i="120"/>
  <c r="AA13" i="120" s="1"/>
  <c r="AB13" i="120" s="1"/>
  <c r="Y11" i="119"/>
  <c r="AA11" i="119" s="1"/>
  <c r="X11" i="119"/>
  <c r="U9" i="119"/>
  <c r="S26" i="119"/>
  <c r="Y21" i="119"/>
  <c r="AA22" i="119"/>
  <c r="AA21" i="119" s="1"/>
  <c r="X18" i="119"/>
  <c r="AA13" i="119"/>
  <c r="AA12" i="119" s="1"/>
  <c r="Y12" i="119"/>
  <c r="X21" i="119"/>
  <c r="X12" i="121"/>
  <c r="AB12" i="121" s="1"/>
  <c r="Y39" i="121"/>
  <c r="AA39" i="121" s="1"/>
  <c r="Y23" i="121"/>
  <c r="AA23" i="121" s="1"/>
  <c r="AB23" i="121" s="1"/>
  <c r="X21" i="121"/>
  <c r="AB21" i="121" s="1"/>
  <c r="Y15" i="133"/>
  <c r="AA15" i="133" s="1"/>
  <c r="AB15" i="133" s="1"/>
  <c r="X47" i="123"/>
  <c r="AB47" i="123" s="1"/>
  <c r="Y11" i="121"/>
  <c r="AA11" i="121" s="1"/>
  <c r="X11" i="121"/>
  <c r="X25" i="121"/>
  <c r="AB25" i="121" s="1"/>
  <c r="X14" i="135"/>
  <c r="Y14" i="135"/>
  <c r="AA14" i="135" s="1"/>
  <c r="Y20" i="120"/>
  <c r="AA20" i="120" s="1"/>
  <c r="AB20" i="120" s="1"/>
  <c r="X21" i="120"/>
  <c r="AB21" i="120" s="1"/>
  <c r="X22" i="120"/>
  <c r="Y22" i="120"/>
  <c r="AA22" i="120" s="1"/>
  <c r="Y12" i="120"/>
  <c r="AA12" i="120" s="1"/>
  <c r="X12" i="120"/>
  <c r="X23" i="120"/>
  <c r="Y23" i="120"/>
  <c r="AA23" i="120" s="1"/>
  <c r="AB11" i="120"/>
  <c r="AB10" i="120"/>
  <c r="Q8" i="123"/>
  <c r="R24" i="132"/>
  <c r="Y20" i="132"/>
  <c r="Z20" i="132"/>
  <c r="AB20" i="132" s="1"/>
  <c r="Q38" i="135"/>
  <c r="R53" i="123"/>
  <c r="X48" i="123"/>
  <c r="AB48" i="123" s="1"/>
  <c r="P8" i="123"/>
  <c r="P53" i="123" s="1"/>
  <c r="V53" i="123"/>
  <c r="Y14" i="120"/>
  <c r="AA14" i="120" s="1"/>
  <c r="AB14" i="120" s="1"/>
  <c r="Y14" i="133"/>
  <c r="AA14" i="133" s="1"/>
  <c r="X14" i="133"/>
  <c r="Q17" i="133"/>
  <c r="S9" i="133"/>
  <c r="X10" i="121"/>
  <c r="Y10" i="121"/>
  <c r="AA10" i="121" s="1"/>
  <c r="Y37" i="121"/>
  <c r="AA37" i="121" s="1"/>
  <c r="X37" i="121"/>
  <c r="Y36" i="121"/>
  <c r="X36" i="121"/>
  <c r="X38" i="121"/>
  <c r="Q41" i="121"/>
  <c r="S9" i="121"/>
  <c r="Q36" i="120"/>
  <c r="Y24" i="123"/>
  <c r="AA24" i="123" s="1"/>
  <c r="AB24" i="123" s="1"/>
  <c r="Y27" i="123"/>
  <c r="Y26" i="123" s="1"/>
  <c r="Y46" i="123"/>
  <c r="AA46" i="123" s="1"/>
  <c r="X46" i="123"/>
  <c r="X39" i="123"/>
  <c r="AB39" i="123" s="1"/>
  <c r="X22" i="123"/>
  <c r="Y22" i="123"/>
  <c r="T53" i="123"/>
  <c r="Y37" i="123"/>
  <c r="AA37" i="123" s="1"/>
  <c r="X37" i="123"/>
  <c r="X10" i="123"/>
  <c r="Y10" i="123"/>
  <c r="AA10" i="123" s="1"/>
  <c r="Q14" i="123"/>
  <c r="S16" i="123"/>
  <c r="S23" i="123"/>
  <c r="X38" i="123"/>
  <c r="Y38" i="123"/>
  <c r="AA38" i="123" s="1"/>
  <c r="X12" i="123"/>
  <c r="X11" i="123" s="1"/>
  <c r="Y12" i="123"/>
  <c r="Y11" i="123" s="1"/>
  <c r="X26" i="123"/>
  <c r="S8" i="123" l="1"/>
  <c r="AB22" i="119"/>
  <c r="AB21" i="119" s="1"/>
  <c r="AB10" i="131"/>
  <c r="AB9" i="134"/>
  <c r="AB8" i="134" s="1"/>
  <c r="AB16" i="133"/>
  <c r="AB25" i="123"/>
  <c r="U8" i="123"/>
  <c r="AB24" i="121"/>
  <c r="AB13" i="134"/>
  <c r="AB12" i="134" s="1"/>
  <c r="AA11" i="134"/>
  <c r="AA10" i="134" s="1"/>
  <c r="Y10" i="134"/>
  <c r="Y14" i="134" s="1"/>
  <c r="AA14" i="134"/>
  <c r="X10" i="134"/>
  <c r="X14" i="134" s="1"/>
  <c r="AB11" i="134"/>
  <c r="AB10" i="134" s="1"/>
  <c r="Y18" i="119"/>
  <c r="AA9" i="136"/>
  <c r="AA11" i="136" s="1"/>
  <c r="AB19" i="119"/>
  <c r="AB19" i="131"/>
  <c r="W9" i="131"/>
  <c r="U24" i="131"/>
  <c r="AB12" i="131"/>
  <c r="AB11" i="131"/>
  <c r="AB18" i="119"/>
  <c r="AB11" i="119"/>
  <c r="AB11" i="121"/>
  <c r="AA38" i="121"/>
  <c r="AB39" i="121"/>
  <c r="AB38" i="121" s="1"/>
  <c r="Y38" i="121"/>
  <c r="U10" i="118"/>
  <c r="S14" i="118"/>
  <c r="AB13" i="119"/>
  <c r="AB12" i="119" s="1"/>
  <c r="W9" i="119"/>
  <c r="U26" i="119"/>
  <c r="Q53" i="123"/>
  <c r="AB37" i="121"/>
  <c r="AB14" i="135"/>
  <c r="AB12" i="120"/>
  <c r="AB23" i="120"/>
  <c r="AB22" i="120"/>
  <c r="T24" i="132"/>
  <c r="AC20" i="132"/>
  <c r="S38" i="135"/>
  <c r="AB46" i="123"/>
  <c r="AB37" i="123"/>
  <c r="AA27" i="123"/>
  <c r="AA26" i="123" s="1"/>
  <c r="AB14" i="133"/>
  <c r="S17" i="133"/>
  <c r="U9" i="133"/>
  <c r="AB10" i="121"/>
  <c r="X35" i="121"/>
  <c r="AA36" i="121"/>
  <c r="AA35" i="121" s="1"/>
  <c r="Y35" i="121"/>
  <c r="U9" i="121"/>
  <c r="S41" i="121"/>
  <c r="S36" i="120"/>
  <c r="AA22" i="123"/>
  <c r="AA14" i="123" s="1"/>
  <c r="Y14" i="123"/>
  <c r="AA12" i="123"/>
  <c r="AA11" i="123" s="1"/>
  <c r="AB38" i="123"/>
  <c r="U23" i="123"/>
  <c r="AA35" i="123"/>
  <c r="Y35" i="123"/>
  <c r="Y9" i="123"/>
  <c r="X9" i="123"/>
  <c r="W8" i="123"/>
  <c r="S14" i="123"/>
  <c r="S53" i="123" s="1"/>
  <c r="U16" i="123"/>
  <c r="X35" i="123"/>
  <c r="AB10" i="123"/>
  <c r="AB14" i="134" l="1"/>
  <c r="X9" i="131"/>
  <c r="W24" i="131"/>
  <c r="Y9" i="131"/>
  <c r="AB27" i="123"/>
  <c r="AB26" i="123" s="1"/>
  <c r="U14" i="118"/>
  <c r="W10" i="118"/>
  <c r="W26" i="119"/>
  <c r="X9" i="119"/>
  <c r="Y9" i="119"/>
  <c r="AB12" i="123"/>
  <c r="AB11" i="123" s="1"/>
  <c r="V24" i="132"/>
  <c r="U38" i="135"/>
  <c r="AB35" i="123"/>
  <c r="U17" i="133"/>
  <c r="W9" i="133"/>
  <c r="AB36" i="121"/>
  <c r="AB35" i="121" s="1"/>
  <c r="U41" i="121"/>
  <c r="W9" i="121"/>
  <c r="U36" i="120"/>
  <c r="AB22" i="123"/>
  <c r="X8" i="123"/>
  <c r="W16" i="123"/>
  <c r="U14" i="123"/>
  <c r="U53" i="123" s="1"/>
  <c r="Y8" i="123"/>
  <c r="AA9" i="123"/>
  <c r="AA8" i="123" s="1"/>
  <c r="W23" i="123"/>
  <c r="Y24" i="131" l="1"/>
  <c r="AA9" i="131"/>
  <c r="AA24" i="131" s="1"/>
  <c r="X24" i="131"/>
  <c r="W14" i="118"/>
  <c r="X10" i="118"/>
  <c r="Y10" i="118"/>
  <c r="AA9" i="119"/>
  <c r="AA8" i="119" s="1"/>
  <c r="AA26" i="119" s="1"/>
  <c r="Y8" i="119"/>
  <c r="Y26" i="119" s="1"/>
  <c r="X8" i="119"/>
  <c r="X26" i="119" s="1"/>
  <c r="X24" i="132"/>
  <c r="W38" i="135"/>
  <c r="X9" i="133"/>
  <c r="Y9" i="133"/>
  <c r="W17" i="133"/>
  <c r="Y9" i="121"/>
  <c r="W41" i="121"/>
  <c r="X9" i="121"/>
  <c r="W36" i="120"/>
  <c r="X23" i="123"/>
  <c r="Y23" i="123"/>
  <c r="Y53" i="123" s="1"/>
  <c r="AA23" i="123"/>
  <c r="AA53" i="123" s="1"/>
  <c r="X16" i="123"/>
  <c r="W14" i="123"/>
  <c r="W53" i="123" s="1"/>
  <c r="AB9" i="123"/>
  <c r="AB8" i="123" s="1"/>
  <c r="AB9" i="131" l="1"/>
  <c r="AB24" i="131" s="1"/>
  <c r="AB9" i="119"/>
  <c r="AB8" i="119" s="1"/>
  <c r="AB26" i="119" s="1"/>
  <c r="AA10" i="118"/>
  <c r="AA14" i="118" s="1"/>
  <c r="Y14" i="118"/>
  <c r="X14" i="118"/>
  <c r="Y24" i="132"/>
  <c r="Z24" i="132"/>
  <c r="AB24" i="132"/>
  <c r="X38" i="135"/>
  <c r="AB9" i="135"/>
  <c r="AB38" i="135" s="1"/>
  <c r="AA38" i="135"/>
  <c r="Y38" i="135"/>
  <c r="Y17" i="133"/>
  <c r="AA9" i="133"/>
  <c r="AA17" i="133" s="1"/>
  <c r="X17" i="133"/>
  <c r="X8" i="121"/>
  <c r="X41" i="121" s="1"/>
  <c r="Y8" i="121"/>
  <c r="Y41" i="121" s="1"/>
  <c r="AA9" i="121"/>
  <c r="AA8" i="121" s="1"/>
  <c r="AA41" i="121" s="1"/>
  <c r="Y36" i="120"/>
  <c r="AA36" i="120"/>
  <c r="X36" i="120"/>
  <c r="X14" i="123"/>
  <c r="X53" i="123" s="1"/>
  <c r="AB16" i="123"/>
  <c r="AB14" i="123" s="1"/>
  <c r="AB23" i="123"/>
  <c r="AB10" i="118" l="1"/>
  <c r="AB14" i="118" s="1"/>
  <c r="AB53" i="123"/>
  <c r="AB9" i="133"/>
  <c r="AB17" i="133" s="1"/>
  <c r="AC24" i="132"/>
  <c r="AB9" i="121"/>
  <c r="AB8" i="121" s="1"/>
  <c r="AB41" i="121" s="1"/>
  <c r="AB36" i="120"/>
</calcChain>
</file>

<file path=xl/sharedStrings.xml><?xml version="1.0" encoding="utf-8"?>
<sst xmlns="http://schemas.openxmlformats.org/spreadsheetml/2006/main" count="1580" uniqueCount="668">
  <si>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</si>
  <si>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</si>
  <si>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</si>
  <si>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</si>
  <si>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</si>
  <si>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</si>
  <si>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</si>
  <si>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</si>
  <si>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</si>
  <si>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</si>
  <si>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</si>
  <si>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</si>
  <si>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</si>
  <si>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</si>
  <si>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</si>
  <si>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</si>
  <si>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</si>
  <si>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</si>
  <si>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</si>
  <si>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</si>
  <si>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</si>
  <si>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</si>
  <si>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</si>
  <si>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</si>
  <si>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</si>
  <si>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</si>
  <si>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</si>
  <si>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</si>
  <si>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</si>
  <si>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</si>
  <si>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</si>
  <si>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</si>
  <si>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</si>
  <si>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</si>
  <si>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</si>
  <si>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</si>
  <si>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</si>
  <si>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</si>
  <si>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</si>
  <si>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</si>
  <si>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</si>
  <si>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</si>
  <si>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</si>
  <si>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</si>
  <si>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</si>
  <si>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</si>
  <si>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</si>
  <si>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</si>
  <si>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</si>
  <si>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</si>
  <si>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</si>
  <si>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</si>
  <si>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</si>
  <si>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</si>
  <si>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</si>
  <si>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</si>
  <si>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</si>
  <si>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</si>
  <si>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</si>
  <si>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</si>
  <si>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</si>
  <si>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</si>
  <si>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</si>
  <si>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</si>
  <si>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</si>
  <si>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</si>
  <si>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</si>
  <si>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</si>
  <si>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</si>
  <si>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</si>
  <si>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</si>
  <si>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</si>
  <si>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</si>
  <si>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</si>
  <si>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</si>
  <si>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</si>
  <si>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</si>
  <si>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</si>
  <si>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</si>
  <si>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</si>
  <si>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</si>
  <si>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</si>
  <si>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</si>
  <si>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</si>
  <si>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</si>
  <si>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</si>
  <si>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</si>
  <si>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</si>
  <si>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</si>
  <si>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</si>
  <si>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</si>
  <si>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</si>
  <si>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DIRECTORA DEL INSTITUTO MUNICIPAL DE LA MUJER</t>
  </si>
  <si>
    <t>Núm de Empleado</t>
  </si>
  <si>
    <t>RFC</t>
  </si>
  <si>
    <t>AFANADOR PARQUE LA ISLA</t>
  </si>
  <si>
    <t>052</t>
  </si>
  <si>
    <t>ROAE8305268D9</t>
  </si>
  <si>
    <t>088</t>
  </si>
  <si>
    <t>N°</t>
  </si>
  <si>
    <t>007</t>
  </si>
  <si>
    <t>PELG8902233V7</t>
  </si>
  <si>
    <t>CACG8412204R1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</si>
  <si>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</si>
  <si>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</si>
  <si>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</si>
  <si>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</si>
  <si>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</si>
  <si>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</si>
  <si>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</si>
  <si>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</si>
  <si>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</si>
  <si>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</si>
  <si>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</si>
  <si>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</si>
  <si>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</si>
  <si>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</si>
  <si>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</si>
  <si>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</si>
  <si>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</si>
  <si>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</si>
  <si>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</si>
  <si>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</si>
  <si>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</si>
  <si>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</si>
  <si>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</si>
  <si>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</si>
  <si>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</si>
  <si>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</si>
  <si>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</si>
  <si>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</si>
  <si>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RASTRO</t>
  </si>
  <si>
    <t>PROYECTOS PRODUCTIVOS</t>
  </si>
  <si>
    <t>EDUARDO CASILLAS SOLIS</t>
  </si>
  <si>
    <t>INSPECTOR DE GANADERÍA</t>
  </si>
  <si>
    <t>EDUARDO ROBLES CORONA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</si>
  <si>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</si>
  <si>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</si>
  <si>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</si>
  <si>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</si>
  <si>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</si>
  <si>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</si>
  <si>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</si>
  <si>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</si>
  <si>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</si>
  <si>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</si>
  <si>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</si>
  <si>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</si>
  <si>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</si>
  <si>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</si>
  <si>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</si>
  <si>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</si>
  <si>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</si>
  <si>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</si>
  <si>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</si>
  <si>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</si>
  <si>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</si>
  <si>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</si>
  <si>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</si>
  <si>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</si>
  <si>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</si>
  <si>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</si>
  <si>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</si>
  <si>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</si>
  <si>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</si>
  <si>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</si>
  <si>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</si>
  <si>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</si>
  <si>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</si>
  <si>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</si>
  <si>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</si>
  <si>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</si>
  <si>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</si>
  <si>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</si>
  <si>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</si>
  <si>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</si>
  <si>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</si>
  <si>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</si>
  <si>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</si>
  <si>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</si>
  <si>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</si>
  <si>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</si>
  <si>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</si>
  <si>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</si>
  <si>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</si>
  <si>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</si>
  <si>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</si>
  <si>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</si>
  <si>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</si>
  <si>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</si>
  <si>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</si>
  <si>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</si>
  <si>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</si>
  <si>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</si>
  <si>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</si>
  <si>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</si>
  <si>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</si>
  <si>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</si>
  <si>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</si>
  <si>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</si>
  <si>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</si>
  <si>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</si>
  <si>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</si>
  <si>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</si>
  <si>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</si>
  <si>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</si>
  <si>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</si>
  <si>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PELG890223MJCRLD06</t>
  </si>
  <si>
    <t>CACG841220MJCSSD03</t>
  </si>
  <si>
    <t>ROAE830526HJCDRV07</t>
  </si>
  <si>
    <t>FOVL710308HHGLZR08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</si>
  <si>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</si>
  <si>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</si>
  <si>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</si>
  <si>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</si>
  <si>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</si>
  <si>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</si>
  <si>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</si>
  <si>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</si>
  <si>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</si>
  <si>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</si>
  <si>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</si>
  <si>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</si>
  <si>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</si>
  <si>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</si>
  <si>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</si>
  <si>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</si>
  <si>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</si>
  <si>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</si>
  <si>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</si>
  <si>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</si>
  <si>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</si>
  <si>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</si>
  <si>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</si>
  <si>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</si>
  <si>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</si>
  <si>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</si>
  <si>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</si>
  <si>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</si>
  <si>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</si>
  <si>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</si>
  <si>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</si>
  <si>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</si>
  <si>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</si>
  <si>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</si>
  <si>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</si>
  <si>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</si>
  <si>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</si>
  <si>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</si>
  <si>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</si>
  <si>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</si>
  <si>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</si>
  <si>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</si>
  <si>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</si>
  <si>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</si>
  <si>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</si>
  <si>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</si>
  <si>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</si>
  <si>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</si>
  <si>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</si>
  <si>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</si>
  <si>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</si>
  <si>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</si>
  <si>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</si>
  <si>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</si>
  <si>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</si>
  <si>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</si>
  <si>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</si>
  <si>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</si>
  <si>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</si>
  <si>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</si>
  <si>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</si>
  <si>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</si>
  <si>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</si>
  <si>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</si>
  <si>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</si>
  <si>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</si>
  <si>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</si>
  <si>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</si>
  <si>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</si>
  <si>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</si>
  <si>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</si>
  <si>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</si>
  <si>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</si>
  <si>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</si>
  <si>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</si>
  <si>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</si>
  <si>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</si>
  <si>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</si>
  <si>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</si>
  <si>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</si>
  <si>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</si>
  <si>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</si>
  <si>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</si>
  <si>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</si>
  <si>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</si>
  <si>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</si>
  <si>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</si>
  <si>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</si>
  <si>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</si>
  <si>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</si>
  <si>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</si>
  <si>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</si>
  <si>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</si>
  <si>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</si>
  <si>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</si>
  <si>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</si>
  <si>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</si>
  <si>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</si>
  <si>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</si>
  <si>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</si>
  <si>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</si>
  <si>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</si>
  <si>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</si>
  <si>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</si>
  <si>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</si>
  <si>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</si>
  <si>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</si>
  <si>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</si>
  <si>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</si>
  <si>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</si>
  <si>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</si>
  <si>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</si>
  <si>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</si>
  <si>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</si>
  <si>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</si>
  <si>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</si>
  <si>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</si>
  <si>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</si>
  <si>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</si>
  <si>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</si>
  <si>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</si>
  <si>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</si>
  <si>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</si>
  <si>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</si>
  <si>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</si>
  <si>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</si>
  <si>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</si>
  <si>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</si>
  <si>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</si>
  <si>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</si>
  <si>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</si>
  <si>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</si>
  <si>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</si>
  <si>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</si>
  <si>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</si>
  <si>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</si>
  <si>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</si>
  <si>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</si>
  <si>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</si>
  <si>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</si>
  <si>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</si>
  <si>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</si>
  <si>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</si>
  <si>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</si>
  <si>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</si>
  <si>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</si>
  <si>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</si>
  <si>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</si>
  <si>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</si>
  <si>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</si>
  <si>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</si>
  <si>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</si>
  <si>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</si>
  <si>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</si>
  <si>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</si>
  <si>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</si>
  <si>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</si>
  <si>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</si>
  <si>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</si>
  <si>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</si>
  <si>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</si>
  <si>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</si>
  <si>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</si>
  <si>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</si>
  <si>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</si>
  <si>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</si>
  <si>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</si>
  <si>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</si>
  <si>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</si>
  <si>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</si>
  <si>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</si>
  <si>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</si>
  <si>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</si>
  <si>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</si>
  <si>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</si>
  <si>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</si>
  <si>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</si>
  <si>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</si>
  <si>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</si>
  <si>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</si>
  <si>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</si>
  <si>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</si>
  <si>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</si>
  <si>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</si>
  <si>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</si>
  <si>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</si>
  <si>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</si>
  <si>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</si>
  <si>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</si>
  <si>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</si>
  <si>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</si>
  <si>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</si>
  <si>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</si>
  <si>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</si>
  <si>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</si>
  <si>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</si>
  <si>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</si>
  <si>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</si>
  <si>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</si>
  <si>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</si>
  <si>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</si>
  <si>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</si>
  <si>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</si>
  <si>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</si>
  <si>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</si>
  <si>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</si>
  <si>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</si>
  <si>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</si>
  <si>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</si>
  <si>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</si>
  <si>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</si>
  <si>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</si>
  <si>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</si>
  <si>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</si>
  <si>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</si>
  <si>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</si>
  <si>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</si>
  <si>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</si>
  <si>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</si>
  <si>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</si>
  <si>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</si>
  <si>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</si>
  <si>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</si>
  <si>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</si>
  <si>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</si>
  <si>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</si>
  <si>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</si>
  <si>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</si>
  <si>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</si>
  <si>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</si>
  <si>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</si>
  <si>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</si>
  <si>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</si>
  <si>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</si>
  <si>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</si>
  <si>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</si>
  <si>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</si>
  <si>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</si>
  <si>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</si>
  <si>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</si>
  <si>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</si>
  <si>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</si>
  <si>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</si>
  <si>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</si>
  <si>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</si>
  <si>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</si>
  <si>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</si>
  <si>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</si>
  <si>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</si>
  <si>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MÉDICO MUNICIPAL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</si>
  <si>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</si>
  <si>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</si>
  <si>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</si>
  <si>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</si>
  <si>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</si>
  <si>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</si>
  <si>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</si>
  <si>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</si>
  <si>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</si>
  <si>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</si>
  <si>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</si>
  <si>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</si>
  <si>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</si>
  <si>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</si>
  <si>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</si>
  <si>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</si>
  <si>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</si>
  <si>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</si>
  <si>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</si>
  <si>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</si>
  <si>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</si>
  <si>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</si>
  <si>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</si>
  <si>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</si>
  <si>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</si>
  <si>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</si>
  <si>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</si>
  <si>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</si>
  <si>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</si>
  <si>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</si>
  <si>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</si>
  <si>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</si>
  <si>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</si>
  <si>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</si>
  <si>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</si>
  <si>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</si>
  <si>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</si>
  <si>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</si>
  <si>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</si>
  <si>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</si>
  <si>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</si>
  <si>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</si>
  <si>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</si>
  <si>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</si>
  <si>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</si>
  <si>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</si>
  <si>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</si>
  <si>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</si>
  <si>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</si>
  <si>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</si>
  <si>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</si>
  <si>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</si>
  <si>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</si>
  <si>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</si>
  <si>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</si>
  <si>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</si>
  <si>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</si>
  <si>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</si>
  <si>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405</t>
  </si>
  <si>
    <t>407</t>
  </si>
  <si>
    <t>408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</si>
  <si>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</si>
  <si>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</si>
  <si>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</si>
  <si>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</si>
  <si>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</si>
  <si>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</si>
  <si>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</si>
  <si>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</si>
  <si>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</si>
  <si>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</si>
  <si>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</si>
  <si>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</si>
  <si>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</si>
  <si>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</si>
  <si>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</si>
  <si>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</si>
  <si>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</si>
  <si>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</si>
  <si>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</si>
  <si>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</si>
  <si>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</si>
  <si>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</si>
  <si>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</si>
  <si>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</si>
  <si>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</si>
  <si>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</si>
  <si>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</si>
  <si>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</si>
  <si>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</si>
  <si>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</si>
  <si>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</si>
  <si>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</si>
  <si>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</si>
  <si>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</si>
  <si>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</si>
  <si>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</si>
  <si>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</si>
  <si>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</si>
  <si>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</si>
  <si>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</si>
  <si>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</si>
  <si>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</si>
  <si>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</si>
  <si>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</si>
  <si>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</si>
  <si>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</si>
  <si>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</si>
  <si>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</si>
  <si>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</si>
  <si>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424</t>
  </si>
  <si>
    <t>JOSE ALFREDO CASTRO BALTIERRA</t>
  </si>
  <si>
    <t>CABA940905AQ2</t>
  </si>
  <si>
    <t>CABA940905HJCSLL03</t>
  </si>
  <si>
    <t>425</t>
  </si>
  <si>
    <t>CRISTIAN ALEJANDRO PEREZ RAMIREZ</t>
  </si>
  <si>
    <t>PERC9302173N5</t>
  </si>
  <si>
    <t>PERC930217HJCRMR03</t>
  </si>
  <si>
    <t>316</t>
  </si>
  <si>
    <t>JAIME BALTIERRA SILVA</t>
  </si>
  <si>
    <t>BASJ750313467</t>
  </si>
  <si>
    <t>BASJ750313HJCLLM04</t>
  </si>
  <si>
    <t>OPERADOR MOTOCONFORMADORA</t>
  </si>
  <si>
    <t>426</t>
  </si>
  <si>
    <t>LUIS CESAR GOMEZ CASTRO</t>
  </si>
  <si>
    <t>GOCL070702QI5</t>
  </si>
  <si>
    <t>GOCL070702HJCMSSA0</t>
  </si>
  <si>
    <t>MATANCERO</t>
  </si>
  <si>
    <t>CONTRALORIA MUNICIPAL</t>
  </si>
  <si>
    <t>428</t>
  </si>
  <si>
    <t>BRAULIO ANTONIO DE LEON BAÑUELOS</t>
  </si>
  <si>
    <t>LEBB040506JMA</t>
  </si>
  <si>
    <t>LEBB040506HJCNXRA6</t>
  </si>
  <si>
    <t>427</t>
  </si>
  <si>
    <t>JULIAN EDUARDO ESQUIVEL CASTRO</t>
  </si>
  <si>
    <t>EUCJ010524SV9</t>
  </si>
  <si>
    <t>EUCJ010524HJCSSLA5</t>
  </si>
  <si>
    <t>429</t>
  </si>
  <si>
    <t>VAVA990314UL5</t>
  </si>
  <si>
    <t>VAVA990314HJCZGN06</t>
  </si>
  <si>
    <t>395</t>
  </si>
  <si>
    <t>JOSE RIVERA FLORES</t>
  </si>
  <si>
    <t>RIFJ771230D57</t>
  </si>
  <si>
    <t>RIFJ771230HJCVLS00</t>
  </si>
  <si>
    <t>FRANCISCO JAVIER CASTRO ULLOA</t>
  </si>
  <si>
    <t>CAUF070427CV5</t>
  </si>
  <si>
    <t>CAUF070427HJCSLRA1</t>
  </si>
  <si>
    <t>ANTONIO DE JESUS VAZQUEZ VEGA</t>
  </si>
  <si>
    <t>430</t>
  </si>
  <si>
    <t>431</t>
  </si>
  <si>
    <t>LUIS DANIEL RESENDEZ SALAZAR</t>
  </si>
  <si>
    <t>RESL930622D49</t>
  </si>
  <si>
    <t>RESL930622HZSSLS02</t>
  </si>
  <si>
    <t>432</t>
  </si>
  <si>
    <t>JANETH DEL CARMEN VALENZUELA MONTOYA</t>
  </si>
  <si>
    <t>VAMJ870716MJCLNN06</t>
  </si>
  <si>
    <t>VAMJ870716KV7</t>
  </si>
  <si>
    <t>433</t>
  </si>
  <si>
    <t>MYRIAM ALONDRA MURILLO RAMIREZ</t>
  </si>
  <si>
    <t>MURM981221VC3</t>
  </si>
  <si>
    <t>MURM951221MJCRMY01</t>
  </si>
  <si>
    <t>MÉDICO VETERINARIO ZOOTECNISTA</t>
  </si>
  <si>
    <t>COORDINADOR DE MAQUINARIA Y ALMACEN MUNICIPAL</t>
  </si>
  <si>
    <t>SUELDO  DEL 01 AL 15 DE ENERO DE 2026</t>
  </si>
  <si>
    <t>435</t>
  </si>
  <si>
    <t>JOSE ACUÑA RUIZ</t>
  </si>
  <si>
    <t>AURJ821018HI2</t>
  </si>
  <si>
    <t>AURJ821018HZSCZS05</t>
  </si>
  <si>
    <t xml:space="preserve">                               MTRO. JOSÉ ACUÑA RUIZ</t>
  </si>
  <si>
    <t xml:space="preserve">                  MTRO. JOSÉ ACUÑA RUIZ</t>
  </si>
  <si>
    <t xml:space="preserve">                                       MTRO. JOSÉ ACUÑA RUIZ</t>
  </si>
  <si>
    <t xml:space="preserve">                                    MTRO. JOSÉ ACUÑA RUIZ</t>
  </si>
  <si>
    <t xml:space="preserve">                                            MTRO. JOSÉ ACUÑA RUIZ</t>
  </si>
  <si>
    <t xml:space="preserve">                                             MTRO. JOSÉ ACUÑA RUIZ</t>
  </si>
  <si>
    <t xml:space="preserve">                                MTRO. JOSÉ ACUÑA RUIZ</t>
  </si>
  <si>
    <t xml:space="preserve">                                         MTRO. JOSÉ ACUÑA RUIZ</t>
  </si>
  <si>
    <t xml:space="preserve">                                 MTRO. JOSÉ ACUÑA RUIZ</t>
  </si>
  <si>
    <t>EJERCICIO 2026</t>
  </si>
  <si>
    <t>TABLAS PUBLICADAS En DICIEMBRE DE 2025</t>
  </si>
  <si>
    <t>VIGENTES PARA 2026</t>
  </si>
  <si>
    <t>002</t>
  </si>
  <si>
    <t>ISIDRA PÈREZ CASTRO</t>
  </si>
  <si>
    <t>PECI880515LKA</t>
  </si>
  <si>
    <t>PECI880515MJCRSS02</t>
  </si>
  <si>
    <t xml:space="preserve">SECRETARIA HACIENDA MUNICIPAL </t>
  </si>
  <si>
    <t>ALEJANDRO MAGALLANES ÁVILA</t>
  </si>
  <si>
    <t>MAAA951108638</t>
  </si>
  <si>
    <t>MAAA951108HJCGVL06</t>
  </si>
  <si>
    <t>434</t>
  </si>
  <si>
    <t>436</t>
  </si>
  <si>
    <t>MARIANA GUADALUPE GALLEGOS GONZALEZ</t>
  </si>
  <si>
    <t>GAGM041126K73</t>
  </si>
  <si>
    <t>GAGM041126MJCLNRA5</t>
  </si>
  <si>
    <t>AUXILIAR ADMINISTRATIVO</t>
  </si>
  <si>
    <t>DIRECTORA DE DESARROLLO AGROPECUARIO</t>
  </si>
  <si>
    <t>DIRECTORA DE COMUNICACIÓN SOCIAL Y MEDIOS</t>
  </si>
  <si>
    <t>AUXILIAR DE COMUNICACIÓN SOCIAL Y MEDIOS</t>
  </si>
  <si>
    <t>DIRECTOR DE UNIDAD DEPORTIVA</t>
  </si>
  <si>
    <t>DIRECTOR DE CATASTRO Y REGULARIZACIÓN DE PREDIOS RÚSTICOS</t>
  </si>
  <si>
    <t>TITULAR DE TRANPARENCIA Y ARCHIVO</t>
  </si>
  <si>
    <t>AUXILIAR ADMINISTRATIVO DE HACIENDA PÚBLICA MUNICIPAL</t>
  </si>
  <si>
    <t>ÓRGANO INTERNO DE CONTROL</t>
  </si>
  <si>
    <t xml:space="preserve">Días </t>
  </si>
  <si>
    <t>Trabajados</t>
  </si>
  <si>
    <t>15</t>
  </si>
  <si>
    <t>10</t>
  </si>
  <si>
    <t>AUXILIAR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</si>
</sst>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17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0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0" fillId="5" borderId="4" xfId="0" applyNumberFormat="1" applyFont="1" applyFill="1" applyBorder="1" applyAlignment="1">
      <alignment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Border="1" applyAlignment="1" applyProtection="1">
      <alignment horizontal="left" vertical="center"/>
      <protection locked="0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40" fillId="0" borderId="4" xfId="5" applyNumberFormat="1" applyFont="1" applyFill="1" applyBorder="1" applyAlignment="1" applyProtection="1">
      <alignment vertical="center" wrapText="1"/>
      <protection locked="0"/>
    </xf>
    <xf numFmtId="49" fontId="29" fillId="0" borderId="4" xfId="5" applyNumberFormat="1" applyFont="1" applyFill="1" applyBorder="1" applyAlignment="1" applyProtection="1">
      <alignment vertical="center" wrapText="1"/>
      <protection locked="0"/>
    </xf>
    <xf numFmtId="49" fontId="44" fillId="0" borderId="4" xfId="5" applyNumberFormat="1" applyFont="1" applyFill="1" applyBorder="1" applyAlignment="1" applyProtection="1">
      <alignment vertical="center" wrapText="1"/>
      <protection locked="0"/>
    </xf>
    <xf numFmtId="49" fontId="40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0" fontId="32" fillId="0" borderId="4" xfId="0" applyFont="1" applyBorder="1" applyAlignment="1">
      <alignment horizontal="center"/>
    </xf>
    <xf numFmtId="49" fontId="33" fillId="0" borderId="4" xfId="0" applyNumberFormat="1" applyFont="1" applyBorder="1" applyAlignment="1" applyProtection="1">
      <alignment horizontal="center" vertical="center"/>
      <protection locked="0"/>
    </xf>
    <xf numFmtId="49" fontId="29" fillId="0" borderId="3" xfId="0" applyNumberFormat="1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/>
    </xf>
    <xf numFmtId="49" fontId="29" fillId="0" borderId="0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 applyProtection="1">
      <alignment horizontal="left" vertical="center"/>
      <protection locked="0"/>
    </xf>
    <xf numFmtId="14" fontId="29" fillId="0" borderId="0" xfId="0" applyNumberFormat="1" applyFont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center" vertical="center"/>
      <protection locked="0"/>
    </xf>
    <xf numFmtId="2" fontId="27" fillId="0" borderId="0" xfId="0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42" fillId="0" borderId="0" xfId="2" applyNumberFormat="1" applyFont="1" applyFill="1" applyBorder="1" applyAlignment="1" applyProtection="1">
      <alignment horizontal="center"/>
    </xf>
    <xf numFmtId="165" fontId="42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2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16</xdr:row>
      <xdr:rowOff>70039</xdr:rowOff>
    </xdr:from>
    <xdr:to>
      <xdr:col>3</xdr:col>
      <xdr:colOff>1804066</xdr:colOff>
      <xdr:row>19</xdr:row>
      <xdr:rowOff>36254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28</xdr:row>
      <xdr:rowOff>364191</xdr:rowOff>
    </xdr:from>
    <xdr:to>
      <xdr:col>3</xdr:col>
      <xdr:colOff>1986162</xdr:colOff>
      <xdr:row>31</xdr:row>
      <xdr:rowOff>50258</xdr:rowOff>
    </xdr:to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01B5E9A1-D106-4995-BD89-9251CE9F7D4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4461341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15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26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16</xdr:row>
      <xdr:rowOff>317501</xdr:rowOff>
    </xdr:from>
    <xdr:to>
      <xdr:col>3</xdr:col>
      <xdr:colOff>1435612</xdr:colOff>
      <xdr:row>19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28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30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41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14</xdr:row>
      <xdr:rowOff>131379</xdr:rowOff>
    </xdr:from>
    <xdr:to>
      <xdr:col>3</xdr:col>
      <xdr:colOff>1226207</xdr:colOff>
      <xdr:row>17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4</xdr:col>
      <xdr:colOff>39144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38" sqref="F38:G48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173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315.04000000000002</v>
      </c>
    </row>
    <row r="4" spans="1:9" x14ac:dyDescent="0.2">
      <c r="B4" s="19" t="s">
        <v>638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43" t="s">
        <v>10</v>
      </c>
      <c r="C7" s="443"/>
      <c r="D7" s="443"/>
      <c r="E7" s="7"/>
      <c r="F7" s="436" t="s">
        <v>48</v>
      </c>
      <c r="G7" s="437"/>
      <c r="I7" s="110" t="s">
        <v>174</v>
      </c>
    </row>
    <row r="8" spans="1:9" ht="14.25" customHeight="1" x14ac:dyDescent="0.2">
      <c r="B8" s="440" t="s">
        <v>9</v>
      </c>
      <c r="C8" s="440"/>
      <c r="D8" s="440"/>
      <c r="E8" s="7"/>
      <c r="F8" s="441" t="s">
        <v>49</v>
      </c>
      <c r="G8" s="442"/>
      <c r="I8" s="109">
        <v>117.31</v>
      </c>
    </row>
    <row r="9" spans="1:9" ht="8.25" customHeight="1" x14ac:dyDescent="0.2">
      <c r="B9" s="444"/>
      <c r="C9" s="444"/>
      <c r="D9" s="444"/>
      <c r="E9" s="7"/>
      <c r="F9" s="438"/>
      <c r="G9" s="439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536.21</v>
      </c>
    </row>
    <row r="14" spans="1:9" ht="15.95" customHeight="1" x14ac:dyDescent="0.2">
      <c r="A14" s="1"/>
      <c r="B14" s="20">
        <v>844.6</v>
      </c>
      <c r="C14" s="20">
        <v>16.22</v>
      </c>
      <c r="D14" s="21">
        <v>6.4000000000000001E-2</v>
      </c>
      <c r="E14" s="14"/>
      <c r="F14" s="20">
        <v>11492.67</v>
      </c>
      <c r="G14" s="20">
        <v>0</v>
      </c>
    </row>
    <row r="15" spans="1:9" ht="15.95" customHeight="1" x14ac:dyDescent="0.2">
      <c r="A15" s="1"/>
      <c r="B15" s="20">
        <v>7168.52</v>
      </c>
      <c r="C15" s="20">
        <v>420.95</v>
      </c>
      <c r="D15" s="21">
        <v>0.10879999999999999</v>
      </c>
      <c r="E15" s="14"/>
      <c r="F15" s="20">
        <v>11492.67</v>
      </c>
      <c r="G15" s="20">
        <v>0</v>
      </c>
    </row>
    <row r="16" spans="1:9" ht="15.95" customHeight="1" x14ac:dyDescent="0.2">
      <c r="A16" s="1"/>
      <c r="B16" s="20">
        <v>12598.03</v>
      </c>
      <c r="C16" s="20">
        <v>1011.68</v>
      </c>
      <c r="D16" s="21">
        <v>0.16</v>
      </c>
      <c r="E16" s="14"/>
      <c r="F16" s="20">
        <v>11492.67</v>
      </c>
      <c r="G16" s="20">
        <v>0</v>
      </c>
    </row>
    <row r="17" spans="1:8" ht="15.95" customHeight="1" x14ac:dyDescent="0.2">
      <c r="A17" s="1"/>
      <c r="B17" s="20">
        <v>14644.65</v>
      </c>
      <c r="C17" s="20">
        <v>1339.14</v>
      </c>
      <c r="D17" s="21">
        <v>0.1792</v>
      </c>
      <c r="E17" s="14"/>
      <c r="F17" s="20">
        <v>11492.67</v>
      </c>
      <c r="G17" s="20">
        <v>0</v>
      </c>
    </row>
    <row r="18" spans="1:8" ht="15.95" customHeight="1" x14ac:dyDescent="0.2">
      <c r="A18" s="1"/>
      <c r="B18" s="20">
        <v>17533.650000000001</v>
      </c>
      <c r="C18" s="20">
        <v>1856.84</v>
      </c>
      <c r="D18" s="21">
        <v>0.21360000000000001</v>
      </c>
      <c r="E18" s="14"/>
      <c r="F18" s="20">
        <v>11492.67</v>
      </c>
      <c r="G18" s="20">
        <v>0</v>
      </c>
    </row>
    <row r="19" spans="1:8" ht="15.95" customHeight="1" x14ac:dyDescent="0.2">
      <c r="A19" s="1"/>
      <c r="B19" s="20">
        <v>35362.839999999997</v>
      </c>
      <c r="C19" s="20">
        <v>5665.16</v>
      </c>
      <c r="D19" s="21">
        <v>0.23519999999999999</v>
      </c>
      <c r="E19" s="7"/>
      <c r="F19" s="20">
        <v>11492.67</v>
      </c>
      <c r="G19" s="20">
        <v>0</v>
      </c>
    </row>
    <row r="20" spans="1:8" ht="15.95" customHeight="1" x14ac:dyDescent="0.2">
      <c r="A20" s="1"/>
      <c r="B20" s="20">
        <v>55736.69</v>
      </c>
      <c r="C20" s="20">
        <v>10457.09</v>
      </c>
      <c r="D20" s="21">
        <v>0.3</v>
      </c>
      <c r="E20" s="7"/>
      <c r="F20" s="20">
        <v>11492.67</v>
      </c>
      <c r="G20" s="20">
        <v>0</v>
      </c>
    </row>
    <row r="21" spans="1:8" x14ac:dyDescent="0.2">
      <c r="A21" s="1"/>
      <c r="B21" s="20">
        <v>106410.51</v>
      </c>
      <c r="C21" s="20">
        <v>25659.23</v>
      </c>
      <c r="D21" s="21">
        <v>0.32</v>
      </c>
      <c r="E21" s="7"/>
      <c r="F21" s="20">
        <v>11492.67</v>
      </c>
      <c r="G21" s="20">
        <v>0</v>
      </c>
    </row>
    <row r="22" spans="1:8" ht="14.25" customHeight="1" x14ac:dyDescent="0.2">
      <c r="A22" s="1"/>
      <c r="B22" s="20">
        <v>141880.67000000001</v>
      </c>
      <c r="C22" s="20">
        <v>37009.69</v>
      </c>
      <c r="D22" s="21">
        <v>0.34</v>
      </c>
      <c r="E22" s="7"/>
      <c r="F22" s="20">
        <v>11492.67</v>
      </c>
      <c r="G22" s="20">
        <v>0</v>
      </c>
    </row>
    <row r="23" spans="1:8" x14ac:dyDescent="0.2">
      <c r="B23" s="20">
        <v>425642</v>
      </c>
      <c r="C23" s="20">
        <v>133488.54</v>
      </c>
      <c r="D23" s="21">
        <v>0.35</v>
      </c>
      <c r="E23" s="7"/>
      <c r="F23" s="20">
        <v>11492.67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639</v>
      </c>
      <c r="C28" s="7"/>
      <c r="D28" s="7"/>
    </row>
    <row r="29" spans="1:8" x14ac:dyDescent="0.2">
      <c r="B29" s="32" t="s">
        <v>640</v>
      </c>
      <c r="C29" s="7"/>
      <c r="D29" s="7"/>
    </row>
    <row r="30" spans="1:8" x14ac:dyDescent="0.2">
      <c r="B30" s="193" t="s">
        <v>335</v>
      </c>
      <c r="C30" s="192"/>
      <c r="D30" s="192"/>
      <c r="E30" s="192"/>
      <c r="F30" s="192"/>
      <c r="G30" s="192"/>
      <c r="H30" s="192"/>
    </row>
    <row r="32" spans="1:8" ht="17.25" customHeight="1" x14ac:dyDescent="0.2">
      <c r="B32" s="5" t="s">
        <v>45</v>
      </c>
      <c r="E32" s="7"/>
      <c r="F32" s="436" t="s">
        <v>53</v>
      </c>
      <c r="G32" s="437"/>
    </row>
    <row r="33" spans="2:7" x14ac:dyDescent="0.2">
      <c r="E33" s="7"/>
      <c r="F33" s="441" t="s">
        <v>54</v>
      </c>
      <c r="G33" s="442"/>
    </row>
    <row r="34" spans="2:7" ht="5.25" customHeight="1" x14ac:dyDescent="0.2">
      <c r="E34" s="7"/>
      <c r="F34" s="438"/>
      <c r="G34" s="439"/>
    </row>
    <row r="35" spans="2:7" x14ac:dyDescent="0.2">
      <c r="B35" s="443" t="s">
        <v>10</v>
      </c>
      <c r="C35" s="443"/>
      <c r="D35" s="443"/>
      <c r="E35" s="7"/>
      <c r="F35" s="9" t="s">
        <v>16</v>
      </c>
      <c r="G35" s="9" t="s">
        <v>17</v>
      </c>
    </row>
    <row r="36" spans="2:7" x14ac:dyDescent="0.2">
      <c r="B36" s="440" t="s">
        <v>9</v>
      </c>
      <c r="C36" s="440"/>
      <c r="D36" s="440"/>
      <c r="E36" s="7"/>
      <c r="F36" s="9"/>
      <c r="G36" s="9" t="s">
        <v>18</v>
      </c>
    </row>
    <row r="37" spans="2:7" x14ac:dyDescent="0.2">
      <c r="B37" s="444"/>
      <c r="C37" s="444"/>
      <c r="D37" s="444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264.54000000000002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5746.34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5746.34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5746.34</v>
      </c>
      <c r="G41" s="12">
        <v>0</v>
      </c>
    </row>
    <row r="42" spans="2:7" ht="15.95" customHeight="1" x14ac:dyDescent="0.2">
      <c r="B42" s="12">
        <v>416.71</v>
      </c>
      <c r="C42" s="12">
        <v>7.95</v>
      </c>
      <c r="D42" s="13">
        <v>6.4000000000000001E-2</v>
      </c>
      <c r="E42" s="14"/>
      <c r="F42" s="12">
        <v>5746.34</v>
      </c>
      <c r="G42" s="12">
        <v>0</v>
      </c>
    </row>
    <row r="43" spans="2:7" ht="15.95" customHeight="1" x14ac:dyDescent="0.2">
      <c r="B43" s="12">
        <v>3537.16</v>
      </c>
      <c r="C43" s="12">
        <v>207.75</v>
      </c>
      <c r="D43" s="13">
        <v>0.10879999999999999</v>
      </c>
      <c r="E43" s="14"/>
      <c r="F43" s="12">
        <v>5746.34</v>
      </c>
      <c r="G43" s="12">
        <v>0</v>
      </c>
    </row>
    <row r="44" spans="2:7" ht="15.95" customHeight="1" x14ac:dyDescent="0.2">
      <c r="B44" s="12">
        <v>6216.16</v>
      </c>
      <c r="C44" s="12">
        <v>499.2</v>
      </c>
      <c r="D44" s="13">
        <v>0.16</v>
      </c>
      <c r="E44" s="7"/>
      <c r="F44" s="12">
        <v>5746.34</v>
      </c>
      <c r="G44" s="12">
        <v>0</v>
      </c>
    </row>
    <row r="45" spans="2:7" ht="15.95" customHeight="1" x14ac:dyDescent="0.2">
      <c r="B45" s="12">
        <v>7225.96</v>
      </c>
      <c r="C45" s="12">
        <v>660.75</v>
      </c>
      <c r="D45" s="13">
        <v>0.1792</v>
      </c>
      <c r="E45" s="7"/>
      <c r="F45" s="12">
        <v>5746.34</v>
      </c>
      <c r="G45" s="12">
        <v>0</v>
      </c>
    </row>
    <row r="46" spans="2:7" ht="15.95" customHeight="1" x14ac:dyDescent="0.2">
      <c r="B46" s="12">
        <v>8651.41</v>
      </c>
      <c r="C46" s="12">
        <v>916.2</v>
      </c>
      <c r="D46" s="13">
        <v>0.21360000000000001</v>
      </c>
      <c r="E46" s="7"/>
      <c r="F46" s="12">
        <v>5746.34</v>
      </c>
      <c r="G46" s="12">
        <v>0</v>
      </c>
    </row>
    <row r="47" spans="2:7" ht="15.95" customHeight="1" x14ac:dyDescent="0.2">
      <c r="B47" s="12">
        <v>17448.759999999998</v>
      </c>
      <c r="C47" s="12">
        <v>2795.25</v>
      </c>
      <c r="D47" s="13">
        <v>0.23519999999999999</v>
      </c>
      <c r="E47" s="7"/>
      <c r="F47" s="12">
        <v>5746.34</v>
      </c>
      <c r="G47" s="12">
        <v>0</v>
      </c>
    </row>
    <row r="48" spans="2:7" ht="15.95" customHeight="1" x14ac:dyDescent="0.2">
      <c r="B48" s="12">
        <v>27501.61</v>
      </c>
      <c r="C48" s="12">
        <v>5159.7</v>
      </c>
      <c r="D48" s="13">
        <v>0.3</v>
      </c>
      <c r="E48" s="7"/>
      <c r="F48" s="12">
        <v>5746.34</v>
      </c>
      <c r="G48" s="12">
        <v>0</v>
      </c>
    </row>
    <row r="49" spans="2:7" x14ac:dyDescent="0.2">
      <c r="B49" s="12">
        <v>52505.26</v>
      </c>
      <c r="C49" s="12">
        <v>12660.75</v>
      </c>
      <c r="D49" s="13">
        <v>0.32</v>
      </c>
      <c r="E49" s="7"/>
      <c r="F49" s="17"/>
      <c r="G49" s="17"/>
    </row>
    <row r="50" spans="2:7" x14ac:dyDescent="0.2">
      <c r="B50" s="12">
        <v>70006.960000000006</v>
      </c>
      <c r="C50" s="12">
        <v>18261.3</v>
      </c>
      <c r="D50" s="13">
        <v>0.34</v>
      </c>
    </row>
    <row r="51" spans="2:7" x14ac:dyDescent="0.2">
      <c r="B51" s="12">
        <v>210020.71</v>
      </c>
      <c r="C51" s="12">
        <v>65866.05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41"/>
  <sheetViews>
    <sheetView topLeftCell="B22" zoomScale="73" zoomScaleNormal="73" workbookViewId="0">
      <selection activeCell="AD9" sqref="AD9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6" customWidth="1"/>
    <col min="5" max="5" width="23.5703125" customWidth="1"/>
    <col min="6" max="6" width="34" customWidth="1"/>
    <col min="7" max="7" width="17.7109375" customWidth="1"/>
    <col min="8" max="8" width="18.140625" customWidth="1"/>
    <col min="9" max="9" width="8.28515625" hidden="1" customWidth="1"/>
    <col min="10" max="10" width="11.5703125" hidden="1" customWidth="1"/>
    <col min="11" max="11" width="11.5703125" customWidth="1"/>
    <col min="12" max="12" width="17.7109375" customWidth="1"/>
    <col min="13" max="13" width="13.5703125" customWidth="1"/>
    <col min="14" max="14" width="16.85546875" customWidth="1"/>
    <col min="15" max="15" width="11.42578125" hidden="1" customWidth="1"/>
    <col min="16" max="18" width="16" hidden="1" customWidth="1"/>
    <col min="19" max="23" width="11.42578125" hidden="1" customWidth="1"/>
    <col min="24" max="24" width="12" hidden="1" customWidth="1"/>
    <col min="25" max="25" width="9" customWidth="1"/>
    <col min="26" max="27" width="14.42578125" customWidth="1"/>
    <col min="28" max="28" width="14.5703125" bestFit="1" customWidth="1"/>
    <col min="29" max="29" width="16.85546875" customWidth="1"/>
    <col min="30" max="30" width="67.5703125" customWidth="1"/>
  </cols>
  <sheetData>
    <row r="1" spans="1:31" ht="18" x14ac:dyDescent="0.25">
      <c r="A1" s="459" t="s">
        <v>76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59"/>
      <c r="AB1" s="459"/>
      <c r="AC1" s="459"/>
      <c r="AD1" s="459"/>
    </row>
    <row r="2" spans="1:31" ht="18" x14ac:dyDescent="0.25">
      <c r="A2" s="459" t="s">
        <v>64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  <c r="X2" s="459"/>
      <c r="Y2" s="459"/>
      <c r="Z2" s="459"/>
      <c r="AA2" s="459"/>
      <c r="AB2" s="459"/>
      <c r="AC2" s="459"/>
      <c r="AD2" s="459"/>
    </row>
    <row r="3" spans="1:31" ht="19.5" x14ac:dyDescent="0.25">
      <c r="A3" s="449" t="str">
        <f>PRESIDENCIA!A3</f>
        <v>SUELDO  DEL 01 AL 15 DE ENERO DE 2026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  <c r="AD3" s="449"/>
    </row>
    <row r="4" spans="1:31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</row>
    <row r="5" spans="1:31" x14ac:dyDescent="0.2">
      <c r="A5" s="22"/>
      <c r="B5" s="496" t="s">
        <v>93</v>
      </c>
      <c r="C5" s="496" t="s">
        <v>109</v>
      </c>
      <c r="D5" s="22"/>
      <c r="E5" s="22"/>
      <c r="F5" s="22"/>
      <c r="G5" s="22"/>
      <c r="H5" s="22"/>
      <c r="I5" s="23" t="s">
        <v>22</v>
      </c>
      <c r="J5" s="23" t="s">
        <v>5</v>
      </c>
      <c r="K5" s="363"/>
      <c r="L5" s="460" t="s">
        <v>1</v>
      </c>
      <c r="M5" s="461"/>
      <c r="N5" s="462"/>
      <c r="O5" s="24" t="s">
        <v>25</v>
      </c>
      <c r="P5" s="25"/>
      <c r="Q5" s="463" t="s">
        <v>8</v>
      </c>
      <c r="R5" s="464"/>
      <c r="S5" s="464"/>
      <c r="T5" s="464"/>
      <c r="U5" s="464"/>
      <c r="V5" s="465"/>
      <c r="W5" s="24" t="s">
        <v>29</v>
      </c>
      <c r="X5" s="24" t="s">
        <v>9</v>
      </c>
      <c r="Y5" s="23" t="s">
        <v>52</v>
      </c>
      <c r="Z5" s="466" t="s">
        <v>2</v>
      </c>
      <c r="AA5" s="467"/>
      <c r="AB5" s="468"/>
      <c r="AC5" s="23" t="s">
        <v>0</v>
      </c>
      <c r="AD5" s="33"/>
    </row>
    <row r="6" spans="1:31" ht="12.75" customHeight="1" x14ac:dyDescent="0.2">
      <c r="A6" s="26" t="s">
        <v>20</v>
      </c>
      <c r="B6" s="497"/>
      <c r="C6" s="497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6" t="s">
        <v>663</v>
      </c>
      <c r="L6" s="23" t="s">
        <v>5</v>
      </c>
      <c r="M6" s="23" t="s">
        <v>58</v>
      </c>
      <c r="N6" s="23" t="s">
        <v>27</v>
      </c>
      <c r="O6" s="28" t="s">
        <v>26</v>
      </c>
      <c r="P6" s="25" t="s">
        <v>31</v>
      </c>
      <c r="Q6" s="25" t="s">
        <v>11</v>
      </c>
      <c r="R6" s="25" t="s">
        <v>33</v>
      </c>
      <c r="S6" s="25" t="s">
        <v>35</v>
      </c>
      <c r="T6" s="25" t="s">
        <v>36</v>
      </c>
      <c r="U6" s="25" t="s">
        <v>13</v>
      </c>
      <c r="V6" s="25" t="s">
        <v>9</v>
      </c>
      <c r="W6" s="28" t="s">
        <v>39</v>
      </c>
      <c r="X6" s="28" t="s">
        <v>40</v>
      </c>
      <c r="Y6" s="26" t="s">
        <v>30</v>
      </c>
      <c r="Z6" s="23" t="s">
        <v>249</v>
      </c>
      <c r="AA6" s="23" t="s">
        <v>56</v>
      </c>
      <c r="AB6" s="23" t="s">
        <v>6</v>
      </c>
      <c r="AC6" s="26" t="s">
        <v>3</v>
      </c>
      <c r="AD6" s="35" t="s">
        <v>57</v>
      </c>
    </row>
    <row r="7" spans="1:31" x14ac:dyDescent="0.2">
      <c r="A7" s="29"/>
      <c r="B7" s="498"/>
      <c r="C7" s="498"/>
      <c r="D7" s="29"/>
      <c r="E7" s="29"/>
      <c r="F7" s="29"/>
      <c r="G7" s="29"/>
      <c r="H7" s="29"/>
      <c r="I7" s="29"/>
      <c r="J7" s="29"/>
      <c r="K7" s="29" t="s">
        <v>664</v>
      </c>
      <c r="L7" s="29" t="s">
        <v>46</v>
      </c>
      <c r="M7" s="29" t="s">
        <v>59</v>
      </c>
      <c r="N7" s="29" t="s">
        <v>28</v>
      </c>
      <c r="O7" s="30" t="s">
        <v>42</v>
      </c>
      <c r="P7" s="24" t="s">
        <v>32</v>
      </c>
      <c r="Q7" s="24" t="s">
        <v>12</v>
      </c>
      <c r="R7" s="24" t="s">
        <v>34</v>
      </c>
      <c r="S7" s="24" t="s">
        <v>34</v>
      </c>
      <c r="T7" s="24" t="s">
        <v>37</v>
      </c>
      <c r="U7" s="24" t="s">
        <v>14</v>
      </c>
      <c r="V7" s="24" t="s">
        <v>38</v>
      </c>
      <c r="W7" s="28" t="s">
        <v>18</v>
      </c>
      <c r="X7" s="31" t="s">
        <v>41</v>
      </c>
      <c r="Y7" s="29" t="s">
        <v>51</v>
      </c>
      <c r="Z7" s="29"/>
      <c r="AA7" s="29" t="s">
        <v>176</v>
      </c>
      <c r="AB7" s="29" t="s">
        <v>43</v>
      </c>
      <c r="AC7" s="29" t="s">
        <v>4</v>
      </c>
      <c r="AD7" s="34"/>
    </row>
    <row r="8" spans="1:31" ht="42" customHeight="1" x14ac:dyDescent="0.3">
      <c r="A8" s="127"/>
      <c r="B8" s="230"/>
      <c r="C8" s="218"/>
      <c r="D8" s="217" t="s">
        <v>482</v>
      </c>
      <c r="E8" s="218" t="s">
        <v>94</v>
      </c>
      <c r="F8" s="218" t="s">
        <v>206</v>
      </c>
      <c r="G8" s="217" t="s">
        <v>255</v>
      </c>
      <c r="H8" s="228" t="s">
        <v>61</v>
      </c>
      <c r="I8" s="228"/>
      <c r="J8" s="228"/>
      <c r="K8" s="228"/>
      <c r="L8" s="228"/>
      <c r="M8" s="228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7"/>
      <c r="Z8" s="127"/>
      <c r="AA8" s="127"/>
      <c r="AB8" s="127"/>
      <c r="AC8" s="127"/>
      <c r="AD8" s="40"/>
    </row>
    <row r="9" spans="1:31" s="270" customFormat="1" ht="230.25" customHeight="1" x14ac:dyDescent="0.2">
      <c r="A9" s="255" t="s">
        <v>83</v>
      </c>
      <c r="B9" s="279" t="s">
        <v>143</v>
      </c>
      <c r="C9" s="360" t="s">
        <v>108</v>
      </c>
      <c r="D9" s="253" t="s">
        <v>135</v>
      </c>
      <c r="E9" s="145" t="s">
        <v>139</v>
      </c>
      <c r="F9" s="145" t="s">
        <v>219</v>
      </c>
      <c r="G9" s="231">
        <v>43374</v>
      </c>
      <c r="H9" s="310" t="s">
        <v>110</v>
      </c>
      <c r="I9" s="262">
        <v>15</v>
      </c>
      <c r="J9" s="263">
        <f>L9/I9</f>
        <v>0</v>
      </c>
      <c r="K9" s="423">
        <v>0</v>
      </c>
      <c r="L9" s="264">
        <v>0</v>
      </c>
      <c r="M9" s="265">
        <v>0</v>
      </c>
      <c r="N9" s="266">
        <f t="shared" ref="N9" si="0">SUM(L9:M9)</f>
        <v>0</v>
      </c>
      <c r="O9" s="288">
        <f t="shared" ref="O9" si="1">IF(L9/15&lt;=SMG,0,M9/2)</f>
        <v>0</v>
      </c>
      <c r="P9" s="304">
        <f t="shared" ref="P9" si="2">(L9+O9)/I9*30.4</f>
        <v>0</v>
      </c>
      <c r="Q9" s="304" t="e">
        <f t="shared" ref="Q9" si="3">VLOOKUP(P9,Tarifa,1)</f>
        <v>#N/A</v>
      </c>
      <c r="R9" s="288" t="e">
        <f t="shared" ref="R9" si="4">P9-Q9</f>
        <v>#N/A</v>
      </c>
      <c r="S9" s="289" t="e">
        <f t="shared" ref="S9" si="5">VLOOKUP(P9,Tarifa,3)</f>
        <v>#N/A</v>
      </c>
      <c r="T9" s="288" t="e">
        <f t="shared" ref="T9" si="6">R9*S9</f>
        <v>#N/A</v>
      </c>
      <c r="U9" s="290" t="e">
        <f t="shared" ref="U9" si="7">VLOOKUP(P9,Tarifa,2)</f>
        <v>#N/A</v>
      </c>
      <c r="V9" s="288" t="e">
        <f t="shared" ref="V9" si="8">T9+U9</f>
        <v>#N/A</v>
      </c>
      <c r="W9" s="288" t="e">
        <f t="shared" ref="W9" si="9">VLOOKUP(P9,Credito,2)</f>
        <v>#N/A</v>
      </c>
      <c r="X9" s="288" t="e">
        <f t="shared" ref="X9" si="10">ROUND((V9-W9)/30.4*I9,2)</f>
        <v>#N/A</v>
      </c>
      <c r="Y9" s="266">
        <v>0</v>
      </c>
      <c r="Z9" s="266">
        <f t="shared" ref="Z9" si="11">IF(L9/15&lt;=SMG,0,IF(X9&lt;0,0,X9))</f>
        <v>0</v>
      </c>
      <c r="AA9" s="267">
        <v>0</v>
      </c>
      <c r="AB9" s="266">
        <f t="shared" ref="AB9" si="12">SUM(Z9:AA9)</f>
        <v>0</v>
      </c>
      <c r="AC9" s="266">
        <f t="shared" ref="AC9" si="13">N9+Y9-AB9</f>
        <v>0</v>
      </c>
      <c r="AD9" s="278"/>
    </row>
    <row r="10" spans="1:31" s="270" customFormat="1" ht="230.25" customHeight="1" x14ac:dyDescent="0.2">
      <c r="A10" s="296"/>
      <c r="B10" s="272">
        <v>188</v>
      </c>
      <c r="C10" s="360" t="s">
        <v>108</v>
      </c>
      <c r="D10" s="274" t="s">
        <v>144</v>
      </c>
      <c r="E10" s="275" t="s">
        <v>145</v>
      </c>
      <c r="F10" s="275" t="s">
        <v>220</v>
      </c>
      <c r="G10" s="361">
        <v>43389</v>
      </c>
      <c r="H10" s="261" t="s">
        <v>205</v>
      </c>
      <c r="I10" s="262">
        <v>15</v>
      </c>
      <c r="J10" s="263">
        <f>L10/I10</f>
        <v>496.93333333333334</v>
      </c>
      <c r="K10" s="423" t="s">
        <v>665</v>
      </c>
      <c r="L10" s="264">
        <v>7454</v>
      </c>
      <c r="M10" s="265">
        <v>0</v>
      </c>
      <c r="N10" s="266">
        <f>SUM(L10:M10)</f>
        <v>7454</v>
      </c>
      <c r="O10" s="288">
        <f>IF(L10/15&lt;=SMG,0,M10/2)</f>
        <v>0</v>
      </c>
      <c r="P10" s="304">
        <f>(L10+O10)/I10*30.4</f>
        <v>15106.773333333333</v>
      </c>
      <c r="Q10" s="304">
        <f>VLOOKUP(P10,Tarifa,1)</f>
        <v>14644.65</v>
      </c>
      <c r="R10" s="288">
        <f>P10-Q10</f>
        <v>462.12333333333299</v>
      </c>
      <c r="S10" s="289">
        <f>VLOOKUP(P10,Tarifa,3)</f>
        <v>0.1792</v>
      </c>
      <c r="T10" s="288">
        <f>R10*S10</f>
        <v>82.812501333333273</v>
      </c>
      <c r="U10" s="290">
        <f>VLOOKUP(P10,Tarifa,2)</f>
        <v>1339.14</v>
      </c>
      <c r="V10" s="288">
        <f>T10+U10</f>
        <v>1421.9525013333334</v>
      </c>
      <c r="W10" s="288">
        <f>VLOOKUP(P10,Credito,2)</f>
        <v>0</v>
      </c>
      <c r="X10" s="288">
        <f>ROUND((V10-W10)/30.4*I10,2)</f>
        <v>701.62</v>
      </c>
      <c r="Y10" s="266">
        <f>-IF(X10&gt;0,0,0)</f>
        <v>0</v>
      </c>
      <c r="Z10" s="266">
        <f>IF(L10/15&lt;=SMG,0,IF(X10&lt;0,0,X10))</f>
        <v>701.62</v>
      </c>
      <c r="AA10" s="267">
        <v>0</v>
      </c>
      <c r="AB10" s="266">
        <f>SUM(Z10:AA10)</f>
        <v>701.62</v>
      </c>
      <c r="AC10" s="266">
        <f>N10+Y10-AB10</f>
        <v>6752.38</v>
      </c>
      <c r="AD10" s="278"/>
    </row>
    <row r="11" spans="1:31" s="270" customFormat="1" ht="230.25" customHeight="1" x14ac:dyDescent="0.2">
      <c r="A11" s="362"/>
      <c r="B11" s="273" t="s">
        <v>192</v>
      </c>
      <c r="C11" s="273" t="s">
        <v>108</v>
      </c>
      <c r="D11" s="318" t="s">
        <v>193</v>
      </c>
      <c r="E11" s="134" t="s">
        <v>194</v>
      </c>
      <c r="F11" s="134" t="s">
        <v>222</v>
      </c>
      <c r="G11" s="200">
        <v>43512</v>
      </c>
      <c r="H11" s="310" t="s">
        <v>110</v>
      </c>
      <c r="I11" s="262">
        <v>15</v>
      </c>
      <c r="J11" s="263">
        <f>L11/I11</f>
        <v>212.6</v>
      </c>
      <c r="K11" s="423" t="s">
        <v>666</v>
      </c>
      <c r="L11" s="264">
        <v>3189</v>
      </c>
      <c r="M11" s="265">
        <v>0</v>
      </c>
      <c r="N11" s="266">
        <f>SUM(L11:M11)</f>
        <v>3189</v>
      </c>
      <c r="O11" s="288">
        <f>IF(L11/15&lt;=SMG,0,M11/2)</f>
        <v>0</v>
      </c>
      <c r="P11" s="304">
        <f>(L11+O11)/I11*30.4</f>
        <v>6463.04</v>
      </c>
      <c r="Q11" s="304">
        <f>VLOOKUP(P11,Tarifa,1)</f>
        <v>844.6</v>
      </c>
      <c r="R11" s="288">
        <f>P11-Q11</f>
        <v>5618.44</v>
      </c>
      <c r="S11" s="289">
        <f>VLOOKUP(P11,Tarifa,3)</f>
        <v>6.4000000000000001E-2</v>
      </c>
      <c r="T11" s="288">
        <f>R11*S11</f>
        <v>359.58015999999998</v>
      </c>
      <c r="U11" s="290">
        <f>VLOOKUP(P11,Tarifa,2)</f>
        <v>16.22</v>
      </c>
      <c r="V11" s="288">
        <f>T11+U11</f>
        <v>375.80016000000001</v>
      </c>
      <c r="W11" s="288">
        <f>VLOOKUP(P11,Credito,2)</f>
        <v>536.21</v>
      </c>
      <c r="X11" s="288">
        <f>ROUND((V11-W11)/30.4*I11,2)</f>
        <v>-79.150000000000006</v>
      </c>
      <c r="Y11" s="266">
        <f>-IF(X11&gt;0,0,0)</f>
        <v>0</v>
      </c>
      <c r="Z11" s="266">
        <f t="shared" ref="Z11:Z13" si="14">IF(L11/15&lt;=SMG,0,IF(X11&lt;0,0,X11))</f>
        <v>0</v>
      </c>
      <c r="AA11" s="267">
        <v>0</v>
      </c>
      <c r="AB11" s="266">
        <f t="shared" ref="AB11:AB13" si="15">SUM(Z11:AA11)</f>
        <v>0</v>
      </c>
      <c r="AC11" s="266">
        <f>N11+Y11-AB11</f>
        <v>3189</v>
      </c>
      <c r="AD11" s="278"/>
    </row>
    <row r="12" spans="1:31" s="270" customFormat="1" ht="230.25" customHeight="1" x14ac:dyDescent="0.2">
      <c r="A12" s="362"/>
      <c r="B12" s="272">
        <v>317</v>
      </c>
      <c r="C12" s="273" t="s">
        <v>108</v>
      </c>
      <c r="D12" s="252" t="s">
        <v>264</v>
      </c>
      <c r="E12" s="145" t="s">
        <v>265</v>
      </c>
      <c r="F12" s="145" t="s">
        <v>266</v>
      </c>
      <c r="G12" s="231">
        <v>45078</v>
      </c>
      <c r="H12" s="310" t="s">
        <v>110</v>
      </c>
      <c r="I12" s="262">
        <v>15</v>
      </c>
      <c r="J12" s="263">
        <f>L12/I12</f>
        <v>256.26666666666665</v>
      </c>
      <c r="K12" s="423" t="s">
        <v>666</v>
      </c>
      <c r="L12" s="264">
        <v>3844</v>
      </c>
      <c r="M12" s="265">
        <v>0</v>
      </c>
      <c r="N12" s="266">
        <f t="shared" ref="N12:N13" si="16">SUM(L12:M12)</f>
        <v>3844</v>
      </c>
      <c r="O12" s="288">
        <f t="shared" ref="O12:O13" si="17">IF(L12/15&lt;=SMG,0,M12/2)</f>
        <v>0</v>
      </c>
      <c r="P12" s="304">
        <f t="shared" ref="P12:P13" si="18">(L12+O12)/I12*30.4</f>
        <v>7790.5066666666662</v>
      </c>
      <c r="Q12" s="304">
        <f t="shared" ref="Q12:Q13" si="19">VLOOKUP(P12,Tarifa,1)</f>
        <v>7168.52</v>
      </c>
      <c r="R12" s="288">
        <f t="shared" ref="R12:R13" si="20">P12-Q12</f>
        <v>621.98666666666577</v>
      </c>
      <c r="S12" s="289">
        <f t="shared" ref="S12:S13" si="21">VLOOKUP(P12,Tarifa,3)</f>
        <v>0.10879999999999999</v>
      </c>
      <c r="T12" s="288">
        <f t="shared" ref="T12:T13" si="22">R12*S12</f>
        <v>67.672149333333238</v>
      </c>
      <c r="U12" s="290">
        <f t="shared" ref="U12:U13" si="23">VLOOKUP(P12,Tarifa,2)</f>
        <v>420.95</v>
      </c>
      <c r="V12" s="288">
        <f t="shared" ref="V12:V13" si="24">T12+U12</f>
        <v>488.62214933333325</v>
      </c>
      <c r="W12" s="288">
        <f t="shared" ref="W12:W13" si="25">VLOOKUP(P12,Credito,2)</f>
        <v>536.21</v>
      </c>
      <c r="X12" s="288">
        <f t="shared" ref="X12:X13" si="26">ROUND((V12-W12)/30.4*I12,2)</f>
        <v>-23.48</v>
      </c>
      <c r="Y12" s="266">
        <f t="shared" ref="Y12:Y13" si="27">-IF(X12&gt;0,0,0)</f>
        <v>0</v>
      </c>
      <c r="Z12" s="266">
        <f t="shared" si="14"/>
        <v>0</v>
      </c>
      <c r="AA12" s="267">
        <v>0</v>
      </c>
      <c r="AB12" s="266">
        <f t="shared" si="15"/>
        <v>0</v>
      </c>
      <c r="AC12" s="266">
        <f t="shared" ref="AC12:AC13" si="28">N12+Y12-AB12</f>
        <v>3844</v>
      </c>
      <c r="AD12" s="278"/>
    </row>
    <row r="13" spans="1:31" s="270" customFormat="1" ht="230.25" customHeight="1" x14ac:dyDescent="0.2">
      <c r="A13" s="362"/>
      <c r="B13" s="309">
        <v>353</v>
      </c>
      <c r="C13" s="273" t="s">
        <v>108</v>
      </c>
      <c r="D13" s="254" t="s">
        <v>332</v>
      </c>
      <c r="E13" s="135" t="s">
        <v>333</v>
      </c>
      <c r="F13" s="135" t="s">
        <v>334</v>
      </c>
      <c r="G13" s="251">
        <v>45391</v>
      </c>
      <c r="H13" s="310" t="s">
        <v>110</v>
      </c>
      <c r="I13" s="262">
        <v>15</v>
      </c>
      <c r="J13" s="263">
        <f>L13/I13</f>
        <v>256.26666666666665</v>
      </c>
      <c r="K13" s="423" t="s">
        <v>666</v>
      </c>
      <c r="L13" s="264">
        <v>3844</v>
      </c>
      <c r="M13" s="265">
        <v>0</v>
      </c>
      <c r="N13" s="266">
        <f t="shared" si="16"/>
        <v>3844</v>
      </c>
      <c r="O13" s="288">
        <f t="shared" si="17"/>
        <v>0</v>
      </c>
      <c r="P13" s="304">
        <f t="shared" si="18"/>
        <v>7790.5066666666662</v>
      </c>
      <c r="Q13" s="304">
        <f t="shared" si="19"/>
        <v>7168.52</v>
      </c>
      <c r="R13" s="288">
        <f t="shared" si="20"/>
        <v>621.98666666666577</v>
      </c>
      <c r="S13" s="289">
        <f t="shared" si="21"/>
        <v>0.10879999999999999</v>
      </c>
      <c r="T13" s="288">
        <f t="shared" si="22"/>
        <v>67.672149333333238</v>
      </c>
      <c r="U13" s="290">
        <f t="shared" si="23"/>
        <v>420.95</v>
      </c>
      <c r="V13" s="288">
        <f t="shared" si="24"/>
        <v>488.62214933333325</v>
      </c>
      <c r="W13" s="288">
        <f t="shared" si="25"/>
        <v>536.21</v>
      </c>
      <c r="X13" s="288">
        <f t="shared" si="26"/>
        <v>-23.48</v>
      </c>
      <c r="Y13" s="266">
        <f t="shared" si="27"/>
        <v>0</v>
      </c>
      <c r="Z13" s="266">
        <f t="shared" si="14"/>
        <v>0</v>
      </c>
      <c r="AA13" s="267">
        <v>0</v>
      </c>
      <c r="AB13" s="266">
        <f t="shared" si="15"/>
        <v>0</v>
      </c>
      <c r="AC13" s="266">
        <f t="shared" si="28"/>
        <v>3844</v>
      </c>
      <c r="AD13" s="278"/>
    </row>
    <row r="14" spans="1:31" s="91" customFormat="1" ht="36.75" customHeight="1" x14ac:dyDescent="0.3">
      <c r="A14" s="146"/>
      <c r="B14" s="246"/>
      <c r="C14" s="204"/>
      <c r="D14" s="247"/>
      <c r="E14" s="248"/>
      <c r="F14" s="248"/>
      <c r="G14" s="249"/>
      <c r="H14" s="250"/>
      <c r="I14" s="208"/>
      <c r="J14" s="209"/>
      <c r="K14" s="209"/>
      <c r="L14" s="210"/>
      <c r="M14" s="211"/>
      <c r="N14" s="212"/>
      <c r="O14" s="213"/>
      <c r="P14" s="213"/>
      <c r="Q14" s="213"/>
      <c r="R14" s="213"/>
      <c r="S14" s="214"/>
      <c r="T14" s="213"/>
      <c r="U14" s="215"/>
      <c r="V14" s="213"/>
      <c r="W14" s="213"/>
      <c r="X14" s="213"/>
      <c r="Y14" s="212"/>
      <c r="Z14" s="212"/>
      <c r="AA14" s="216"/>
      <c r="AB14" s="212"/>
      <c r="AC14" s="212"/>
    </row>
    <row r="15" spans="1:31" s="91" customFormat="1" ht="23.25" customHeight="1" x14ac:dyDescent="0.3">
      <c r="A15" s="146"/>
      <c r="B15" s="246"/>
      <c r="C15" s="204"/>
      <c r="D15" s="247"/>
      <c r="E15" s="248"/>
      <c r="F15" s="248"/>
      <c r="G15" s="249"/>
      <c r="H15" s="250"/>
      <c r="I15" s="208"/>
      <c r="J15" s="209"/>
      <c r="K15" s="209"/>
      <c r="L15" s="210"/>
      <c r="M15" s="211"/>
      <c r="N15" s="212"/>
      <c r="O15" s="213"/>
      <c r="P15" s="213"/>
      <c r="Q15" s="213"/>
      <c r="R15" s="213"/>
      <c r="S15" s="214"/>
      <c r="T15" s="213"/>
      <c r="U15" s="215"/>
      <c r="V15" s="213"/>
      <c r="W15" s="213"/>
      <c r="X15" s="213"/>
      <c r="Y15" s="212"/>
      <c r="Z15" s="212"/>
      <c r="AA15" s="216"/>
      <c r="AB15" s="212"/>
      <c r="AC15" s="212"/>
    </row>
    <row r="16" spans="1:31" s="91" customFormat="1" ht="31.5" customHeight="1" x14ac:dyDescent="0.25">
      <c r="A16" s="146"/>
      <c r="B16" s="459" t="s">
        <v>76</v>
      </c>
      <c r="C16" s="459"/>
      <c r="D16" s="459"/>
      <c r="E16" s="459"/>
      <c r="F16" s="459"/>
      <c r="G16" s="459"/>
      <c r="H16" s="459"/>
      <c r="I16" s="459"/>
      <c r="J16" s="459"/>
      <c r="K16" s="459"/>
      <c r="L16" s="459"/>
      <c r="M16" s="459"/>
      <c r="N16" s="459"/>
      <c r="O16" s="459"/>
      <c r="P16" s="459"/>
      <c r="Q16" s="459"/>
      <c r="R16" s="459"/>
      <c r="S16" s="459"/>
      <c r="T16" s="459"/>
      <c r="U16" s="459"/>
      <c r="V16" s="459"/>
      <c r="W16" s="459"/>
      <c r="X16" s="459"/>
      <c r="Y16" s="459"/>
      <c r="Z16" s="459"/>
      <c r="AA16" s="459"/>
      <c r="AB16" s="459"/>
      <c r="AC16" s="459"/>
      <c r="AD16" s="459"/>
      <c r="AE16" s="459"/>
    </row>
    <row r="17" spans="1:31" s="91" customFormat="1" ht="26.25" customHeight="1" x14ac:dyDescent="0.25">
      <c r="A17" s="146"/>
      <c r="B17" s="459" t="s">
        <v>64</v>
      </c>
      <c r="C17" s="459"/>
      <c r="D17" s="459"/>
      <c r="E17" s="459"/>
      <c r="F17" s="459"/>
      <c r="G17" s="459"/>
      <c r="H17" s="459"/>
      <c r="I17" s="459"/>
      <c r="J17" s="459"/>
      <c r="K17" s="459"/>
      <c r="L17" s="459"/>
      <c r="M17" s="459"/>
      <c r="N17" s="459"/>
      <c r="O17" s="459"/>
      <c r="P17" s="459"/>
      <c r="Q17" s="459"/>
      <c r="R17" s="459"/>
      <c r="S17" s="459"/>
      <c r="T17" s="459"/>
      <c r="U17" s="459"/>
      <c r="V17" s="459"/>
      <c r="W17" s="459"/>
      <c r="X17" s="459"/>
      <c r="Y17" s="459"/>
      <c r="Z17" s="459"/>
      <c r="AA17" s="459"/>
      <c r="AB17" s="459"/>
      <c r="AC17" s="459"/>
      <c r="AD17" s="459"/>
      <c r="AE17" s="459"/>
    </row>
    <row r="18" spans="1:31" s="91" customFormat="1" ht="27.75" customHeight="1" x14ac:dyDescent="0.25">
      <c r="A18" s="146"/>
      <c r="B18" s="449" t="str">
        <f>A3</f>
        <v>SUELDO  DEL 01 AL 15 DE ENERO DE 2026</v>
      </c>
      <c r="C18" s="449"/>
      <c r="D18" s="449"/>
      <c r="E18" s="449"/>
      <c r="F18" s="449"/>
      <c r="G18" s="449"/>
      <c r="H18" s="449"/>
      <c r="I18" s="449"/>
      <c r="J18" s="449"/>
      <c r="K18" s="449"/>
      <c r="L18" s="449"/>
      <c r="M18" s="449"/>
      <c r="N18" s="449"/>
      <c r="O18" s="449"/>
      <c r="P18" s="449"/>
      <c r="Q18" s="449"/>
      <c r="R18" s="449"/>
      <c r="S18" s="449"/>
      <c r="T18" s="449"/>
      <c r="U18" s="449"/>
      <c r="V18" s="449"/>
      <c r="W18" s="449"/>
      <c r="X18" s="449"/>
      <c r="Y18" s="449"/>
      <c r="Z18" s="449"/>
      <c r="AA18" s="449"/>
      <c r="AB18" s="449"/>
      <c r="AC18" s="449"/>
      <c r="AD18" s="449"/>
      <c r="AE18" s="449"/>
    </row>
    <row r="19" spans="1:31" s="91" customFormat="1" ht="26.25" customHeight="1" x14ac:dyDescent="0.3">
      <c r="A19" s="146"/>
      <c r="B19" s="246"/>
      <c r="C19" s="204"/>
      <c r="D19" s="247"/>
      <c r="E19" s="248"/>
      <c r="F19" s="248"/>
      <c r="G19" s="249"/>
      <c r="H19" s="250"/>
      <c r="I19" s="208"/>
      <c r="J19" s="209"/>
      <c r="K19" s="209"/>
      <c r="L19" s="210"/>
      <c r="M19" s="211"/>
      <c r="N19" s="212"/>
      <c r="O19" s="213"/>
      <c r="P19" s="213"/>
      <c r="Q19" s="213"/>
      <c r="R19" s="213"/>
      <c r="S19" s="214"/>
      <c r="T19" s="213"/>
      <c r="U19" s="215"/>
      <c r="V19" s="213"/>
      <c r="W19" s="213"/>
      <c r="X19" s="213"/>
      <c r="Y19" s="212"/>
      <c r="Z19" s="212"/>
      <c r="AA19" s="216"/>
      <c r="AB19" s="212"/>
      <c r="AC19" s="212"/>
    </row>
    <row r="20" spans="1:31" s="270" customFormat="1" ht="216.75" customHeight="1" x14ac:dyDescent="0.2">
      <c r="A20" s="362"/>
      <c r="B20" s="309">
        <v>398</v>
      </c>
      <c r="C20" s="273" t="s">
        <v>108</v>
      </c>
      <c r="D20" s="254" t="s">
        <v>475</v>
      </c>
      <c r="E20" s="135" t="s">
        <v>476</v>
      </c>
      <c r="F20" s="135" t="s">
        <v>477</v>
      </c>
      <c r="G20" s="251">
        <v>45597</v>
      </c>
      <c r="H20" s="310" t="s">
        <v>110</v>
      </c>
      <c r="I20" s="262">
        <v>15</v>
      </c>
      <c r="J20" s="263">
        <f>L20/I20</f>
        <v>212.6</v>
      </c>
      <c r="K20" s="423">
        <v>10</v>
      </c>
      <c r="L20" s="264">
        <v>3189</v>
      </c>
      <c r="M20" s="265">
        <v>0</v>
      </c>
      <c r="N20" s="266">
        <f>SUM(L20:M20)</f>
        <v>3189</v>
      </c>
      <c r="O20" s="288">
        <f>IF(L20/15&lt;=SMG,0,M20/2)</f>
        <v>0</v>
      </c>
      <c r="P20" s="304">
        <f>(L20+O20)/I20*30.4</f>
        <v>6463.04</v>
      </c>
      <c r="Q20" s="304">
        <f>VLOOKUP(P20,Tarifa,1)</f>
        <v>844.6</v>
      </c>
      <c r="R20" s="288">
        <f>P20-Q20</f>
        <v>5618.44</v>
      </c>
      <c r="S20" s="289">
        <f>VLOOKUP(P20,Tarifa,3)</f>
        <v>6.4000000000000001E-2</v>
      </c>
      <c r="T20" s="288">
        <f>R20*S20</f>
        <v>359.58015999999998</v>
      </c>
      <c r="U20" s="290">
        <f>VLOOKUP(P20,Tarifa,2)</f>
        <v>16.22</v>
      </c>
      <c r="V20" s="288">
        <f>T20+U20</f>
        <v>375.80016000000001</v>
      </c>
      <c r="W20" s="288">
        <f>VLOOKUP(P20,Credito,2)</f>
        <v>536.21</v>
      </c>
      <c r="X20" s="288">
        <f>ROUND((V20-W20)/30.4*I20,2)</f>
        <v>-79.150000000000006</v>
      </c>
      <c r="Y20" s="266">
        <f t="shared" ref="Y20:Y22" si="29">-IF(X20&gt;0,0,0)</f>
        <v>0</v>
      </c>
      <c r="Z20" s="266">
        <f t="shared" ref="Z20:Z22" si="30">IF(L20/15&lt;=SMG,0,IF(X20&lt;0,0,X20))</f>
        <v>0</v>
      </c>
      <c r="AA20" s="267">
        <v>0</v>
      </c>
      <c r="AB20" s="266">
        <f t="shared" ref="AB20:AB21" si="31">SUM(Z20:AA20)</f>
        <v>0</v>
      </c>
      <c r="AC20" s="266">
        <f>N20+Y20-AB20</f>
        <v>3189</v>
      </c>
      <c r="AD20" s="278"/>
    </row>
    <row r="21" spans="1:31" s="270" customFormat="1" ht="216.75" customHeight="1" x14ac:dyDescent="0.2">
      <c r="A21" s="362"/>
      <c r="B21" s="404">
        <v>422</v>
      </c>
      <c r="C21" s="405" t="s">
        <v>108</v>
      </c>
      <c r="D21" s="406" t="s">
        <v>568</v>
      </c>
      <c r="E21" s="408" t="s">
        <v>570</v>
      </c>
      <c r="F21" s="407" t="s">
        <v>569</v>
      </c>
      <c r="G21" s="251">
        <v>45809</v>
      </c>
      <c r="H21" s="310" t="s">
        <v>110</v>
      </c>
      <c r="I21" s="262">
        <v>15</v>
      </c>
      <c r="J21" s="263">
        <f>L21/I21</f>
        <v>384.4</v>
      </c>
      <c r="K21" s="423">
        <v>15</v>
      </c>
      <c r="L21" s="264">
        <v>5766</v>
      </c>
      <c r="M21" s="265">
        <v>0</v>
      </c>
      <c r="N21" s="266">
        <f t="shared" ref="N21" si="32">SUM(L21:M21)</f>
        <v>5766</v>
      </c>
      <c r="O21" s="288">
        <f t="shared" ref="O21" si="33">IF(L21/15&lt;=SMG,0,M21/2)</f>
        <v>0</v>
      </c>
      <c r="P21" s="304">
        <f t="shared" ref="P21" si="34">(L21+O21)/I21*30.4</f>
        <v>11685.759999999998</v>
      </c>
      <c r="Q21" s="304">
        <f t="shared" ref="Q21" si="35">VLOOKUP(P21,Tarifa,1)</f>
        <v>7168.52</v>
      </c>
      <c r="R21" s="288">
        <f t="shared" ref="R21" si="36">P21-Q21</f>
        <v>4517.239999999998</v>
      </c>
      <c r="S21" s="289">
        <f t="shared" ref="S21" si="37">VLOOKUP(P21,Tarifa,3)</f>
        <v>0.10879999999999999</v>
      </c>
      <c r="T21" s="288">
        <f t="shared" ref="T21" si="38">R21*S21</f>
        <v>491.47571199999976</v>
      </c>
      <c r="U21" s="290">
        <f t="shared" ref="U21" si="39">VLOOKUP(P21,Tarifa,2)</f>
        <v>420.95</v>
      </c>
      <c r="V21" s="288">
        <f t="shared" ref="V21" si="40">T21+U21</f>
        <v>912.42571199999975</v>
      </c>
      <c r="W21" s="288">
        <f t="shared" ref="W21" si="41">VLOOKUP(P21,Credito,2)</f>
        <v>0</v>
      </c>
      <c r="X21" s="288">
        <f t="shared" ref="X21" si="42">ROUND((V21-W21)/30.4*I21,2)</f>
        <v>450.21</v>
      </c>
      <c r="Y21" s="266">
        <f t="shared" si="29"/>
        <v>0</v>
      </c>
      <c r="Z21" s="266">
        <f t="shared" si="30"/>
        <v>450.21</v>
      </c>
      <c r="AA21" s="267">
        <v>0</v>
      </c>
      <c r="AB21" s="266">
        <f t="shared" si="31"/>
        <v>450.21</v>
      </c>
      <c r="AC21" s="266">
        <f t="shared" ref="AC21" si="43">N21+Y21-AB21</f>
        <v>5315.79</v>
      </c>
      <c r="AD21" s="278"/>
    </row>
    <row r="22" spans="1:31" s="270" customFormat="1" ht="216.75" customHeight="1" x14ac:dyDescent="0.2">
      <c r="A22" s="362"/>
      <c r="B22" s="279" t="s">
        <v>166</v>
      </c>
      <c r="C22" s="273" t="s">
        <v>108</v>
      </c>
      <c r="D22" s="258" t="s">
        <v>79</v>
      </c>
      <c r="E22" s="259" t="s">
        <v>102</v>
      </c>
      <c r="F22" s="259" t="s">
        <v>208</v>
      </c>
      <c r="G22" s="260">
        <v>41410</v>
      </c>
      <c r="H22" s="261" t="s">
        <v>159</v>
      </c>
      <c r="I22" s="262">
        <v>15</v>
      </c>
      <c r="J22" s="263">
        <f>L22/I22</f>
        <v>260.93333333333334</v>
      </c>
      <c r="K22" s="423">
        <v>15</v>
      </c>
      <c r="L22" s="264">
        <v>3914</v>
      </c>
      <c r="M22" s="265">
        <v>0</v>
      </c>
      <c r="N22" s="266">
        <f>SUM(L22:M22)</f>
        <v>3914</v>
      </c>
      <c r="O22" s="288">
        <f>IF(L22/15&lt;=SMG,0,M22/2)</f>
        <v>0</v>
      </c>
      <c r="P22" s="304">
        <f>(L22+O22)/I22*30.4</f>
        <v>7932.373333333333</v>
      </c>
      <c r="Q22" s="304">
        <f>VLOOKUP(P22,Tarifa,1)</f>
        <v>7168.52</v>
      </c>
      <c r="R22" s="288">
        <f>P22-Q22</f>
        <v>763.85333333333256</v>
      </c>
      <c r="S22" s="289">
        <f>VLOOKUP(P22,Tarifa,3)</f>
        <v>0.10879999999999999</v>
      </c>
      <c r="T22" s="288">
        <f>R22*S22</f>
        <v>83.107242666666579</v>
      </c>
      <c r="U22" s="290">
        <f>VLOOKUP(P22,Tarifa,2)</f>
        <v>420.95</v>
      </c>
      <c r="V22" s="288">
        <f>T22+U22</f>
        <v>504.05724266666658</v>
      </c>
      <c r="W22" s="288">
        <f>VLOOKUP(P22,Credito,2)</f>
        <v>536.21</v>
      </c>
      <c r="X22" s="288">
        <f>ROUND((V22-W22)/30.4*I22,2)</f>
        <v>-15.86</v>
      </c>
      <c r="Y22" s="266">
        <f t="shared" si="29"/>
        <v>0</v>
      </c>
      <c r="Z22" s="266">
        <f t="shared" si="30"/>
        <v>0</v>
      </c>
      <c r="AA22" s="267">
        <v>0</v>
      </c>
      <c r="AB22" s="266">
        <f>SUM(Z22:AA22)</f>
        <v>0</v>
      </c>
      <c r="AC22" s="266">
        <f>N22+Y22-AB22</f>
        <v>3914</v>
      </c>
      <c r="AD22" s="278"/>
    </row>
    <row r="23" spans="1:31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38"/>
      <c r="L23" s="140"/>
      <c r="M23" s="140"/>
      <c r="N23" s="140"/>
      <c r="O23" s="141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31" ht="45" customHeight="1" thickBot="1" x14ac:dyDescent="0.35">
      <c r="A24" s="445" t="s">
        <v>44</v>
      </c>
      <c r="B24" s="446"/>
      <c r="C24" s="446"/>
      <c r="D24" s="446"/>
      <c r="E24" s="446"/>
      <c r="F24" s="446"/>
      <c r="G24" s="446"/>
      <c r="H24" s="446"/>
      <c r="I24" s="446"/>
      <c r="J24" s="447"/>
      <c r="K24" s="422"/>
      <c r="L24" s="198">
        <f t="shared" ref="L24:AC24" si="44">SUM(L9:L23)</f>
        <v>31200</v>
      </c>
      <c r="M24" s="198">
        <f t="shared" si="44"/>
        <v>0</v>
      </c>
      <c r="N24" s="198">
        <f t="shared" si="44"/>
        <v>31200</v>
      </c>
      <c r="O24" s="199">
        <f t="shared" si="44"/>
        <v>0</v>
      </c>
      <c r="P24" s="199">
        <f t="shared" si="44"/>
        <v>63232</v>
      </c>
      <c r="Q24" s="199" t="e">
        <f t="shared" si="44"/>
        <v>#N/A</v>
      </c>
      <c r="R24" s="199" t="e">
        <f t="shared" si="44"/>
        <v>#N/A</v>
      </c>
      <c r="S24" s="199" t="e">
        <f t="shared" si="44"/>
        <v>#N/A</v>
      </c>
      <c r="T24" s="199" t="e">
        <f t="shared" si="44"/>
        <v>#N/A</v>
      </c>
      <c r="U24" s="199" t="e">
        <f t="shared" si="44"/>
        <v>#N/A</v>
      </c>
      <c r="V24" s="199" t="e">
        <f t="shared" si="44"/>
        <v>#N/A</v>
      </c>
      <c r="W24" s="199" t="e">
        <f t="shared" si="44"/>
        <v>#N/A</v>
      </c>
      <c r="X24" s="199" t="e">
        <f t="shared" si="44"/>
        <v>#N/A</v>
      </c>
      <c r="Y24" s="198">
        <f t="shared" si="44"/>
        <v>0</v>
      </c>
      <c r="Z24" s="198">
        <f t="shared" si="44"/>
        <v>1151.83</v>
      </c>
      <c r="AA24" s="198">
        <f t="shared" si="44"/>
        <v>0</v>
      </c>
      <c r="AB24" s="198">
        <f t="shared" si="44"/>
        <v>1151.83</v>
      </c>
      <c r="AC24" s="198">
        <f t="shared" si="44"/>
        <v>30048.170000000002</v>
      </c>
    </row>
    <row r="25" spans="1:31" ht="13.5" thickTop="1" x14ac:dyDescent="0.2"/>
    <row r="39" spans="4:30" x14ac:dyDescent="0.2">
      <c r="D39" s="4"/>
      <c r="Z39" s="4"/>
    </row>
    <row r="40" spans="4:30" ht="18" x14ac:dyDescent="0.25">
      <c r="D40" s="203" t="s">
        <v>454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203" t="s">
        <v>631</v>
      </c>
      <c r="AA40" s="108"/>
      <c r="AB40" s="108"/>
      <c r="AC40" s="108"/>
    </row>
    <row r="41" spans="4:30" ht="18" x14ac:dyDescent="0.25">
      <c r="D41" s="203" t="s">
        <v>469</v>
      </c>
      <c r="E41" s="203"/>
      <c r="F41" s="203"/>
      <c r="G41" s="203"/>
      <c r="H41" s="203"/>
      <c r="I41" s="203"/>
      <c r="J41" s="203"/>
      <c r="K41" s="203"/>
      <c r="L41" s="203"/>
      <c r="M41" s="203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203" t="s">
        <v>203</v>
      </c>
      <c r="AA41" s="108"/>
      <c r="AB41" s="203"/>
      <c r="AC41" s="203"/>
      <c r="AD41" s="42"/>
    </row>
  </sheetData>
  <mergeCells count="12">
    <mergeCell ref="Z5:AB5"/>
    <mergeCell ref="A24:J24"/>
    <mergeCell ref="A1:AD1"/>
    <mergeCell ref="A2:AD2"/>
    <mergeCell ref="A3:AD3"/>
    <mergeCell ref="L5:N5"/>
    <mergeCell ref="Q5:V5"/>
    <mergeCell ref="B5:B7"/>
    <mergeCell ref="C5:C7"/>
    <mergeCell ref="B16:AE16"/>
    <mergeCell ref="B17:AE17"/>
    <mergeCell ref="B18:AE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4"/>
  <sheetViews>
    <sheetView topLeftCell="B13" zoomScale="68" zoomScaleNormal="68" workbookViewId="0">
      <selection activeCell="L36" sqref="L36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59" t="s">
        <v>75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59"/>
      <c r="AB1" s="459"/>
      <c r="AC1" s="459"/>
      <c r="AD1" s="4"/>
    </row>
    <row r="2" spans="1:30" ht="18" x14ac:dyDescent="0.25">
      <c r="A2" s="459" t="s">
        <v>64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  <c r="X2" s="459"/>
      <c r="Y2" s="459"/>
      <c r="Z2" s="459"/>
      <c r="AA2" s="459"/>
      <c r="AB2" s="459"/>
      <c r="AC2" s="459"/>
      <c r="AD2" s="4"/>
    </row>
    <row r="3" spans="1:30" ht="18" x14ac:dyDescent="0.25">
      <c r="A3" s="403"/>
      <c r="B3" s="459" t="str">
        <f>PRESIDENCIA!A3</f>
        <v>SUELDO  DEL 01 AL 15 DE ENERO DE 2026</v>
      </c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63"/>
      <c r="K5" s="460" t="s">
        <v>1</v>
      </c>
      <c r="L5" s="461"/>
      <c r="M5" s="462"/>
      <c r="N5" s="24" t="s">
        <v>25</v>
      </c>
      <c r="O5" s="25"/>
      <c r="P5" s="463" t="s">
        <v>8</v>
      </c>
      <c r="Q5" s="464"/>
      <c r="R5" s="464"/>
      <c r="S5" s="464"/>
      <c r="T5" s="464"/>
      <c r="U5" s="465"/>
      <c r="V5" s="24" t="s">
        <v>29</v>
      </c>
      <c r="W5" s="24" t="s">
        <v>9</v>
      </c>
      <c r="X5" s="23" t="s">
        <v>52</v>
      </c>
      <c r="Y5" s="466" t="s">
        <v>2</v>
      </c>
      <c r="Z5" s="467"/>
      <c r="AA5" s="468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93</v>
      </c>
      <c r="C6" s="45" t="s">
        <v>109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249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118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504" t="s">
        <v>107</v>
      </c>
      <c r="C8" s="505"/>
      <c r="D8" s="506"/>
      <c r="E8" s="218" t="s">
        <v>94</v>
      </c>
      <c r="F8" s="218" t="s">
        <v>206</v>
      </c>
      <c r="G8" s="217" t="s">
        <v>255</v>
      </c>
      <c r="H8" s="21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67" customFormat="1" ht="193.5" customHeight="1" x14ac:dyDescent="0.2">
      <c r="A9" s="255" t="s">
        <v>81</v>
      </c>
      <c r="B9" s="273" t="s">
        <v>315</v>
      </c>
      <c r="C9" s="273" t="s">
        <v>108</v>
      </c>
      <c r="D9" s="365" t="s">
        <v>316</v>
      </c>
      <c r="E9" s="350" t="s">
        <v>317</v>
      </c>
      <c r="F9" s="350" t="s">
        <v>318</v>
      </c>
      <c r="G9" s="342">
        <v>45367</v>
      </c>
      <c r="H9" s="310" t="s">
        <v>66</v>
      </c>
      <c r="I9" s="262">
        <v>15</v>
      </c>
      <c r="J9" s="262">
        <f t="shared" ref="J9:J14" si="0">K9/I9</f>
        <v>975.9666666666667</v>
      </c>
      <c r="K9" s="285">
        <v>14639.5</v>
      </c>
      <c r="L9" s="286">
        <v>0</v>
      </c>
      <c r="M9" s="287">
        <f t="shared" ref="M9:M14" si="1"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66">
        <f>M9+X9-Y9</f>
        <v>12444.25</v>
      </c>
      <c r="AC9" s="366"/>
      <c r="AD9" s="324"/>
    </row>
    <row r="10" spans="1:30" s="270" customFormat="1" ht="193.5" customHeight="1" x14ac:dyDescent="0.2">
      <c r="A10" s="362"/>
      <c r="B10" s="273" t="s">
        <v>158</v>
      </c>
      <c r="C10" s="273" t="s">
        <v>108</v>
      </c>
      <c r="D10" s="365" t="s">
        <v>156</v>
      </c>
      <c r="E10" s="350" t="s">
        <v>157</v>
      </c>
      <c r="F10" s="350" t="s">
        <v>225</v>
      </c>
      <c r="G10" s="342">
        <v>43601</v>
      </c>
      <c r="H10" s="261" t="s">
        <v>77</v>
      </c>
      <c r="I10" s="262">
        <v>15</v>
      </c>
      <c r="J10" s="262">
        <f t="shared" si="0"/>
        <v>670.36666666666667</v>
      </c>
      <c r="K10" s="264">
        <v>10055.5</v>
      </c>
      <c r="L10" s="265">
        <v>0</v>
      </c>
      <c r="M10" s="287">
        <f t="shared" si="1"/>
        <v>10055.5</v>
      </c>
      <c r="N10" s="379">
        <f t="shared" ref="N10" si="2">IF(K10/15&lt;=SMG,0,L10/2)</f>
        <v>0</v>
      </c>
      <c r="O10" s="379">
        <f t="shared" ref="O10" si="3">(K10+N10)/I10*30.4</f>
        <v>20379.146666666667</v>
      </c>
      <c r="P10" s="379">
        <f t="shared" ref="P10" si="4">VLOOKUP(O10,Tarifa,1)</f>
        <v>17533.650000000001</v>
      </c>
      <c r="Q10" s="379">
        <f t="shared" ref="Q10" si="5">O10-P10</f>
        <v>2845.496666666666</v>
      </c>
      <c r="R10" s="380">
        <f t="shared" ref="R10" si="6">VLOOKUP(O10,Tarifa,3)</f>
        <v>0.21360000000000001</v>
      </c>
      <c r="S10" s="379">
        <f t="shared" ref="S10" si="7">Q10*R10</f>
        <v>607.79808799999989</v>
      </c>
      <c r="T10" s="381">
        <f t="shared" ref="T10" si="8">VLOOKUP(O10,Tarifa,2)</f>
        <v>1856.84</v>
      </c>
      <c r="U10" s="379">
        <f t="shared" ref="U10" si="9">S10+T10</f>
        <v>2464.6380879999997</v>
      </c>
      <c r="V10" s="379">
        <f t="shared" ref="V10" si="10">VLOOKUP(O10,Credito,2)</f>
        <v>0</v>
      </c>
      <c r="W10" s="379">
        <f t="shared" ref="W10" si="11">ROUND((U10-V10)/30.4*I10,2)</f>
        <v>1216.0999999999999</v>
      </c>
      <c r="X10" s="266">
        <f>-IF(W10&gt;0,0,0)</f>
        <v>0</v>
      </c>
      <c r="Y10" s="266">
        <f t="shared" ref="Y10" si="12">IF(K10/15&lt;=SMG,0,IF(W10&lt;0,0,W10))</f>
        <v>1216.0999999999999</v>
      </c>
      <c r="Z10" s="267">
        <v>0</v>
      </c>
      <c r="AA10" s="266">
        <f t="shared" ref="AA10" si="13">SUM(Y10:Z10)</f>
        <v>1216.0999999999999</v>
      </c>
      <c r="AB10" s="266">
        <f t="shared" ref="AB10" si="14">M10+X10-AA10</f>
        <v>8839.4</v>
      </c>
      <c r="AC10" s="366"/>
      <c r="AD10" s="324"/>
    </row>
    <row r="11" spans="1:30" s="270" customFormat="1" ht="193.5" customHeight="1" x14ac:dyDescent="0.2">
      <c r="A11" s="362"/>
      <c r="B11" s="273" t="s">
        <v>319</v>
      </c>
      <c r="C11" s="273" t="s">
        <v>108</v>
      </c>
      <c r="D11" s="368" t="s">
        <v>320</v>
      </c>
      <c r="E11" s="350" t="s">
        <v>321</v>
      </c>
      <c r="F11" s="350" t="s">
        <v>322</v>
      </c>
      <c r="G11" s="342">
        <v>45367</v>
      </c>
      <c r="H11" s="261" t="s">
        <v>77</v>
      </c>
      <c r="I11" s="262">
        <v>15</v>
      </c>
      <c r="J11" s="262">
        <f t="shared" si="0"/>
        <v>670.36666666666667</v>
      </c>
      <c r="K11" s="264">
        <v>10055.5</v>
      </c>
      <c r="L11" s="265">
        <v>0</v>
      </c>
      <c r="M11" s="287">
        <f t="shared" si="1"/>
        <v>10055.5</v>
      </c>
      <c r="N11" s="379">
        <f t="shared" ref="N11" si="15">IF(K11/15&lt;=SMG,0,L11/2)</f>
        <v>0</v>
      </c>
      <c r="O11" s="379">
        <f t="shared" ref="O11" si="16">(K11+N11)/I11*30.4</f>
        <v>20379.146666666667</v>
      </c>
      <c r="P11" s="379">
        <f t="shared" ref="P11" si="17">VLOOKUP(O11,Tarifa,1)</f>
        <v>17533.650000000001</v>
      </c>
      <c r="Q11" s="379">
        <f t="shared" ref="Q11" si="18">O11-P11</f>
        <v>2845.496666666666</v>
      </c>
      <c r="R11" s="380">
        <f t="shared" ref="R11" si="19">VLOOKUP(O11,Tarifa,3)</f>
        <v>0.21360000000000001</v>
      </c>
      <c r="S11" s="379">
        <f t="shared" ref="S11" si="20">Q11*R11</f>
        <v>607.79808799999989</v>
      </c>
      <c r="T11" s="381">
        <f t="shared" ref="T11" si="21">VLOOKUP(O11,Tarifa,2)</f>
        <v>1856.84</v>
      </c>
      <c r="U11" s="379">
        <f t="shared" ref="U11" si="22">S11+T11</f>
        <v>2464.6380879999997</v>
      </c>
      <c r="V11" s="379">
        <f t="shared" ref="V11" si="23">VLOOKUP(O11,Credito,2)</f>
        <v>0</v>
      </c>
      <c r="W11" s="379">
        <f t="shared" ref="W11" si="24">ROUND((U11-V11)/30.4*I11,2)</f>
        <v>1216.0999999999999</v>
      </c>
      <c r="X11" s="266">
        <f>-IF(W11&gt;0,0,0)</f>
        <v>0</v>
      </c>
      <c r="Y11" s="266">
        <f t="shared" ref="Y11:Y12" si="25">IF(K11/15&lt;=SMG,0,IF(W11&lt;0,0,W11))</f>
        <v>1216.0999999999999</v>
      </c>
      <c r="Z11" s="267">
        <v>0</v>
      </c>
      <c r="AA11" s="266">
        <f t="shared" ref="AA11:AA12" si="26">SUM(Y11:Z11)</f>
        <v>1216.0999999999999</v>
      </c>
      <c r="AB11" s="266">
        <f t="shared" ref="AB11:AB12" si="27">M11+X11-AA11</f>
        <v>8839.4</v>
      </c>
      <c r="AC11" s="366"/>
      <c r="AD11" s="324"/>
    </row>
    <row r="12" spans="1:30" s="270" customFormat="1" ht="193.5" customHeight="1" x14ac:dyDescent="0.2">
      <c r="A12" s="362"/>
      <c r="B12" s="273" t="s">
        <v>323</v>
      </c>
      <c r="C12" s="273" t="s">
        <v>108</v>
      </c>
      <c r="D12" s="368" t="s">
        <v>466</v>
      </c>
      <c r="E12" s="350" t="s">
        <v>324</v>
      </c>
      <c r="F12" s="268" t="s">
        <v>325</v>
      </c>
      <c r="G12" s="314">
        <v>45367</v>
      </c>
      <c r="H12" s="261" t="s">
        <v>233</v>
      </c>
      <c r="I12" s="262">
        <v>15</v>
      </c>
      <c r="J12" s="262">
        <f t="shared" ref="J12" si="28">K12/I12</f>
        <v>626.70000000000005</v>
      </c>
      <c r="K12" s="264">
        <v>9400.5</v>
      </c>
      <c r="L12" s="264">
        <v>0</v>
      </c>
      <c r="M12" s="287">
        <f t="shared" si="1"/>
        <v>9400.5</v>
      </c>
      <c r="N12" s="288">
        <f>IF(K12/15&lt;=SMG,0,L12/2)</f>
        <v>0</v>
      </c>
      <c r="O12" s="304">
        <f>(K12+N12)/I12*30.4</f>
        <v>19051.68</v>
      </c>
      <c r="P12" s="304">
        <f>VLOOKUP(O12,Tarifa,1)</f>
        <v>17533.650000000001</v>
      </c>
      <c r="Q12" s="288">
        <f>O12-P12</f>
        <v>1518.0299999999988</v>
      </c>
      <c r="R12" s="289">
        <f>VLOOKUP(O12,Tarifa,3)</f>
        <v>0.21360000000000001</v>
      </c>
      <c r="S12" s="288">
        <f>Q12*R12</f>
        <v>324.25120799999979</v>
      </c>
      <c r="T12" s="290">
        <f>VLOOKUP(O12,Tarifa,2)</f>
        <v>1856.84</v>
      </c>
      <c r="U12" s="288">
        <f>S12+T12</f>
        <v>2181.0912079999998</v>
      </c>
      <c r="V12" s="288">
        <f>VLOOKUP(O12,Credito,2)</f>
        <v>0</v>
      </c>
      <c r="W12" s="288">
        <f>ROUND((U12-V12)/30.4*I12,2)</f>
        <v>1076.2</v>
      </c>
      <c r="X12" s="266">
        <f t="shared" ref="X12" si="29">-IF(W12&gt;0,0,W12)</f>
        <v>0</v>
      </c>
      <c r="Y12" s="266">
        <f t="shared" si="25"/>
        <v>1076.2</v>
      </c>
      <c r="Z12" s="267">
        <v>0</v>
      </c>
      <c r="AA12" s="266">
        <f t="shared" si="26"/>
        <v>1076.2</v>
      </c>
      <c r="AB12" s="266">
        <f t="shared" si="27"/>
        <v>8324.2999999999993</v>
      </c>
      <c r="AC12" s="366"/>
      <c r="AD12" s="324"/>
    </row>
    <row r="13" spans="1:30" s="270" customFormat="1" ht="193.5" customHeight="1" x14ac:dyDescent="0.2">
      <c r="A13" s="362"/>
      <c r="B13" s="273" t="s">
        <v>329</v>
      </c>
      <c r="C13" s="273" t="s">
        <v>108</v>
      </c>
      <c r="D13" s="368" t="s">
        <v>465</v>
      </c>
      <c r="E13" s="350" t="s">
        <v>330</v>
      </c>
      <c r="F13" s="268" t="s">
        <v>331</v>
      </c>
      <c r="G13" s="314">
        <v>45367</v>
      </c>
      <c r="H13" s="261" t="s">
        <v>233</v>
      </c>
      <c r="I13" s="262">
        <v>15</v>
      </c>
      <c r="J13" s="262">
        <f t="shared" si="0"/>
        <v>626.70000000000005</v>
      </c>
      <c r="K13" s="264">
        <v>9400.5</v>
      </c>
      <c r="L13" s="265">
        <v>0</v>
      </c>
      <c r="M13" s="287">
        <f t="shared" si="1"/>
        <v>9400.5</v>
      </c>
      <c r="N13" s="288">
        <f>IF(K13/15&lt;=SMG,0,L13/2)</f>
        <v>0</v>
      </c>
      <c r="O13" s="304">
        <f>(K13+N13)/I13*30.4</f>
        <v>19051.68</v>
      </c>
      <c r="P13" s="304">
        <f>VLOOKUP(O13,Tarifa,1)</f>
        <v>17533.650000000001</v>
      </c>
      <c r="Q13" s="288">
        <f>O13-P13</f>
        <v>1518.0299999999988</v>
      </c>
      <c r="R13" s="289">
        <f>VLOOKUP(O13,Tarifa,3)</f>
        <v>0.21360000000000001</v>
      </c>
      <c r="S13" s="288">
        <f>Q13*R13</f>
        <v>324.25120799999979</v>
      </c>
      <c r="T13" s="290">
        <f>VLOOKUP(O13,Tarifa,2)</f>
        <v>1856.84</v>
      </c>
      <c r="U13" s="288">
        <f>S13+T13</f>
        <v>2181.0912079999998</v>
      </c>
      <c r="V13" s="288">
        <f>VLOOKUP(O13,Credito,2)</f>
        <v>0</v>
      </c>
      <c r="W13" s="288">
        <f>ROUND((U13-V13)/30.4*I13,2)</f>
        <v>1076.2</v>
      </c>
      <c r="X13" s="266">
        <f t="shared" ref="X13" si="30">-IF(W13&gt;0,0,W13)</f>
        <v>0</v>
      </c>
      <c r="Y13" s="266">
        <f t="shared" ref="Y13" si="31">IF(K13/15&lt;=SMG,0,IF(W13&lt;0,0,W13))</f>
        <v>1076.2</v>
      </c>
      <c r="Z13" s="267">
        <v>0</v>
      </c>
      <c r="AA13" s="266">
        <f t="shared" ref="AA13" si="32">SUM(Y13:Z13)</f>
        <v>1076.2</v>
      </c>
      <c r="AB13" s="266">
        <f t="shared" ref="AB13" si="33">M13+X13-AA13</f>
        <v>8324.2999999999993</v>
      </c>
      <c r="AC13" s="366"/>
      <c r="AD13" s="324"/>
    </row>
    <row r="14" spans="1:30" s="270" customFormat="1" ht="193.5" customHeight="1" x14ac:dyDescent="0.2">
      <c r="A14" s="362"/>
      <c r="B14" s="273" t="s">
        <v>98</v>
      </c>
      <c r="C14" s="273" t="s">
        <v>108</v>
      </c>
      <c r="D14" s="365" t="s">
        <v>80</v>
      </c>
      <c r="E14" s="268" t="s">
        <v>106</v>
      </c>
      <c r="F14" s="268" t="s">
        <v>210</v>
      </c>
      <c r="G14" s="314">
        <v>41898</v>
      </c>
      <c r="H14" s="261" t="s">
        <v>78</v>
      </c>
      <c r="I14" s="262">
        <v>15</v>
      </c>
      <c r="J14" s="262">
        <f t="shared" si="0"/>
        <v>555.29999999999995</v>
      </c>
      <c r="K14" s="264">
        <v>8329.5</v>
      </c>
      <c r="L14" s="265">
        <v>0</v>
      </c>
      <c r="M14" s="287">
        <f t="shared" si="1"/>
        <v>8329.5</v>
      </c>
      <c r="N14" s="288">
        <f t="shared" ref="N14" si="34">IF(K14/15&lt;=SMG,0,L14/2)</f>
        <v>0</v>
      </c>
      <c r="O14" s="304">
        <f t="shared" ref="O14" si="35">(K14+N14)/I14*30.4</f>
        <v>16881.12</v>
      </c>
      <c r="P14" s="304">
        <f t="shared" ref="P14" si="36">VLOOKUP(O14,Tarifa,1)</f>
        <v>14644.65</v>
      </c>
      <c r="Q14" s="288">
        <f t="shared" ref="Q14" si="37">O14-P14</f>
        <v>2236.4699999999993</v>
      </c>
      <c r="R14" s="289">
        <f t="shared" ref="R14" si="38">VLOOKUP(O14,Tarifa,3)</f>
        <v>0.1792</v>
      </c>
      <c r="S14" s="288">
        <f t="shared" ref="S14" si="39">Q14*R14</f>
        <v>400.77542399999987</v>
      </c>
      <c r="T14" s="290">
        <f t="shared" ref="T14" si="40">VLOOKUP(O14,Tarifa,2)</f>
        <v>1339.14</v>
      </c>
      <c r="U14" s="288">
        <f t="shared" ref="U14" si="41">S14+T14</f>
        <v>1739.915424</v>
      </c>
      <c r="V14" s="288">
        <f t="shared" ref="V14" si="42">VLOOKUP(O14,Credito,2)</f>
        <v>0</v>
      </c>
      <c r="W14" s="288">
        <f t="shared" ref="W14" si="43">ROUND((U14-V14)/30.4*I14,2)</f>
        <v>858.51</v>
      </c>
      <c r="X14" s="266">
        <f t="shared" ref="X14" si="44">-IF(W14&gt;0,0,0)</f>
        <v>0</v>
      </c>
      <c r="Y14" s="266">
        <f t="shared" ref="Y14" si="45">IF(K14/15&lt;=SMG,0,IF(W14&lt;0,0,W14))</f>
        <v>858.51</v>
      </c>
      <c r="Z14" s="267">
        <v>0</v>
      </c>
      <c r="AA14" s="266">
        <f t="shared" ref="AA14:AA16" si="46">SUM(Y14:Z14)</f>
        <v>858.51</v>
      </c>
      <c r="AB14" s="266">
        <f t="shared" ref="AB14" si="47">M14+X14-AA14</f>
        <v>7470.99</v>
      </c>
      <c r="AC14" s="366"/>
      <c r="AD14" s="324"/>
    </row>
    <row r="15" spans="1:30" s="270" customFormat="1" ht="193.5" customHeight="1" x14ac:dyDescent="0.2">
      <c r="A15" s="362"/>
      <c r="B15" s="273" t="s">
        <v>271</v>
      </c>
      <c r="C15" s="273" t="s">
        <v>108</v>
      </c>
      <c r="D15" s="368" t="s">
        <v>272</v>
      </c>
      <c r="E15" s="350" t="s">
        <v>273</v>
      </c>
      <c r="F15" s="268" t="s">
        <v>274</v>
      </c>
      <c r="G15" s="314">
        <v>45092</v>
      </c>
      <c r="H15" s="261" t="s">
        <v>78</v>
      </c>
      <c r="I15" s="262">
        <v>15</v>
      </c>
      <c r="J15" s="262">
        <f t="shared" ref="J15:J16" si="48">K15/I15</f>
        <v>555.29999999999995</v>
      </c>
      <c r="K15" s="264">
        <v>8329.5</v>
      </c>
      <c r="L15" s="265">
        <v>0</v>
      </c>
      <c r="M15" s="266">
        <f t="shared" ref="M15:M16" si="49">SUM(K15:L15)</f>
        <v>8329.5</v>
      </c>
      <c r="N15" s="288">
        <f t="shared" ref="N15:N16" si="50">IF(K15/15&lt;=SMG,0,L15/2)</f>
        <v>0</v>
      </c>
      <c r="O15" s="304">
        <f t="shared" ref="O15:O16" si="51">(K15+N15)/I15*30.4</f>
        <v>16881.12</v>
      </c>
      <c r="P15" s="304">
        <f t="shared" ref="P15:P16" si="52">VLOOKUP(O15,Tarifa,1)</f>
        <v>14644.65</v>
      </c>
      <c r="Q15" s="288">
        <f t="shared" ref="Q15:Q16" si="53">O15-P15</f>
        <v>2236.4699999999993</v>
      </c>
      <c r="R15" s="289">
        <f t="shared" ref="R15:R16" si="54">VLOOKUP(O15,Tarifa,3)</f>
        <v>0.1792</v>
      </c>
      <c r="S15" s="288">
        <f t="shared" ref="S15:S16" si="55">Q15*R15</f>
        <v>400.77542399999987</v>
      </c>
      <c r="T15" s="290">
        <f t="shared" ref="T15:T16" si="56">VLOOKUP(O15,Tarifa,2)</f>
        <v>1339.14</v>
      </c>
      <c r="U15" s="288">
        <f t="shared" ref="U15:U16" si="57">S15+T15</f>
        <v>1739.915424</v>
      </c>
      <c r="V15" s="288">
        <f t="shared" ref="V15:V16" si="58">VLOOKUP(O15,Credito,2)</f>
        <v>0</v>
      </c>
      <c r="W15" s="288">
        <f t="shared" ref="W15:W16" si="59">ROUND((U15-V15)/30.4*I15,2)</f>
        <v>858.51</v>
      </c>
      <c r="X15" s="266">
        <f t="shared" ref="X15:X16" si="60">-IF(W15&gt;0,0,0)</f>
        <v>0</v>
      </c>
      <c r="Y15" s="266">
        <f t="shared" ref="Y15:Y16" si="61">IF(K15/15&lt;=SMG,0,IF(W15&lt;0,0,W15))</f>
        <v>858.51</v>
      </c>
      <c r="Z15" s="267">
        <v>0</v>
      </c>
      <c r="AA15" s="266">
        <f t="shared" si="46"/>
        <v>858.51</v>
      </c>
      <c r="AB15" s="266">
        <f t="shared" ref="AB15:AB16" si="62">M15+X15-AA15</f>
        <v>7470.99</v>
      </c>
      <c r="AC15" s="366"/>
      <c r="AD15" s="324"/>
    </row>
    <row r="16" spans="1:30" ht="193.5" customHeight="1" x14ac:dyDescent="0.25">
      <c r="A16" s="146"/>
      <c r="B16" s="273" t="s">
        <v>326</v>
      </c>
      <c r="C16" s="273" t="s">
        <v>108</v>
      </c>
      <c r="D16" s="368" t="s">
        <v>467</v>
      </c>
      <c r="E16" s="350" t="s">
        <v>327</v>
      </c>
      <c r="F16" s="268" t="s">
        <v>328</v>
      </c>
      <c r="G16" s="314">
        <v>45367</v>
      </c>
      <c r="H16" s="261" t="s">
        <v>78</v>
      </c>
      <c r="I16" s="262">
        <v>15</v>
      </c>
      <c r="J16" s="262">
        <f t="shared" si="48"/>
        <v>555.29999999999995</v>
      </c>
      <c r="K16" s="264">
        <v>8329.5</v>
      </c>
      <c r="L16" s="265">
        <v>0</v>
      </c>
      <c r="M16" s="266">
        <f t="shared" si="49"/>
        <v>8329.5</v>
      </c>
      <c r="N16" s="288">
        <f t="shared" si="50"/>
        <v>0</v>
      </c>
      <c r="O16" s="304">
        <f t="shared" si="51"/>
        <v>16881.12</v>
      </c>
      <c r="P16" s="304">
        <f t="shared" si="52"/>
        <v>14644.65</v>
      </c>
      <c r="Q16" s="288">
        <f t="shared" si="53"/>
        <v>2236.4699999999993</v>
      </c>
      <c r="R16" s="289">
        <f t="shared" si="54"/>
        <v>0.1792</v>
      </c>
      <c r="S16" s="288">
        <f t="shared" si="55"/>
        <v>400.77542399999987</v>
      </c>
      <c r="T16" s="290">
        <f t="shared" si="56"/>
        <v>1339.14</v>
      </c>
      <c r="U16" s="288">
        <f t="shared" si="57"/>
        <v>1739.915424</v>
      </c>
      <c r="V16" s="288">
        <f t="shared" si="58"/>
        <v>0</v>
      </c>
      <c r="W16" s="288">
        <f t="shared" si="59"/>
        <v>858.51</v>
      </c>
      <c r="X16" s="266">
        <f t="shared" si="60"/>
        <v>0</v>
      </c>
      <c r="Y16" s="266">
        <f t="shared" si="61"/>
        <v>858.51</v>
      </c>
      <c r="Z16" s="267">
        <v>0</v>
      </c>
      <c r="AA16" s="266">
        <f t="shared" si="46"/>
        <v>858.51</v>
      </c>
      <c r="AB16" s="266">
        <f t="shared" si="62"/>
        <v>7470.99</v>
      </c>
      <c r="AC16" s="323"/>
      <c r="AD16" s="4"/>
    </row>
    <row r="17" spans="1:30" ht="27.75" customHeight="1" x14ac:dyDescent="0.25">
      <c r="A17" s="146"/>
      <c r="B17" s="500" t="s">
        <v>340</v>
      </c>
      <c r="C17" s="501"/>
      <c r="D17" s="501"/>
      <c r="E17" s="501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  <c r="AA17" s="501"/>
      <c r="AB17" s="501"/>
      <c r="AC17" s="501"/>
      <c r="AD17" s="4"/>
    </row>
    <row r="18" spans="1:30" ht="23.25" customHeight="1" x14ac:dyDescent="0.25">
      <c r="A18" s="146"/>
      <c r="B18" s="500" t="s">
        <v>341</v>
      </c>
      <c r="C18" s="501"/>
      <c r="D18" s="501"/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1"/>
      <c r="Z18" s="501"/>
      <c r="AA18" s="501"/>
      <c r="AB18" s="501"/>
      <c r="AC18" s="501"/>
      <c r="AD18" s="4"/>
    </row>
    <row r="19" spans="1:30" ht="23.25" customHeight="1" x14ac:dyDescent="0.25">
      <c r="A19" s="146"/>
      <c r="B19" s="499" t="str">
        <f>PRESIDENCIA!A3</f>
        <v>SUELDO  DEL 01 AL 15 DE ENERO DE 2026</v>
      </c>
      <c r="C19" s="499"/>
      <c r="D19" s="499"/>
      <c r="E19" s="499"/>
      <c r="F19" s="499"/>
      <c r="G19" s="499"/>
      <c r="H19" s="499"/>
      <c r="I19" s="499"/>
      <c r="J19" s="499"/>
      <c r="K19" s="499"/>
      <c r="L19" s="499"/>
      <c r="M19" s="499"/>
      <c r="N19" s="499"/>
      <c r="O19" s="499"/>
      <c r="P19" s="499"/>
      <c r="Q19" s="499"/>
      <c r="R19" s="499"/>
      <c r="S19" s="499"/>
      <c r="T19" s="499"/>
      <c r="U19" s="499"/>
      <c r="V19" s="499"/>
      <c r="W19" s="499"/>
      <c r="X19" s="499"/>
      <c r="Y19" s="499"/>
      <c r="Z19" s="499"/>
      <c r="AA19" s="499"/>
      <c r="AB19" s="499"/>
      <c r="AC19" s="499"/>
      <c r="AD19" s="4"/>
    </row>
    <row r="20" spans="1:30" ht="20.25" customHeight="1" x14ac:dyDescent="0.25">
      <c r="A20" s="146"/>
      <c r="B20" s="502"/>
      <c r="C20" s="503"/>
      <c r="D20" s="503"/>
      <c r="E20" s="503"/>
      <c r="F20" s="503"/>
      <c r="G20" s="503"/>
      <c r="H20" s="503"/>
      <c r="I20" s="503"/>
      <c r="J20" s="503"/>
      <c r="K20" s="503"/>
      <c r="L20" s="503"/>
      <c r="M20" s="503"/>
      <c r="N20" s="503"/>
      <c r="O20" s="503"/>
      <c r="P20" s="503"/>
      <c r="Q20" s="503"/>
      <c r="R20" s="503"/>
      <c r="S20" s="503"/>
      <c r="T20" s="503"/>
      <c r="U20" s="503"/>
      <c r="V20" s="503"/>
      <c r="W20" s="503"/>
      <c r="X20" s="503"/>
      <c r="Y20" s="503"/>
      <c r="Z20" s="503"/>
      <c r="AA20" s="503"/>
      <c r="AB20" s="503"/>
      <c r="AC20" s="503"/>
      <c r="AD20" s="4"/>
    </row>
    <row r="21" spans="1:30" s="367" customFormat="1" ht="201.75" customHeight="1" x14ac:dyDescent="0.2">
      <c r="A21" s="362"/>
      <c r="B21" s="273" t="s">
        <v>298</v>
      </c>
      <c r="C21" s="273" t="s">
        <v>108</v>
      </c>
      <c r="D21" s="368" t="s">
        <v>299</v>
      </c>
      <c r="E21" s="350" t="s">
        <v>305</v>
      </c>
      <c r="F21" s="268" t="s">
        <v>300</v>
      </c>
      <c r="G21" s="314">
        <v>45200</v>
      </c>
      <c r="H21" s="261" t="s">
        <v>78</v>
      </c>
      <c r="I21" s="262">
        <v>15</v>
      </c>
      <c r="J21" s="262">
        <f t="shared" ref="J21:J24" si="63">K21/I21</f>
        <v>555.29999999999995</v>
      </c>
      <c r="K21" s="264">
        <v>8329.5</v>
      </c>
      <c r="L21" s="265">
        <v>0</v>
      </c>
      <c r="M21" s="266">
        <f t="shared" ref="M21:M24" si="64">SUM(K21:L21)</f>
        <v>8329.5</v>
      </c>
      <c r="N21" s="288">
        <f t="shared" ref="N21:N24" si="65">IF(K21/15&lt;=SMG,0,L21/2)</f>
        <v>0</v>
      </c>
      <c r="O21" s="304">
        <f t="shared" ref="O21:O24" si="66">(K21+N21)/I21*30.4</f>
        <v>16881.12</v>
      </c>
      <c r="P21" s="304">
        <f t="shared" ref="P21:P24" si="67">VLOOKUP(O21,Tarifa,1)</f>
        <v>14644.65</v>
      </c>
      <c r="Q21" s="288">
        <f t="shared" ref="Q21:Q24" si="68">O21-P21</f>
        <v>2236.4699999999993</v>
      </c>
      <c r="R21" s="289">
        <f t="shared" ref="R21:R24" si="69">VLOOKUP(O21,Tarifa,3)</f>
        <v>0.1792</v>
      </c>
      <c r="S21" s="288">
        <f t="shared" ref="S21:S24" si="70">Q21*R21</f>
        <v>400.77542399999987</v>
      </c>
      <c r="T21" s="290">
        <f t="shared" ref="T21:T24" si="71">VLOOKUP(O21,Tarifa,2)</f>
        <v>1339.14</v>
      </c>
      <c r="U21" s="288">
        <f t="shared" ref="U21:U24" si="72">S21+T21</f>
        <v>1739.915424</v>
      </c>
      <c r="V21" s="288">
        <f t="shared" ref="V21:V24" si="73">VLOOKUP(O21,Credito,2)</f>
        <v>0</v>
      </c>
      <c r="W21" s="288">
        <f t="shared" ref="W21:W24" si="74">ROUND((U21-V21)/30.4*I21,2)</f>
        <v>858.51</v>
      </c>
      <c r="X21" s="266">
        <f t="shared" ref="X21:X24" si="75">-IF(W21&gt;0,0,0)</f>
        <v>0</v>
      </c>
      <c r="Y21" s="266">
        <f t="shared" ref="Y21:Y24" si="76">IF(K21/15&lt;=SMG,0,IF(W21&lt;0,0,W21))</f>
        <v>858.51</v>
      </c>
      <c r="Z21" s="267">
        <v>0</v>
      </c>
      <c r="AA21" s="266">
        <f t="shared" ref="AA21:AA24" si="77">SUM(Y21:Z21)</f>
        <v>858.51</v>
      </c>
      <c r="AB21" s="266">
        <f t="shared" ref="AB21:AB24" si="78">M21+X21-AA21</f>
        <v>7470.99</v>
      </c>
      <c r="AC21" s="323"/>
      <c r="AD21" s="324"/>
    </row>
    <row r="22" spans="1:30" s="367" customFormat="1" ht="201.75" customHeight="1" x14ac:dyDescent="0.2">
      <c r="A22" s="362"/>
      <c r="B22" s="273" t="s">
        <v>310</v>
      </c>
      <c r="C22" s="273" t="s">
        <v>108</v>
      </c>
      <c r="D22" s="368" t="s">
        <v>313</v>
      </c>
      <c r="E22" s="350" t="s">
        <v>311</v>
      </c>
      <c r="F22" s="268" t="s">
        <v>312</v>
      </c>
      <c r="G22" s="314">
        <v>45292</v>
      </c>
      <c r="H22" s="261" t="s">
        <v>78</v>
      </c>
      <c r="I22" s="262">
        <v>15</v>
      </c>
      <c r="J22" s="262">
        <f t="shared" si="63"/>
        <v>555.29999999999995</v>
      </c>
      <c r="K22" s="264">
        <v>8329.5</v>
      </c>
      <c r="L22" s="265">
        <v>0</v>
      </c>
      <c r="M22" s="266">
        <f t="shared" si="64"/>
        <v>8329.5</v>
      </c>
      <c r="N22" s="288">
        <f t="shared" si="65"/>
        <v>0</v>
      </c>
      <c r="O22" s="304">
        <f t="shared" si="66"/>
        <v>16881.12</v>
      </c>
      <c r="P22" s="304">
        <f t="shared" si="67"/>
        <v>14644.65</v>
      </c>
      <c r="Q22" s="288">
        <f t="shared" si="68"/>
        <v>2236.4699999999993</v>
      </c>
      <c r="R22" s="289">
        <f t="shared" si="69"/>
        <v>0.1792</v>
      </c>
      <c r="S22" s="288">
        <f t="shared" si="70"/>
        <v>400.77542399999987</v>
      </c>
      <c r="T22" s="290">
        <f t="shared" si="71"/>
        <v>1339.14</v>
      </c>
      <c r="U22" s="288">
        <f t="shared" si="72"/>
        <v>1739.915424</v>
      </c>
      <c r="V22" s="288">
        <f t="shared" si="73"/>
        <v>0</v>
      </c>
      <c r="W22" s="288">
        <f t="shared" si="74"/>
        <v>858.51</v>
      </c>
      <c r="X22" s="266">
        <f t="shared" si="75"/>
        <v>0</v>
      </c>
      <c r="Y22" s="266">
        <f t="shared" si="76"/>
        <v>858.51</v>
      </c>
      <c r="Z22" s="267">
        <v>0</v>
      </c>
      <c r="AA22" s="266">
        <f t="shared" si="77"/>
        <v>858.51</v>
      </c>
      <c r="AB22" s="266">
        <f t="shared" si="78"/>
        <v>7470.99</v>
      </c>
      <c r="AC22" s="323"/>
      <c r="AD22" s="324"/>
    </row>
    <row r="23" spans="1:30" s="367" customFormat="1" ht="201.75" customHeight="1" x14ac:dyDescent="0.2">
      <c r="A23" s="362"/>
      <c r="B23" s="273" t="s">
        <v>336</v>
      </c>
      <c r="C23" s="273" t="s">
        <v>108</v>
      </c>
      <c r="D23" s="368" t="s">
        <v>337</v>
      </c>
      <c r="E23" s="350" t="s">
        <v>338</v>
      </c>
      <c r="F23" s="268" t="s">
        <v>339</v>
      </c>
      <c r="G23" s="314">
        <v>45413</v>
      </c>
      <c r="H23" s="261" t="s">
        <v>78</v>
      </c>
      <c r="I23" s="262">
        <v>15</v>
      </c>
      <c r="J23" s="262">
        <f t="shared" si="63"/>
        <v>555.29999999999995</v>
      </c>
      <c r="K23" s="264">
        <v>8329.5</v>
      </c>
      <c r="L23" s="265">
        <v>0</v>
      </c>
      <c r="M23" s="266">
        <f t="shared" si="64"/>
        <v>8329.5</v>
      </c>
      <c r="N23" s="288">
        <f t="shared" si="65"/>
        <v>0</v>
      </c>
      <c r="O23" s="304">
        <f t="shared" si="66"/>
        <v>16881.12</v>
      </c>
      <c r="P23" s="304">
        <f t="shared" si="67"/>
        <v>14644.65</v>
      </c>
      <c r="Q23" s="288">
        <f t="shared" si="68"/>
        <v>2236.4699999999993</v>
      </c>
      <c r="R23" s="289">
        <f t="shared" si="69"/>
        <v>0.1792</v>
      </c>
      <c r="S23" s="288">
        <f t="shared" si="70"/>
        <v>400.77542399999987</v>
      </c>
      <c r="T23" s="290">
        <f t="shared" si="71"/>
        <v>1339.14</v>
      </c>
      <c r="U23" s="288">
        <f t="shared" si="72"/>
        <v>1739.915424</v>
      </c>
      <c r="V23" s="288">
        <f t="shared" si="73"/>
        <v>0</v>
      </c>
      <c r="W23" s="288">
        <f t="shared" si="74"/>
        <v>858.51</v>
      </c>
      <c r="X23" s="266">
        <f t="shared" si="75"/>
        <v>0</v>
      </c>
      <c r="Y23" s="266">
        <f t="shared" si="76"/>
        <v>858.51</v>
      </c>
      <c r="Z23" s="267">
        <v>0</v>
      </c>
      <c r="AA23" s="266">
        <f t="shared" si="77"/>
        <v>858.51</v>
      </c>
      <c r="AB23" s="266">
        <f t="shared" si="78"/>
        <v>7470.99</v>
      </c>
      <c r="AC23" s="323"/>
      <c r="AD23" s="324"/>
    </row>
    <row r="24" spans="1:30" s="367" customFormat="1" ht="201.75" customHeight="1" x14ac:dyDescent="0.2">
      <c r="A24" s="362"/>
      <c r="B24" s="273" t="s">
        <v>342</v>
      </c>
      <c r="C24" s="273" t="s">
        <v>108</v>
      </c>
      <c r="D24" s="368" t="s">
        <v>343</v>
      </c>
      <c r="E24" s="350" t="s">
        <v>349</v>
      </c>
      <c r="F24" s="268" t="s">
        <v>344</v>
      </c>
      <c r="G24" s="314">
        <v>45444</v>
      </c>
      <c r="H24" s="261" t="s">
        <v>78</v>
      </c>
      <c r="I24" s="262">
        <v>15</v>
      </c>
      <c r="J24" s="262">
        <f t="shared" si="63"/>
        <v>555.29999999999995</v>
      </c>
      <c r="K24" s="264">
        <v>8329.5</v>
      </c>
      <c r="L24" s="265">
        <v>0</v>
      </c>
      <c r="M24" s="266">
        <f t="shared" si="64"/>
        <v>8329.5</v>
      </c>
      <c r="N24" s="288">
        <f t="shared" si="65"/>
        <v>0</v>
      </c>
      <c r="O24" s="304">
        <f t="shared" si="66"/>
        <v>16881.12</v>
      </c>
      <c r="P24" s="304">
        <f t="shared" si="67"/>
        <v>14644.65</v>
      </c>
      <c r="Q24" s="288">
        <f t="shared" si="68"/>
        <v>2236.4699999999993</v>
      </c>
      <c r="R24" s="289">
        <f t="shared" si="69"/>
        <v>0.1792</v>
      </c>
      <c r="S24" s="288">
        <f t="shared" si="70"/>
        <v>400.77542399999987</v>
      </c>
      <c r="T24" s="290">
        <f t="shared" si="71"/>
        <v>1339.14</v>
      </c>
      <c r="U24" s="288">
        <f t="shared" si="72"/>
        <v>1739.915424</v>
      </c>
      <c r="V24" s="288">
        <f t="shared" si="73"/>
        <v>0</v>
      </c>
      <c r="W24" s="288">
        <f t="shared" si="74"/>
        <v>858.51</v>
      </c>
      <c r="X24" s="266">
        <f t="shared" si="75"/>
        <v>0</v>
      </c>
      <c r="Y24" s="266">
        <f t="shared" si="76"/>
        <v>858.51</v>
      </c>
      <c r="Z24" s="267">
        <v>0</v>
      </c>
      <c r="AA24" s="266">
        <f t="shared" si="77"/>
        <v>858.51</v>
      </c>
      <c r="AB24" s="266">
        <f t="shared" si="78"/>
        <v>7470.99</v>
      </c>
      <c r="AC24" s="323"/>
      <c r="AD24" s="324"/>
    </row>
    <row r="25" spans="1:30" s="367" customFormat="1" ht="201.75" customHeight="1" x14ac:dyDescent="0.2">
      <c r="A25" s="362"/>
      <c r="B25" s="273" t="s">
        <v>366</v>
      </c>
      <c r="C25" s="273" t="s">
        <v>108</v>
      </c>
      <c r="D25" s="368" t="s">
        <v>367</v>
      </c>
      <c r="E25" s="350" t="s">
        <v>368</v>
      </c>
      <c r="F25" s="268" t="s">
        <v>369</v>
      </c>
      <c r="G25" s="314">
        <v>45520</v>
      </c>
      <c r="H25" s="261" t="s">
        <v>78</v>
      </c>
      <c r="I25" s="262">
        <v>15</v>
      </c>
      <c r="J25" s="262">
        <f t="shared" ref="J25:J36" si="79">K25/I25</f>
        <v>555.29999999999995</v>
      </c>
      <c r="K25" s="264">
        <v>8329.5</v>
      </c>
      <c r="L25" s="265">
        <v>0</v>
      </c>
      <c r="M25" s="266">
        <f t="shared" ref="M25:M36" si="80">SUM(K25:L25)</f>
        <v>8329.5</v>
      </c>
      <c r="N25" s="288">
        <f t="shared" ref="N25:N36" si="81">IF(K25/15&lt;=SMG,0,L25/2)</f>
        <v>0</v>
      </c>
      <c r="O25" s="304">
        <f t="shared" ref="O25:O36" si="82">(K25+N25)/I25*30.4</f>
        <v>16881.12</v>
      </c>
      <c r="P25" s="304">
        <f t="shared" ref="P25:P36" si="83">VLOOKUP(O25,Tarifa,1)</f>
        <v>14644.65</v>
      </c>
      <c r="Q25" s="288">
        <f t="shared" ref="Q25:Q36" si="84">O25-P25</f>
        <v>2236.4699999999993</v>
      </c>
      <c r="R25" s="289">
        <f t="shared" ref="R25:R36" si="85">VLOOKUP(O25,Tarifa,3)</f>
        <v>0.1792</v>
      </c>
      <c r="S25" s="288">
        <f t="shared" ref="S25:S36" si="86">Q25*R25</f>
        <v>400.77542399999987</v>
      </c>
      <c r="T25" s="290">
        <f t="shared" ref="T25:T36" si="87">VLOOKUP(O25,Tarifa,2)</f>
        <v>1339.14</v>
      </c>
      <c r="U25" s="288">
        <f t="shared" ref="U25:U36" si="88">S25+T25</f>
        <v>1739.915424</v>
      </c>
      <c r="V25" s="288">
        <f t="shared" ref="V25:V36" si="89">VLOOKUP(O25,Credito,2)</f>
        <v>0</v>
      </c>
      <c r="W25" s="288">
        <f t="shared" ref="W25:W36" si="90">ROUND((U25-V25)/30.4*I25,2)</f>
        <v>858.51</v>
      </c>
      <c r="X25" s="266">
        <f t="shared" ref="X25:X36" si="91">-IF(W25&gt;0,0,0)</f>
        <v>0</v>
      </c>
      <c r="Y25" s="266">
        <f t="shared" ref="Y25:Y36" si="92">IF(K25/15&lt;=SMG,0,IF(W25&lt;0,0,W25))</f>
        <v>858.51</v>
      </c>
      <c r="Z25" s="267">
        <v>0</v>
      </c>
      <c r="AA25" s="266">
        <f t="shared" ref="AA25:AA36" si="93">SUM(Y25:Z25)</f>
        <v>858.51</v>
      </c>
      <c r="AB25" s="266">
        <f t="shared" ref="AB25:AB36" si="94">M25+X25-AA25</f>
        <v>7470.99</v>
      </c>
      <c r="AC25" s="323"/>
      <c r="AD25" s="324"/>
    </row>
    <row r="26" spans="1:30" s="367" customFormat="1" ht="201.75" customHeight="1" x14ac:dyDescent="0.2">
      <c r="A26" s="362"/>
      <c r="B26" s="273" t="s">
        <v>520</v>
      </c>
      <c r="C26" s="273" t="s">
        <v>108</v>
      </c>
      <c r="D26" s="368" t="s">
        <v>514</v>
      </c>
      <c r="E26" s="350" t="s">
        <v>526</v>
      </c>
      <c r="F26" s="268" t="s">
        <v>515</v>
      </c>
      <c r="G26" s="314">
        <v>45704</v>
      </c>
      <c r="H26" s="261" t="s">
        <v>78</v>
      </c>
      <c r="I26" s="262">
        <v>15</v>
      </c>
      <c r="J26" s="262">
        <f t="shared" si="79"/>
        <v>555.29999999999995</v>
      </c>
      <c r="K26" s="264">
        <v>8329.5</v>
      </c>
      <c r="L26" s="265">
        <v>0</v>
      </c>
      <c r="M26" s="266">
        <f t="shared" si="80"/>
        <v>8329.5</v>
      </c>
      <c r="N26" s="288">
        <f t="shared" si="81"/>
        <v>0</v>
      </c>
      <c r="O26" s="304">
        <f t="shared" si="82"/>
        <v>16881.12</v>
      </c>
      <c r="P26" s="304">
        <f t="shared" si="83"/>
        <v>14644.65</v>
      </c>
      <c r="Q26" s="288">
        <f t="shared" si="84"/>
        <v>2236.4699999999993</v>
      </c>
      <c r="R26" s="289">
        <f t="shared" si="85"/>
        <v>0.1792</v>
      </c>
      <c r="S26" s="288">
        <f t="shared" si="86"/>
        <v>400.77542399999987</v>
      </c>
      <c r="T26" s="290">
        <f t="shared" si="87"/>
        <v>1339.14</v>
      </c>
      <c r="U26" s="288">
        <f t="shared" si="88"/>
        <v>1739.915424</v>
      </c>
      <c r="V26" s="288">
        <f t="shared" si="89"/>
        <v>0</v>
      </c>
      <c r="W26" s="288">
        <f t="shared" si="90"/>
        <v>858.51</v>
      </c>
      <c r="X26" s="266">
        <f t="shared" si="91"/>
        <v>0</v>
      </c>
      <c r="Y26" s="266">
        <f t="shared" si="92"/>
        <v>858.51</v>
      </c>
      <c r="Z26" s="267">
        <v>0</v>
      </c>
      <c r="AA26" s="266">
        <f t="shared" si="93"/>
        <v>858.51</v>
      </c>
      <c r="AB26" s="266">
        <f t="shared" si="94"/>
        <v>7470.99</v>
      </c>
      <c r="AC26" s="323"/>
      <c r="AD26" s="324"/>
    </row>
    <row r="27" spans="1:30" s="367" customFormat="1" ht="201.75" customHeight="1" x14ac:dyDescent="0.2">
      <c r="A27" s="362"/>
      <c r="B27" s="273" t="s">
        <v>521</v>
      </c>
      <c r="C27" s="273" t="s">
        <v>108</v>
      </c>
      <c r="D27" s="368" t="s">
        <v>516</v>
      </c>
      <c r="E27" s="350" t="s">
        <v>517</v>
      </c>
      <c r="F27" s="268" t="s">
        <v>518</v>
      </c>
      <c r="G27" s="314">
        <v>45704</v>
      </c>
      <c r="H27" s="261" t="s">
        <v>78</v>
      </c>
      <c r="I27" s="262">
        <v>15</v>
      </c>
      <c r="J27" s="262">
        <f t="shared" si="79"/>
        <v>555.29999999999995</v>
      </c>
      <c r="K27" s="264">
        <v>8329.5</v>
      </c>
      <c r="L27" s="265">
        <v>0</v>
      </c>
      <c r="M27" s="266">
        <f t="shared" si="80"/>
        <v>8329.5</v>
      </c>
      <c r="N27" s="288">
        <f t="shared" si="81"/>
        <v>0</v>
      </c>
      <c r="O27" s="304">
        <f t="shared" si="82"/>
        <v>16881.12</v>
      </c>
      <c r="P27" s="304">
        <f t="shared" si="83"/>
        <v>14644.65</v>
      </c>
      <c r="Q27" s="288">
        <f t="shared" si="84"/>
        <v>2236.4699999999993</v>
      </c>
      <c r="R27" s="289">
        <f t="shared" si="85"/>
        <v>0.1792</v>
      </c>
      <c r="S27" s="288">
        <f t="shared" si="86"/>
        <v>400.77542399999987</v>
      </c>
      <c r="T27" s="290">
        <f t="shared" si="87"/>
        <v>1339.14</v>
      </c>
      <c r="U27" s="288">
        <f t="shared" si="88"/>
        <v>1739.915424</v>
      </c>
      <c r="V27" s="288">
        <f t="shared" si="89"/>
        <v>0</v>
      </c>
      <c r="W27" s="288">
        <f t="shared" si="90"/>
        <v>858.51</v>
      </c>
      <c r="X27" s="266">
        <f t="shared" si="91"/>
        <v>0</v>
      </c>
      <c r="Y27" s="266">
        <f t="shared" si="92"/>
        <v>858.51</v>
      </c>
      <c r="Z27" s="267">
        <v>0</v>
      </c>
      <c r="AA27" s="266">
        <f t="shared" si="93"/>
        <v>858.51</v>
      </c>
      <c r="AB27" s="266">
        <f t="shared" si="94"/>
        <v>7470.99</v>
      </c>
      <c r="AC27" s="323"/>
      <c r="AD27" s="324"/>
    </row>
    <row r="28" spans="1:30" s="367" customFormat="1" ht="201.75" customHeight="1" x14ac:dyDescent="0.2">
      <c r="A28" s="362"/>
      <c r="B28" s="273" t="s">
        <v>524</v>
      </c>
      <c r="C28" s="273" t="s">
        <v>108</v>
      </c>
      <c r="D28" s="368" t="s">
        <v>525</v>
      </c>
      <c r="E28" s="350" t="s">
        <v>522</v>
      </c>
      <c r="F28" s="268" t="s">
        <v>523</v>
      </c>
      <c r="G28" s="314">
        <v>45717</v>
      </c>
      <c r="H28" s="261" t="s">
        <v>78</v>
      </c>
      <c r="I28" s="262">
        <v>15</v>
      </c>
      <c r="J28" s="262">
        <f t="shared" si="79"/>
        <v>555.29999999999995</v>
      </c>
      <c r="K28" s="264">
        <v>8329.5</v>
      </c>
      <c r="L28" s="265">
        <v>0</v>
      </c>
      <c r="M28" s="266">
        <f t="shared" si="80"/>
        <v>8329.5</v>
      </c>
      <c r="N28" s="288">
        <f t="shared" si="81"/>
        <v>0</v>
      </c>
      <c r="O28" s="304">
        <f t="shared" si="82"/>
        <v>16881.12</v>
      </c>
      <c r="P28" s="304">
        <f t="shared" si="83"/>
        <v>14644.65</v>
      </c>
      <c r="Q28" s="288">
        <f t="shared" si="84"/>
        <v>2236.4699999999993</v>
      </c>
      <c r="R28" s="289">
        <f t="shared" si="85"/>
        <v>0.1792</v>
      </c>
      <c r="S28" s="288">
        <f t="shared" si="86"/>
        <v>400.77542399999987</v>
      </c>
      <c r="T28" s="290">
        <f t="shared" si="87"/>
        <v>1339.14</v>
      </c>
      <c r="U28" s="288">
        <f t="shared" si="88"/>
        <v>1739.915424</v>
      </c>
      <c r="V28" s="288">
        <f t="shared" si="89"/>
        <v>0</v>
      </c>
      <c r="W28" s="288">
        <f t="shared" si="90"/>
        <v>858.51</v>
      </c>
      <c r="X28" s="266">
        <f t="shared" si="91"/>
        <v>0</v>
      </c>
      <c r="Y28" s="266">
        <f t="shared" si="92"/>
        <v>858.51</v>
      </c>
      <c r="Z28" s="267">
        <v>0</v>
      </c>
      <c r="AA28" s="266">
        <f t="shared" si="93"/>
        <v>858.51</v>
      </c>
      <c r="AB28" s="266">
        <f t="shared" si="94"/>
        <v>7470.99</v>
      </c>
      <c r="AC28" s="323"/>
      <c r="AD28" s="324"/>
    </row>
    <row r="29" spans="1:30" s="367" customFormat="1" ht="32.25" customHeight="1" x14ac:dyDescent="0.25">
      <c r="A29" s="362"/>
      <c r="B29" s="500" t="s">
        <v>340</v>
      </c>
      <c r="C29" s="501"/>
      <c r="D29" s="501"/>
      <c r="E29" s="501"/>
      <c r="F29" s="501"/>
      <c r="G29" s="501"/>
      <c r="H29" s="501"/>
      <c r="I29" s="501"/>
      <c r="J29" s="501"/>
      <c r="K29" s="501"/>
      <c r="L29" s="501"/>
      <c r="M29" s="501"/>
      <c r="N29" s="501"/>
      <c r="O29" s="501"/>
      <c r="P29" s="501"/>
      <c r="Q29" s="501"/>
      <c r="R29" s="501"/>
      <c r="S29" s="501"/>
      <c r="T29" s="501"/>
      <c r="U29" s="501"/>
      <c r="V29" s="501"/>
      <c r="W29" s="501"/>
      <c r="X29" s="501"/>
      <c r="Y29" s="501"/>
      <c r="Z29" s="501"/>
      <c r="AA29" s="501"/>
      <c r="AB29" s="501"/>
      <c r="AC29" s="501"/>
      <c r="AD29" s="324"/>
    </row>
    <row r="30" spans="1:30" s="367" customFormat="1" ht="32.25" customHeight="1" x14ac:dyDescent="0.25">
      <c r="A30" s="362"/>
      <c r="B30" s="500" t="s">
        <v>341</v>
      </c>
      <c r="C30" s="501"/>
      <c r="D30" s="501"/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01"/>
      <c r="R30" s="501"/>
      <c r="S30" s="501"/>
      <c r="T30" s="501"/>
      <c r="U30" s="501"/>
      <c r="V30" s="501"/>
      <c r="W30" s="501"/>
      <c r="X30" s="501"/>
      <c r="Y30" s="501"/>
      <c r="Z30" s="501"/>
      <c r="AA30" s="501"/>
      <c r="AB30" s="501"/>
      <c r="AC30" s="501"/>
      <c r="AD30" s="324"/>
    </row>
    <row r="31" spans="1:30" s="419" customFormat="1" ht="32.25" customHeight="1" x14ac:dyDescent="0.2">
      <c r="A31" s="418"/>
      <c r="B31" s="507" t="str">
        <f>B19</f>
        <v>SUELDO  DEL 01 AL 15 DE ENERO DE 2026</v>
      </c>
      <c r="C31" s="507"/>
      <c r="D31" s="507"/>
      <c r="E31" s="507"/>
      <c r="F31" s="507"/>
      <c r="G31" s="507"/>
      <c r="H31" s="507"/>
      <c r="I31" s="507"/>
      <c r="J31" s="507"/>
      <c r="K31" s="507"/>
      <c r="L31" s="507"/>
      <c r="M31" s="507"/>
      <c r="N31" s="507"/>
      <c r="O31" s="507"/>
      <c r="P31" s="507"/>
      <c r="Q31" s="507"/>
      <c r="R31" s="507"/>
      <c r="S31" s="507"/>
      <c r="T31" s="507"/>
      <c r="U31" s="507"/>
      <c r="V31" s="507"/>
      <c r="W31" s="507"/>
      <c r="X31" s="507"/>
      <c r="Y31" s="507"/>
      <c r="Z31" s="507"/>
      <c r="AA31" s="507"/>
      <c r="AB31" s="507"/>
      <c r="AC31" s="507"/>
    </row>
    <row r="32" spans="1:30" s="419" customFormat="1" ht="32.25" customHeight="1" x14ac:dyDescent="0.2">
      <c r="A32" s="418"/>
      <c r="B32" s="420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</row>
    <row r="33" spans="1:30" s="367" customFormat="1" ht="195" customHeight="1" x14ac:dyDescent="0.2">
      <c r="A33" s="362"/>
      <c r="B33" s="326" t="s">
        <v>590</v>
      </c>
      <c r="C33" s="326" t="s">
        <v>108</v>
      </c>
      <c r="D33" s="409" t="s">
        <v>591</v>
      </c>
      <c r="E33" s="410" t="s">
        <v>592</v>
      </c>
      <c r="F33" s="411" t="s">
        <v>593</v>
      </c>
      <c r="G33" s="412">
        <v>45884</v>
      </c>
      <c r="H33" s="330" t="s">
        <v>78</v>
      </c>
      <c r="I33" s="413">
        <v>15</v>
      </c>
      <c r="J33" s="413">
        <f t="shared" ref="J33" si="95">K33/I33</f>
        <v>555.29999999999995</v>
      </c>
      <c r="K33" s="264">
        <v>8329.5</v>
      </c>
      <c r="L33" s="332">
        <v>0</v>
      </c>
      <c r="M33" s="333">
        <f t="shared" ref="M33" si="96">SUM(K33:L33)</f>
        <v>8329.5</v>
      </c>
      <c r="N33" s="414">
        <f t="shared" ref="N33" si="97">IF(K33/15&lt;=SMG,0,L33/2)</f>
        <v>0</v>
      </c>
      <c r="O33" s="415">
        <f t="shared" ref="O33" si="98">(K33+N33)/I33*30.4</f>
        <v>16881.12</v>
      </c>
      <c r="P33" s="415">
        <f t="shared" ref="P33" si="99">VLOOKUP(O33,Tarifa,1)</f>
        <v>14644.65</v>
      </c>
      <c r="Q33" s="414">
        <f t="shared" ref="Q33" si="100">O33-P33</f>
        <v>2236.4699999999993</v>
      </c>
      <c r="R33" s="416">
        <f t="shared" ref="R33" si="101">VLOOKUP(O33,Tarifa,3)</f>
        <v>0.1792</v>
      </c>
      <c r="S33" s="414">
        <f t="shared" ref="S33" si="102">Q33*R33</f>
        <v>400.77542399999987</v>
      </c>
      <c r="T33" s="417">
        <f t="shared" ref="T33" si="103">VLOOKUP(O33,Tarifa,2)</f>
        <v>1339.14</v>
      </c>
      <c r="U33" s="414">
        <f t="shared" ref="U33" si="104">S33+T33</f>
        <v>1739.915424</v>
      </c>
      <c r="V33" s="414">
        <f t="shared" ref="V33" si="105">VLOOKUP(O33,Credito,2)</f>
        <v>0</v>
      </c>
      <c r="W33" s="414">
        <f t="shared" ref="W33" si="106">ROUND((U33-V33)/30.4*I33,2)</f>
        <v>858.51</v>
      </c>
      <c r="X33" s="333">
        <f t="shared" ref="X33" si="107">-IF(W33&gt;0,0,0)</f>
        <v>0</v>
      </c>
      <c r="Y33" s="333">
        <f t="shared" ref="Y33" si="108">IF(K33/15&lt;=SMG,0,IF(W33&lt;0,0,W33))</f>
        <v>858.51</v>
      </c>
      <c r="Z33" s="334">
        <v>0</v>
      </c>
      <c r="AA33" s="333">
        <f t="shared" ref="AA33" si="109">SUM(Y33:Z33)</f>
        <v>858.51</v>
      </c>
      <c r="AB33" s="333">
        <f t="shared" ref="AB33" si="110">M33+X33-AA33</f>
        <v>7470.99</v>
      </c>
      <c r="AC33" s="335"/>
      <c r="AD33" s="324"/>
    </row>
    <row r="34" spans="1:30" s="367" customFormat="1" ht="195" customHeight="1" x14ac:dyDescent="0.2">
      <c r="A34" s="362"/>
      <c r="B34" s="273" t="s">
        <v>598</v>
      </c>
      <c r="C34" s="273" t="s">
        <v>108</v>
      </c>
      <c r="D34" s="368" t="s">
        <v>608</v>
      </c>
      <c r="E34" s="350" t="s">
        <v>599</v>
      </c>
      <c r="F34" s="268" t="s">
        <v>600</v>
      </c>
      <c r="G34" s="314">
        <v>45884</v>
      </c>
      <c r="H34" s="261" t="s">
        <v>78</v>
      </c>
      <c r="I34" s="262">
        <v>15</v>
      </c>
      <c r="J34" s="262">
        <f t="shared" si="79"/>
        <v>555.29999999999995</v>
      </c>
      <c r="K34" s="264">
        <v>8329.5</v>
      </c>
      <c r="L34" s="265">
        <v>0</v>
      </c>
      <c r="M34" s="266">
        <f t="shared" si="80"/>
        <v>8329.5</v>
      </c>
      <c r="N34" s="288">
        <f t="shared" si="81"/>
        <v>0</v>
      </c>
      <c r="O34" s="304">
        <f t="shared" si="82"/>
        <v>16881.12</v>
      </c>
      <c r="P34" s="304">
        <f t="shared" si="83"/>
        <v>14644.65</v>
      </c>
      <c r="Q34" s="288">
        <f t="shared" si="84"/>
        <v>2236.4699999999993</v>
      </c>
      <c r="R34" s="289">
        <f t="shared" si="85"/>
        <v>0.1792</v>
      </c>
      <c r="S34" s="288">
        <f t="shared" si="86"/>
        <v>400.77542399999987</v>
      </c>
      <c r="T34" s="290">
        <f t="shared" si="87"/>
        <v>1339.14</v>
      </c>
      <c r="U34" s="288">
        <f t="shared" si="88"/>
        <v>1739.915424</v>
      </c>
      <c r="V34" s="288">
        <f t="shared" si="89"/>
        <v>0</v>
      </c>
      <c r="W34" s="288">
        <f t="shared" si="90"/>
        <v>858.51</v>
      </c>
      <c r="X34" s="266">
        <f t="shared" si="91"/>
        <v>0</v>
      </c>
      <c r="Y34" s="266">
        <f t="shared" si="92"/>
        <v>858.51</v>
      </c>
      <c r="Z34" s="267">
        <v>0</v>
      </c>
      <c r="AA34" s="266">
        <f t="shared" si="93"/>
        <v>858.51</v>
      </c>
      <c r="AB34" s="266">
        <f t="shared" si="94"/>
        <v>7470.99</v>
      </c>
      <c r="AC34" s="323"/>
      <c r="AD34" s="324"/>
    </row>
    <row r="35" spans="1:30" s="367" customFormat="1" ht="195" customHeight="1" x14ac:dyDescent="0.2">
      <c r="A35" s="362"/>
      <c r="B35" s="273" t="s">
        <v>610</v>
      </c>
      <c r="C35" s="273" t="s">
        <v>108</v>
      </c>
      <c r="D35" s="368" t="s">
        <v>611</v>
      </c>
      <c r="E35" s="350" t="s">
        <v>612</v>
      </c>
      <c r="F35" s="268" t="s">
        <v>613</v>
      </c>
      <c r="G35" s="314">
        <v>45901</v>
      </c>
      <c r="H35" s="261" t="s">
        <v>78</v>
      </c>
      <c r="I35" s="262">
        <v>15</v>
      </c>
      <c r="J35" s="262">
        <f t="shared" si="79"/>
        <v>555.29999999999995</v>
      </c>
      <c r="K35" s="264">
        <v>8329.5</v>
      </c>
      <c r="L35" s="265">
        <v>0</v>
      </c>
      <c r="M35" s="266">
        <f t="shared" si="80"/>
        <v>8329.5</v>
      </c>
      <c r="N35" s="288">
        <f t="shared" si="81"/>
        <v>0</v>
      </c>
      <c r="O35" s="304">
        <f t="shared" si="82"/>
        <v>16881.12</v>
      </c>
      <c r="P35" s="304">
        <f t="shared" si="83"/>
        <v>14644.65</v>
      </c>
      <c r="Q35" s="288">
        <f t="shared" si="84"/>
        <v>2236.4699999999993</v>
      </c>
      <c r="R35" s="289">
        <f t="shared" si="85"/>
        <v>0.1792</v>
      </c>
      <c r="S35" s="288">
        <f t="shared" si="86"/>
        <v>400.77542399999987</v>
      </c>
      <c r="T35" s="290">
        <f t="shared" si="87"/>
        <v>1339.14</v>
      </c>
      <c r="U35" s="288">
        <f t="shared" si="88"/>
        <v>1739.915424</v>
      </c>
      <c r="V35" s="288">
        <f t="shared" si="89"/>
        <v>0</v>
      </c>
      <c r="W35" s="288">
        <f t="shared" si="90"/>
        <v>858.51</v>
      </c>
      <c r="X35" s="266">
        <f t="shared" si="91"/>
        <v>0</v>
      </c>
      <c r="Y35" s="266">
        <f t="shared" si="92"/>
        <v>858.51</v>
      </c>
      <c r="Z35" s="267">
        <v>0</v>
      </c>
      <c r="AA35" s="266">
        <f t="shared" si="93"/>
        <v>858.51</v>
      </c>
      <c r="AB35" s="266">
        <f t="shared" si="94"/>
        <v>7470.99</v>
      </c>
      <c r="AC35" s="323"/>
      <c r="AD35" s="324"/>
    </row>
    <row r="36" spans="1:30" s="367" customFormat="1" ht="195" customHeight="1" x14ac:dyDescent="0.2">
      <c r="A36" s="362"/>
      <c r="B36" s="273" t="s">
        <v>614</v>
      </c>
      <c r="C36" s="273" t="s">
        <v>108</v>
      </c>
      <c r="D36" s="368" t="s">
        <v>615</v>
      </c>
      <c r="E36" s="350" t="s">
        <v>617</v>
      </c>
      <c r="F36" s="268" t="s">
        <v>616</v>
      </c>
      <c r="G36" s="314">
        <v>45916</v>
      </c>
      <c r="H36" s="261" t="s">
        <v>78</v>
      </c>
      <c r="I36" s="262">
        <v>15</v>
      </c>
      <c r="J36" s="262">
        <f t="shared" si="79"/>
        <v>555.29999999999995</v>
      </c>
      <c r="K36" s="264">
        <v>8329.5</v>
      </c>
      <c r="L36" s="265">
        <v>0</v>
      </c>
      <c r="M36" s="266">
        <f t="shared" si="80"/>
        <v>8329.5</v>
      </c>
      <c r="N36" s="288">
        <f t="shared" si="81"/>
        <v>0</v>
      </c>
      <c r="O36" s="304">
        <f t="shared" si="82"/>
        <v>16881.12</v>
      </c>
      <c r="P36" s="304">
        <f t="shared" si="83"/>
        <v>14644.65</v>
      </c>
      <c r="Q36" s="288">
        <f t="shared" si="84"/>
        <v>2236.4699999999993</v>
      </c>
      <c r="R36" s="289">
        <f t="shared" si="85"/>
        <v>0.1792</v>
      </c>
      <c r="S36" s="288">
        <f t="shared" si="86"/>
        <v>400.77542399999987</v>
      </c>
      <c r="T36" s="290">
        <f t="shared" si="87"/>
        <v>1339.14</v>
      </c>
      <c r="U36" s="288">
        <f t="shared" si="88"/>
        <v>1739.915424</v>
      </c>
      <c r="V36" s="288">
        <f t="shared" si="89"/>
        <v>0</v>
      </c>
      <c r="W36" s="288">
        <f t="shared" si="90"/>
        <v>858.51</v>
      </c>
      <c r="X36" s="266">
        <f t="shared" si="91"/>
        <v>0</v>
      </c>
      <c r="Y36" s="266">
        <f t="shared" si="92"/>
        <v>858.51</v>
      </c>
      <c r="Z36" s="267">
        <v>0</v>
      </c>
      <c r="AA36" s="266">
        <f t="shared" si="93"/>
        <v>858.51</v>
      </c>
      <c r="AB36" s="266">
        <f t="shared" si="94"/>
        <v>7470.99</v>
      </c>
      <c r="AC36" s="323"/>
      <c r="AD36" s="324"/>
    </row>
    <row r="37" spans="1:30" s="367" customFormat="1" ht="195" customHeight="1" x14ac:dyDescent="0.2">
      <c r="A37" s="362"/>
      <c r="B37" s="273" t="s">
        <v>650</v>
      </c>
      <c r="C37" s="273" t="s">
        <v>108</v>
      </c>
      <c r="D37" s="368" t="s">
        <v>651</v>
      </c>
      <c r="E37" s="350" t="s">
        <v>652</v>
      </c>
      <c r="F37" s="268" t="s">
        <v>653</v>
      </c>
      <c r="G37" s="314">
        <v>46023</v>
      </c>
      <c r="H37" s="261" t="s">
        <v>78</v>
      </c>
      <c r="I37" s="262">
        <v>15</v>
      </c>
      <c r="J37" s="262">
        <f t="shared" ref="J37" si="111">K37/I37</f>
        <v>555.29999999999995</v>
      </c>
      <c r="K37" s="264">
        <v>8329.5</v>
      </c>
      <c r="L37" s="265">
        <v>0</v>
      </c>
      <c r="M37" s="266">
        <f t="shared" ref="M37" si="112">SUM(K37:L37)</f>
        <v>8329.5</v>
      </c>
      <c r="N37" s="288">
        <f t="shared" ref="N37" si="113">IF(K37/15&lt;=SMG,0,L37/2)</f>
        <v>0</v>
      </c>
      <c r="O37" s="304">
        <f t="shared" ref="O37" si="114">(K37+N37)/I37*30.4</f>
        <v>16881.12</v>
      </c>
      <c r="P37" s="304">
        <f t="shared" ref="P37" si="115">VLOOKUP(O37,Tarifa,1)</f>
        <v>14644.65</v>
      </c>
      <c r="Q37" s="288">
        <f t="shared" ref="Q37" si="116">O37-P37</f>
        <v>2236.4699999999993</v>
      </c>
      <c r="R37" s="289">
        <f t="shared" ref="R37" si="117">VLOOKUP(O37,Tarifa,3)</f>
        <v>0.1792</v>
      </c>
      <c r="S37" s="288">
        <f t="shared" ref="S37" si="118">Q37*R37</f>
        <v>400.77542399999987</v>
      </c>
      <c r="T37" s="290">
        <f t="shared" ref="T37" si="119">VLOOKUP(O37,Tarifa,2)</f>
        <v>1339.14</v>
      </c>
      <c r="U37" s="288">
        <f t="shared" ref="U37" si="120">S37+T37</f>
        <v>1739.915424</v>
      </c>
      <c r="V37" s="288">
        <f t="shared" ref="V37" si="121">VLOOKUP(O37,Credito,2)</f>
        <v>0</v>
      </c>
      <c r="W37" s="288">
        <f t="shared" ref="W37" si="122">ROUND((U37-V37)/30.4*I37,2)</f>
        <v>858.51</v>
      </c>
      <c r="X37" s="266">
        <f t="shared" ref="X37" si="123">-IF(W37&gt;0,0,0)</f>
        <v>0</v>
      </c>
      <c r="Y37" s="266">
        <f t="shared" ref="Y37" si="124">IF(K37/15&lt;=SMG,0,IF(W37&lt;0,0,W37))</f>
        <v>858.51</v>
      </c>
      <c r="Z37" s="267">
        <v>0</v>
      </c>
      <c r="AA37" s="266">
        <f t="shared" ref="AA37" si="125">SUM(Y37:Z37)</f>
        <v>858.51</v>
      </c>
      <c r="AB37" s="266">
        <f t="shared" ref="AB37" si="126">M37+X37-AA37</f>
        <v>7470.99</v>
      </c>
      <c r="AC37" s="323"/>
      <c r="AD37" s="324"/>
    </row>
    <row r="38" spans="1:30" ht="29.25" customHeight="1" thickBot="1" x14ac:dyDescent="0.35">
      <c r="A38" s="445" t="s">
        <v>44</v>
      </c>
      <c r="B38" s="446"/>
      <c r="C38" s="446"/>
      <c r="D38" s="446"/>
      <c r="E38" s="446"/>
      <c r="F38" s="446"/>
      <c r="G38" s="446"/>
      <c r="H38" s="446"/>
      <c r="I38" s="446"/>
      <c r="J38" s="364"/>
      <c r="K38" s="198">
        <f>SUM(K9:K37)</f>
        <v>186823.5</v>
      </c>
      <c r="L38" s="198">
        <f>SUM(L9:L37)</f>
        <v>0</v>
      </c>
      <c r="M38" s="198">
        <f>SUM(M9:M37)</f>
        <v>186823.5</v>
      </c>
      <c r="N38" s="199">
        <f t="shared" ref="N38:W38" si="127">SUM(N9:N15)</f>
        <v>0</v>
      </c>
      <c r="O38" s="199">
        <f t="shared" si="127"/>
        <v>142293.27999999997</v>
      </c>
      <c r="P38" s="199">
        <f t="shared" si="127"/>
        <v>116957.54999999999</v>
      </c>
      <c r="Q38" s="199">
        <f t="shared" si="127"/>
        <v>25335.729999999996</v>
      </c>
      <c r="R38" s="199">
        <f t="shared" si="127"/>
        <v>1.4264000000000001</v>
      </c>
      <c r="S38" s="199">
        <f t="shared" si="127"/>
        <v>5257.8427919999986</v>
      </c>
      <c r="T38" s="199">
        <f t="shared" si="127"/>
        <v>11962.479999999998</v>
      </c>
      <c r="U38" s="199">
        <f t="shared" si="127"/>
        <v>17220.322791999999</v>
      </c>
      <c r="V38" s="199">
        <f t="shared" si="127"/>
        <v>0</v>
      </c>
      <c r="W38" s="199">
        <f t="shared" si="127"/>
        <v>8496.869999999999</v>
      </c>
      <c r="X38" s="198">
        <f>SUM(X9:X37)</f>
        <v>0</v>
      </c>
      <c r="Y38" s="198">
        <f>SUM(Y9:Y37)</f>
        <v>20516.009999999995</v>
      </c>
      <c r="Z38" s="198">
        <f>SUM(Z9:Z37)</f>
        <v>0</v>
      </c>
      <c r="AA38" s="198">
        <f>SUM(AA9:AA37)</f>
        <v>20516.009999999995</v>
      </c>
      <c r="AB38" s="198">
        <f>SUM(AB9:AB37)</f>
        <v>166307.49000000002</v>
      </c>
      <c r="AC38" s="4"/>
      <c r="AD38" s="4"/>
    </row>
    <row r="39" spans="1:30" ht="13.5" thickTop="1" x14ac:dyDescent="0.2"/>
    <row r="56" spans="4:42" ht="6" customHeight="1" x14ac:dyDescent="0.2"/>
    <row r="58" spans="4:42" ht="18" x14ac:dyDescent="0.25">
      <c r="D58" s="203" t="s">
        <v>454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203" t="s">
        <v>631</v>
      </c>
      <c r="AA58" s="108"/>
      <c r="AB58" s="108"/>
      <c r="AC58" s="108"/>
    </row>
    <row r="59" spans="4:42" ht="18" x14ac:dyDescent="0.25">
      <c r="D59" s="203" t="s">
        <v>469</v>
      </c>
      <c r="E59" s="203"/>
      <c r="F59" s="203"/>
      <c r="G59" s="203"/>
      <c r="H59" s="203"/>
      <c r="I59" s="203"/>
      <c r="J59" s="203"/>
      <c r="K59" s="203"/>
      <c r="L59" s="203"/>
      <c r="M59" s="203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203" t="s">
        <v>200</v>
      </c>
      <c r="AA59" s="108"/>
      <c r="AB59" s="203"/>
      <c r="AC59" s="203"/>
      <c r="AD59" s="85"/>
      <c r="AE59" s="85"/>
      <c r="AF59" s="85"/>
      <c r="AG59" s="85"/>
      <c r="AH59" s="85"/>
      <c r="AI59" s="85"/>
      <c r="AJ59" s="85"/>
      <c r="AK59" s="85"/>
      <c r="AL59" s="85"/>
      <c r="AO59" s="85"/>
      <c r="AP59" s="85"/>
    </row>
    <row r="64" spans="4:42" x14ac:dyDescent="0.2">
      <c r="E64" s="4"/>
    </row>
  </sheetData>
  <mergeCells count="15">
    <mergeCell ref="B19:AC19"/>
    <mergeCell ref="A38:I38"/>
    <mergeCell ref="A1:AC1"/>
    <mergeCell ref="A2:AC2"/>
    <mergeCell ref="K5:M5"/>
    <mergeCell ref="P5:U5"/>
    <mergeCell ref="Y5:AA5"/>
    <mergeCell ref="B17:AC17"/>
    <mergeCell ref="B18:AC18"/>
    <mergeCell ref="B20:AC20"/>
    <mergeCell ref="B8:D8"/>
    <mergeCell ref="B3:AC3"/>
    <mergeCell ref="B29:AC29"/>
    <mergeCell ref="B30:AC30"/>
    <mergeCell ref="B31:AC31"/>
  </mergeCells>
  <pageMargins left="0.35433070866141736" right="0.15748031496062992" top="0.19685039370078741" bottom="7.874015748031496E-2" header="0.31496062992125984" footer="0.31496062992125984"/>
  <pageSetup scale="34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5"/>
  <sheetViews>
    <sheetView topLeftCell="B1" zoomScale="73" zoomScaleNormal="73" workbookViewId="0">
      <selection activeCell="Z11" sqref="Z11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6.140625" style="67" customWidth="1"/>
    <col min="5" max="5" width="24.28515625" style="67" customWidth="1"/>
    <col min="6" max="6" width="33.28515625" style="67" customWidth="1"/>
    <col min="7" max="7" width="16.1406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7" style="67" customWidth="1"/>
    <col min="27" max="27" width="15" style="67" customWidth="1"/>
    <col min="28" max="28" width="19.7109375" style="67" customWidth="1"/>
    <col min="29" max="29" width="61.42578125" style="67" customWidth="1"/>
    <col min="30" max="16384" width="11.42578125" style="67"/>
  </cols>
  <sheetData>
    <row r="1" spans="1:29" ht="18" x14ac:dyDescent="0.25">
      <c r="A1" s="459" t="s">
        <v>75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59"/>
      <c r="AB1" s="459"/>
      <c r="AC1" s="459"/>
    </row>
    <row r="2" spans="1:29" ht="18" x14ac:dyDescent="0.25">
      <c r="A2" s="459" t="s">
        <v>64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  <c r="X2" s="459"/>
      <c r="Y2" s="459"/>
      <c r="Z2" s="459"/>
      <c r="AA2" s="459"/>
      <c r="AB2" s="459"/>
      <c r="AC2" s="459"/>
    </row>
    <row r="3" spans="1:29" ht="19.5" x14ac:dyDescent="0.25">
      <c r="A3" s="449" t="str">
        <f>CHOFERES!A3</f>
        <v>SUELDO  DEL 01 AL 15 DE ENERO DE 2026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08" t="s">
        <v>1</v>
      </c>
      <c r="L5" s="509"/>
      <c r="M5" s="510"/>
      <c r="N5" s="70" t="s">
        <v>25</v>
      </c>
      <c r="O5" s="71"/>
      <c r="P5" s="511" t="s">
        <v>8</v>
      </c>
      <c r="Q5" s="512"/>
      <c r="R5" s="512"/>
      <c r="S5" s="512"/>
      <c r="T5" s="512"/>
      <c r="U5" s="513"/>
      <c r="V5" s="70" t="s">
        <v>29</v>
      </c>
      <c r="W5" s="70" t="s">
        <v>9</v>
      </c>
      <c r="X5" s="69" t="s">
        <v>52</v>
      </c>
      <c r="Y5" s="514" t="s">
        <v>2</v>
      </c>
      <c r="Z5" s="515"/>
      <c r="AA5" s="516"/>
      <c r="AB5" s="69" t="s">
        <v>0</v>
      </c>
      <c r="AC5" s="72"/>
    </row>
    <row r="6" spans="1:29" ht="22.5" x14ac:dyDescent="0.2">
      <c r="A6" s="73" t="s">
        <v>20</v>
      </c>
      <c r="B6" s="74" t="s">
        <v>93</v>
      </c>
      <c r="C6" s="74" t="s">
        <v>109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249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118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125</v>
      </c>
      <c r="E8" s="36" t="s">
        <v>94</v>
      </c>
      <c r="F8" s="36" t="s">
        <v>206</v>
      </c>
      <c r="G8" s="98" t="s">
        <v>254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270" customFormat="1" ht="117" customHeight="1" x14ac:dyDescent="0.2">
      <c r="A9" s="255"/>
      <c r="B9" s="257" t="s">
        <v>497</v>
      </c>
      <c r="C9" s="257" t="s">
        <v>108</v>
      </c>
      <c r="D9" s="365" t="s">
        <v>493</v>
      </c>
      <c r="E9" s="350" t="s">
        <v>494</v>
      </c>
      <c r="F9" s="350" t="s">
        <v>495</v>
      </c>
      <c r="G9" s="370">
        <v>45658</v>
      </c>
      <c r="H9" s="369" t="s">
        <v>460</v>
      </c>
      <c r="I9" s="341">
        <v>15</v>
      </c>
      <c r="J9" s="341">
        <f t="shared" ref="J9:J16" si="0">K9/I9</f>
        <v>797.83333333333337</v>
      </c>
      <c r="K9" s="264">
        <v>11967.5</v>
      </c>
      <c r="L9" s="265">
        <v>0</v>
      </c>
      <c r="M9" s="266">
        <f t="shared" ref="M9:M10" si="1">SUM(K9:L9)</f>
        <v>11967.5</v>
      </c>
      <c r="N9" s="379">
        <f t="shared" ref="N9:N16" si="2">IF(K9/15&lt;=SMG,0,L9/2)</f>
        <v>0</v>
      </c>
      <c r="O9" s="379">
        <f t="shared" ref="O9:O16" si="3">(K9+N9)/I9*30.4</f>
        <v>24254.133333333335</v>
      </c>
      <c r="P9" s="379">
        <f t="shared" ref="P9:P16" si="4">VLOOKUP(O9,Tarifa,1)</f>
        <v>17533.650000000001</v>
      </c>
      <c r="Q9" s="379">
        <f t="shared" ref="Q9:Q16" si="5">O9-P9</f>
        <v>6720.4833333333336</v>
      </c>
      <c r="R9" s="380">
        <f t="shared" ref="R9:R16" si="6">VLOOKUP(O9,Tarifa,3)</f>
        <v>0.21360000000000001</v>
      </c>
      <c r="S9" s="379">
        <f t="shared" ref="S9:S16" si="7">Q9*R9</f>
        <v>1435.4952400000002</v>
      </c>
      <c r="T9" s="381">
        <f t="shared" ref="T9:T16" si="8">VLOOKUP(O9,Tarifa,2)</f>
        <v>1856.84</v>
      </c>
      <c r="U9" s="379">
        <f t="shared" ref="U9:U16" si="9">S9+T9</f>
        <v>3292.3352400000003</v>
      </c>
      <c r="V9" s="379">
        <f t="shared" ref="V9:V16" si="10">VLOOKUP(O9,Credito,2)</f>
        <v>0</v>
      </c>
      <c r="W9" s="379">
        <f t="shared" ref="W9:W16" si="11">ROUND((U9-V9)/30.4*I9,2)</f>
        <v>1624.51</v>
      </c>
      <c r="X9" s="266">
        <f>-IF(W9&gt;0,0,0)</f>
        <v>0</v>
      </c>
      <c r="Y9" s="266">
        <f t="shared" ref="Y9:Y10" si="12">IF(K9/15&lt;=SMG,0,IF(W9&lt;0,0,W9))</f>
        <v>1624.51</v>
      </c>
      <c r="Z9" s="267">
        <v>0</v>
      </c>
      <c r="AA9" s="266">
        <f t="shared" ref="AA9:AA10" si="13">SUM(Y9:Z9)</f>
        <v>1624.51</v>
      </c>
      <c r="AB9" s="266">
        <f t="shared" ref="AB9:AB10" si="14">M9+X9-AA9</f>
        <v>10342.99</v>
      </c>
      <c r="AC9" s="268"/>
    </row>
    <row r="10" spans="1:29" s="270" customFormat="1" ht="117" customHeight="1" x14ac:dyDescent="0.2">
      <c r="A10" s="255"/>
      <c r="B10" s="257" t="s">
        <v>594</v>
      </c>
      <c r="C10" s="257" t="s">
        <v>108</v>
      </c>
      <c r="D10" s="365" t="s">
        <v>595</v>
      </c>
      <c r="E10" s="350" t="s">
        <v>596</v>
      </c>
      <c r="F10" s="350" t="s">
        <v>597</v>
      </c>
      <c r="G10" s="370">
        <v>45885</v>
      </c>
      <c r="H10" s="369" t="s">
        <v>460</v>
      </c>
      <c r="I10" s="341">
        <v>15</v>
      </c>
      <c r="J10" s="341">
        <f t="shared" ref="J10" si="15">K10/I10</f>
        <v>695.5</v>
      </c>
      <c r="K10" s="264">
        <v>10432.5</v>
      </c>
      <c r="L10" s="265">
        <v>0</v>
      </c>
      <c r="M10" s="266">
        <f t="shared" si="1"/>
        <v>10432.5</v>
      </c>
      <c r="N10" s="379">
        <f t="shared" ref="N10" si="16">IF(K10/15&lt;=SMG,0,L10/2)</f>
        <v>0</v>
      </c>
      <c r="O10" s="379">
        <f t="shared" ref="O10" si="17">(K10+N10)/I10*30.4</f>
        <v>21143.200000000001</v>
      </c>
      <c r="P10" s="379">
        <f t="shared" ref="P10" si="18">VLOOKUP(O10,Tarifa,1)</f>
        <v>17533.650000000001</v>
      </c>
      <c r="Q10" s="379">
        <f t="shared" ref="Q10" si="19">O10-P10</f>
        <v>3609.5499999999993</v>
      </c>
      <c r="R10" s="380">
        <f t="shared" ref="R10" si="20">VLOOKUP(O10,Tarifa,3)</f>
        <v>0.21360000000000001</v>
      </c>
      <c r="S10" s="379">
        <f t="shared" ref="S10" si="21">Q10*R10</f>
        <v>770.99987999999985</v>
      </c>
      <c r="T10" s="381">
        <f t="shared" ref="T10" si="22">VLOOKUP(O10,Tarifa,2)</f>
        <v>1856.84</v>
      </c>
      <c r="U10" s="379">
        <f t="shared" ref="U10" si="23">S10+T10</f>
        <v>2627.8398799999995</v>
      </c>
      <c r="V10" s="379">
        <f t="shared" ref="V10" si="24">VLOOKUP(O10,Credito,2)</f>
        <v>0</v>
      </c>
      <c r="W10" s="379">
        <f t="shared" ref="W10" si="25">ROUND((U10-V10)/30.4*I10,2)</f>
        <v>1296.6300000000001</v>
      </c>
      <c r="X10" s="266">
        <f>-IF(W10&gt;0,0,0)</f>
        <v>0</v>
      </c>
      <c r="Y10" s="266">
        <f t="shared" si="12"/>
        <v>1296.6300000000001</v>
      </c>
      <c r="Z10" s="267">
        <v>0</v>
      </c>
      <c r="AA10" s="266">
        <f t="shared" si="13"/>
        <v>1296.6300000000001</v>
      </c>
      <c r="AB10" s="266">
        <f t="shared" si="14"/>
        <v>9135.869999999999</v>
      </c>
      <c r="AC10" s="268"/>
    </row>
    <row r="11" spans="1:29" s="270" customFormat="1" ht="117" customHeight="1" x14ac:dyDescent="0.2">
      <c r="A11" s="255"/>
      <c r="B11" s="257" t="s">
        <v>172</v>
      </c>
      <c r="C11" s="257" t="s">
        <v>108</v>
      </c>
      <c r="D11" s="365" t="s">
        <v>170</v>
      </c>
      <c r="E11" s="350" t="s">
        <v>171</v>
      </c>
      <c r="F11" s="350" t="s">
        <v>229</v>
      </c>
      <c r="G11" s="370">
        <v>43998</v>
      </c>
      <c r="H11" s="259" t="s">
        <v>123</v>
      </c>
      <c r="I11" s="341">
        <v>15</v>
      </c>
      <c r="J11" s="341">
        <f t="shared" si="0"/>
        <v>420.13333333333333</v>
      </c>
      <c r="K11" s="264">
        <v>6302</v>
      </c>
      <c r="L11" s="265">
        <v>0</v>
      </c>
      <c r="M11" s="266">
        <f t="shared" ref="M11" si="26">SUM(K11:L11)</f>
        <v>6302</v>
      </c>
      <c r="N11" s="379">
        <f t="shared" si="2"/>
        <v>0</v>
      </c>
      <c r="O11" s="379">
        <f t="shared" si="3"/>
        <v>12772.053333333333</v>
      </c>
      <c r="P11" s="379">
        <f t="shared" si="4"/>
        <v>12598.03</v>
      </c>
      <c r="Q11" s="379">
        <f t="shared" si="5"/>
        <v>174.02333333333263</v>
      </c>
      <c r="R11" s="380">
        <f t="shared" si="6"/>
        <v>0.16</v>
      </c>
      <c r="S11" s="379">
        <f t="shared" si="7"/>
        <v>27.843733333333223</v>
      </c>
      <c r="T11" s="381">
        <f t="shared" si="8"/>
        <v>1011.68</v>
      </c>
      <c r="U11" s="379">
        <f t="shared" si="9"/>
        <v>1039.5237333333332</v>
      </c>
      <c r="V11" s="379">
        <f t="shared" si="10"/>
        <v>0</v>
      </c>
      <c r="W11" s="379">
        <f t="shared" si="11"/>
        <v>512.91999999999996</v>
      </c>
      <c r="X11" s="266">
        <f t="shared" ref="X11" si="27">-IF(W11&gt;0,0,0)</f>
        <v>0</v>
      </c>
      <c r="Y11" s="266">
        <f t="shared" ref="Y11" si="28">IF(K11/15&lt;=SMG,0,IF(W11&lt;0,0,W11))</f>
        <v>512.91999999999996</v>
      </c>
      <c r="Z11" s="267">
        <v>0</v>
      </c>
      <c r="AA11" s="266">
        <f t="shared" ref="AA11" si="29">SUM(Y11:Z11)</f>
        <v>512.91999999999996</v>
      </c>
      <c r="AB11" s="266">
        <f t="shared" ref="AB11" si="30">M11+X11-AA11</f>
        <v>5789.08</v>
      </c>
      <c r="AC11" s="278"/>
    </row>
    <row r="12" spans="1:29" s="270" customFormat="1" ht="117" customHeight="1" x14ac:dyDescent="0.2">
      <c r="A12" s="255"/>
      <c r="B12" s="257" t="s">
        <v>359</v>
      </c>
      <c r="C12" s="257" t="s">
        <v>108</v>
      </c>
      <c r="D12" s="365" t="s">
        <v>360</v>
      </c>
      <c r="E12" s="350" t="s">
        <v>361</v>
      </c>
      <c r="F12" s="350" t="s">
        <v>362</v>
      </c>
      <c r="G12" s="370">
        <v>45481</v>
      </c>
      <c r="H12" s="259" t="s">
        <v>123</v>
      </c>
      <c r="I12" s="341">
        <v>15</v>
      </c>
      <c r="J12" s="341">
        <f t="shared" si="0"/>
        <v>420.13333333333333</v>
      </c>
      <c r="K12" s="264">
        <v>6302</v>
      </c>
      <c r="L12" s="265">
        <v>0</v>
      </c>
      <c r="M12" s="266">
        <f t="shared" ref="M12:M14" si="31">SUM(K12:L12)</f>
        <v>6302</v>
      </c>
      <c r="N12" s="379">
        <f t="shared" si="2"/>
        <v>0</v>
      </c>
      <c r="O12" s="379">
        <f t="shared" si="3"/>
        <v>12772.053333333333</v>
      </c>
      <c r="P12" s="379">
        <f t="shared" si="4"/>
        <v>12598.03</v>
      </c>
      <c r="Q12" s="379">
        <f t="shared" si="5"/>
        <v>174.02333333333263</v>
      </c>
      <c r="R12" s="380">
        <f t="shared" si="6"/>
        <v>0.16</v>
      </c>
      <c r="S12" s="379">
        <f t="shared" si="7"/>
        <v>27.843733333333223</v>
      </c>
      <c r="T12" s="381">
        <f t="shared" si="8"/>
        <v>1011.68</v>
      </c>
      <c r="U12" s="379">
        <f t="shared" si="9"/>
        <v>1039.5237333333332</v>
      </c>
      <c r="V12" s="379">
        <f t="shared" si="10"/>
        <v>0</v>
      </c>
      <c r="W12" s="379">
        <f t="shared" si="11"/>
        <v>512.91999999999996</v>
      </c>
      <c r="X12" s="266">
        <f t="shared" ref="X12:X14" si="32">-IF(W12&gt;0,0,0)</f>
        <v>0</v>
      </c>
      <c r="Y12" s="266">
        <f t="shared" ref="Y12:Y14" si="33">IF(K12/15&lt;=SMG,0,IF(W12&lt;0,0,W12))</f>
        <v>512.91999999999996</v>
      </c>
      <c r="Z12" s="267">
        <v>0</v>
      </c>
      <c r="AA12" s="266">
        <f t="shared" ref="AA12:AA14" si="34">SUM(Y12:Z12)</f>
        <v>512.91999999999996</v>
      </c>
      <c r="AB12" s="266">
        <f t="shared" ref="AB12:AB14" si="35">M12+X12-AA12</f>
        <v>5789.08</v>
      </c>
      <c r="AC12" s="278"/>
    </row>
    <row r="13" spans="1:29" s="270" customFormat="1" ht="117" customHeight="1" x14ac:dyDescent="0.2">
      <c r="A13" s="255"/>
      <c r="B13" s="257" t="s">
        <v>575</v>
      </c>
      <c r="C13" s="257" t="s">
        <v>108</v>
      </c>
      <c r="D13" s="365" t="s">
        <v>576</v>
      </c>
      <c r="E13" s="350" t="s">
        <v>577</v>
      </c>
      <c r="F13" s="350" t="s">
        <v>578</v>
      </c>
      <c r="G13" s="370">
        <v>45854</v>
      </c>
      <c r="H13" s="259" t="s">
        <v>123</v>
      </c>
      <c r="I13" s="341">
        <v>15</v>
      </c>
      <c r="J13" s="341">
        <f t="shared" ref="J13" si="36">K13/I13</f>
        <v>420.13333333333333</v>
      </c>
      <c r="K13" s="264">
        <v>6302</v>
      </c>
      <c r="L13" s="265">
        <v>0</v>
      </c>
      <c r="M13" s="266">
        <f t="shared" ref="M13" si="37">SUM(K13:L13)</f>
        <v>6302</v>
      </c>
      <c r="N13" s="379">
        <f t="shared" ref="N13" si="38">IF(K13/15&lt;=SMG,0,L13/2)</f>
        <v>0</v>
      </c>
      <c r="O13" s="379">
        <f t="shared" ref="O13" si="39">(K13+N13)/I13*30.4</f>
        <v>12772.053333333333</v>
      </c>
      <c r="P13" s="379">
        <f t="shared" ref="P13" si="40">VLOOKUP(O13,Tarifa,1)</f>
        <v>12598.03</v>
      </c>
      <c r="Q13" s="379">
        <f t="shared" ref="Q13" si="41">O13-P13</f>
        <v>174.02333333333263</v>
      </c>
      <c r="R13" s="380">
        <f t="shared" ref="R13" si="42">VLOOKUP(O13,Tarifa,3)</f>
        <v>0.16</v>
      </c>
      <c r="S13" s="379">
        <f t="shared" ref="S13" si="43">Q13*R13</f>
        <v>27.843733333333223</v>
      </c>
      <c r="T13" s="381">
        <f t="shared" ref="T13" si="44">VLOOKUP(O13,Tarifa,2)</f>
        <v>1011.68</v>
      </c>
      <c r="U13" s="379">
        <f t="shared" ref="U13" si="45">S13+T13</f>
        <v>1039.5237333333332</v>
      </c>
      <c r="V13" s="379">
        <f t="shared" ref="V13" si="46">VLOOKUP(O13,Credito,2)</f>
        <v>0</v>
      </c>
      <c r="W13" s="379">
        <f t="shared" ref="W13" si="47">ROUND((U13-V13)/30.4*I13,2)</f>
        <v>512.91999999999996</v>
      </c>
      <c r="X13" s="266">
        <f t="shared" ref="X13" si="48">-IF(W13&gt;0,0,0)</f>
        <v>0</v>
      </c>
      <c r="Y13" s="266">
        <f t="shared" ref="Y13" si="49">IF(K13/15&lt;=SMG,0,IF(W13&lt;0,0,W13))</f>
        <v>512.91999999999996</v>
      </c>
      <c r="Z13" s="267">
        <v>0</v>
      </c>
      <c r="AA13" s="266">
        <f t="shared" ref="AA13" si="50">SUM(Y13:Z13)</f>
        <v>512.91999999999996</v>
      </c>
      <c r="AB13" s="266">
        <f t="shared" ref="AB13" si="51">M13+X13-AA13</f>
        <v>5789.08</v>
      </c>
      <c r="AC13" s="278"/>
    </row>
    <row r="14" spans="1:29" s="270" customFormat="1" ht="117" customHeight="1" x14ac:dyDescent="0.2">
      <c r="A14" s="255"/>
      <c r="B14" s="257" t="s">
        <v>126</v>
      </c>
      <c r="C14" s="257" t="s">
        <v>108</v>
      </c>
      <c r="D14" s="365" t="s">
        <v>122</v>
      </c>
      <c r="E14" s="350" t="s">
        <v>127</v>
      </c>
      <c r="F14" s="350" t="s">
        <v>214</v>
      </c>
      <c r="G14" s="370">
        <v>43101</v>
      </c>
      <c r="H14" s="276" t="s">
        <v>124</v>
      </c>
      <c r="I14" s="341">
        <v>15</v>
      </c>
      <c r="J14" s="341">
        <f t="shared" si="0"/>
        <v>377.73333333333335</v>
      </c>
      <c r="K14" s="264">
        <v>5666</v>
      </c>
      <c r="L14" s="265">
        <v>0</v>
      </c>
      <c r="M14" s="266">
        <f t="shared" si="31"/>
        <v>5666</v>
      </c>
      <c r="N14" s="379">
        <f t="shared" si="2"/>
        <v>0</v>
      </c>
      <c r="O14" s="379">
        <f t="shared" si="3"/>
        <v>11483.093333333334</v>
      </c>
      <c r="P14" s="379">
        <f t="shared" si="4"/>
        <v>7168.52</v>
      </c>
      <c r="Q14" s="379">
        <f t="shared" si="5"/>
        <v>4314.5733333333337</v>
      </c>
      <c r="R14" s="380">
        <f t="shared" si="6"/>
        <v>0.10879999999999999</v>
      </c>
      <c r="S14" s="379">
        <f t="shared" si="7"/>
        <v>469.42557866666669</v>
      </c>
      <c r="T14" s="381">
        <f t="shared" si="8"/>
        <v>420.95</v>
      </c>
      <c r="U14" s="379">
        <f t="shared" si="9"/>
        <v>890.37557866666668</v>
      </c>
      <c r="V14" s="379">
        <f t="shared" si="10"/>
        <v>536.21</v>
      </c>
      <c r="W14" s="379">
        <f t="shared" si="11"/>
        <v>174.75</v>
      </c>
      <c r="X14" s="266">
        <f t="shared" si="32"/>
        <v>0</v>
      </c>
      <c r="Y14" s="266">
        <f t="shared" si="33"/>
        <v>174.75</v>
      </c>
      <c r="Z14" s="267">
        <v>0</v>
      </c>
      <c r="AA14" s="266">
        <f t="shared" si="34"/>
        <v>174.75</v>
      </c>
      <c r="AB14" s="266">
        <f t="shared" si="35"/>
        <v>5491.25</v>
      </c>
      <c r="AC14" s="278"/>
    </row>
    <row r="15" spans="1:29" s="270" customFormat="1" ht="117" customHeight="1" x14ac:dyDescent="0.2">
      <c r="A15" s="255"/>
      <c r="B15" s="371">
        <v>328</v>
      </c>
      <c r="C15" s="257" t="s">
        <v>108</v>
      </c>
      <c r="D15" s="252" t="s">
        <v>363</v>
      </c>
      <c r="E15" s="145" t="s">
        <v>364</v>
      </c>
      <c r="F15" s="145" t="s">
        <v>365</v>
      </c>
      <c r="G15" s="370">
        <v>45505</v>
      </c>
      <c r="H15" s="276" t="s">
        <v>124</v>
      </c>
      <c r="I15" s="341">
        <v>15</v>
      </c>
      <c r="J15" s="341">
        <f t="shared" si="0"/>
        <v>377.73333333333335</v>
      </c>
      <c r="K15" s="264">
        <v>5666</v>
      </c>
      <c r="L15" s="265">
        <v>0</v>
      </c>
      <c r="M15" s="266">
        <f t="shared" ref="M15" si="52">SUM(K15:L15)</f>
        <v>5666</v>
      </c>
      <c r="N15" s="379">
        <f t="shared" si="2"/>
        <v>0</v>
      </c>
      <c r="O15" s="379">
        <f t="shared" si="3"/>
        <v>11483.093333333334</v>
      </c>
      <c r="P15" s="379">
        <f t="shared" si="4"/>
        <v>7168.52</v>
      </c>
      <c r="Q15" s="379">
        <f t="shared" si="5"/>
        <v>4314.5733333333337</v>
      </c>
      <c r="R15" s="380">
        <f t="shared" si="6"/>
        <v>0.10879999999999999</v>
      </c>
      <c r="S15" s="379">
        <f t="shared" si="7"/>
        <v>469.42557866666669</v>
      </c>
      <c r="T15" s="381">
        <f t="shared" si="8"/>
        <v>420.95</v>
      </c>
      <c r="U15" s="379">
        <f t="shared" si="9"/>
        <v>890.37557866666668</v>
      </c>
      <c r="V15" s="379">
        <f t="shared" si="10"/>
        <v>536.21</v>
      </c>
      <c r="W15" s="379">
        <f t="shared" si="11"/>
        <v>174.75</v>
      </c>
      <c r="X15" s="266">
        <f t="shared" ref="X15" si="53">-IF(W15&gt;0,0,0)</f>
        <v>0</v>
      </c>
      <c r="Y15" s="266">
        <f t="shared" ref="Y15:Y16" si="54">IF(K15/15&lt;=SMG,0,IF(W15&lt;0,0,W15))</f>
        <v>174.75</v>
      </c>
      <c r="Z15" s="267">
        <v>0</v>
      </c>
      <c r="AA15" s="266">
        <f t="shared" ref="AA15" si="55">SUM(Y15:Z15)</f>
        <v>174.75</v>
      </c>
      <c r="AB15" s="266">
        <f t="shared" ref="AB15" si="56">M15+X15-AA15</f>
        <v>5491.25</v>
      </c>
      <c r="AC15" s="278"/>
    </row>
    <row r="16" spans="1:29" s="270" customFormat="1" ht="117" customHeight="1" x14ac:dyDescent="0.2">
      <c r="A16" s="255"/>
      <c r="B16" s="371">
        <v>406</v>
      </c>
      <c r="C16" s="257" t="s">
        <v>452</v>
      </c>
      <c r="D16" s="252" t="s">
        <v>506</v>
      </c>
      <c r="E16" s="145" t="s">
        <v>507</v>
      </c>
      <c r="F16" s="145" t="s">
        <v>508</v>
      </c>
      <c r="G16" s="370">
        <v>45689</v>
      </c>
      <c r="H16" s="276" t="s">
        <v>509</v>
      </c>
      <c r="I16" s="341">
        <v>15</v>
      </c>
      <c r="J16" s="341">
        <f t="shared" si="0"/>
        <v>281.13333333333333</v>
      </c>
      <c r="K16" s="264">
        <v>4217</v>
      </c>
      <c r="L16" s="265">
        <v>0</v>
      </c>
      <c r="M16" s="266">
        <f>SUM(K16:L16)</f>
        <v>4217</v>
      </c>
      <c r="N16" s="379">
        <f t="shared" si="2"/>
        <v>0</v>
      </c>
      <c r="O16" s="379">
        <f t="shared" si="3"/>
        <v>8546.4533333333329</v>
      </c>
      <c r="P16" s="379">
        <f t="shared" si="4"/>
        <v>7168.52</v>
      </c>
      <c r="Q16" s="379">
        <f t="shared" si="5"/>
        <v>1377.9333333333325</v>
      </c>
      <c r="R16" s="380">
        <f t="shared" si="6"/>
        <v>0.10879999999999999</v>
      </c>
      <c r="S16" s="379">
        <f t="shared" si="7"/>
        <v>149.91914666666656</v>
      </c>
      <c r="T16" s="381">
        <f t="shared" si="8"/>
        <v>420.95</v>
      </c>
      <c r="U16" s="379">
        <f t="shared" si="9"/>
        <v>570.86914666666655</v>
      </c>
      <c r="V16" s="379">
        <f t="shared" si="10"/>
        <v>536.21</v>
      </c>
      <c r="W16" s="379">
        <f t="shared" si="11"/>
        <v>17.100000000000001</v>
      </c>
      <c r="X16" s="266">
        <f>-IF(W16&gt;0,0,0)</f>
        <v>0</v>
      </c>
      <c r="Y16" s="266">
        <f t="shared" si="54"/>
        <v>0</v>
      </c>
      <c r="Z16" s="267">
        <v>0</v>
      </c>
      <c r="AA16" s="266">
        <f>SUM(Y16:Z16)</f>
        <v>0</v>
      </c>
      <c r="AB16" s="266">
        <f>M16+X16-AA16</f>
        <v>4217</v>
      </c>
      <c r="AC16" s="278"/>
    </row>
    <row r="17" spans="1:41" ht="40.5" customHeight="1" thickBot="1" x14ac:dyDescent="0.3">
      <c r="A17" s="445" t="s">
        <v>44</v>
      </c>
      <c r="B17" s="446"/>
      <c r="C17" s="446"/>
      <c r="D17" s="446"/>
      <c r="E17" s="446"/>
      <c r="F17" s="446"/>
      <c r="G17" s="446"/>
      <c r="H17" s="446"/>
      <c r="I17" s="446"/>
      <c r="J17" s="447"/>
      <c r="K17" s="136">
        <f>SUM(K9:K16)</f>
        <v>56855</v>
      </c>
      <c r="L17" s="136">
        <f>SUM(L9:L16)</f>
        <v>0</v>
      </c>
      <c r="M17" s="136">
        <f>SUM(M9:M16)</f>
        <v>56855</v>
      </c>
      <c r="N17" s="137">
        <f t="shared" ref="N17:W17" si="57">SUM(N9:N16)</f>
        <v>0</v>
      </c>
      <c r="O17" s="137">
        <f t="shared" si="57"/>
        <v>115226.13333333335</v>
      </c>
      <c r="P17" s="137">
        <f t="shared" si="57"/>
        <v>94366.950000000012</v>
      </c>
      <c r="Q17" s="137">
        <f t="shared" si="57"/>
        <v>20859.183333333334</v>
      </c>
      <c r="R17" s="137">
        <f t="shared" si="57"/>
        <v>1.2336</v>
      </c>
      <c r="S17" s="137">
        <f t="shared" si="57"/>
        <v>3378.7966239999996</v>
      </c>
      <c r="T17" s="137">
        <f t="shared" si="57"/>
        <v>8011.57</v>
      </c>
      <c r="U17" s="137">
        <f t="shared" si="57"/>
        <v>11390.366623999998</v>
      </c>
      <c r="V17" s="137">
        <f t="shared" si="57"/>
        <v>1608.63</v>
      </c>
      <c r="W17" s="137">
        <f t="shared" si="57"/>
        <v>4826.5000000000009</v>
      </c>
      <c r="X17" s="136">
        <f>SUM(X9:X16)</f>
        <v>0</v>
      </c>
      <c r="Y17" s="136">
        <f>SUM(Y9:Y16)</f>
        <v>4809.4000000000005</v>
      </c>
      <c r="Z17" s="136">
        <f>SUM(Z9:Z16)</f>
        <v>0</v>
      </c>
      <c r="AA17" s="136">
        <f>SUM(AA9:AA16)</f>
        <v>4809.4000000000005</v>
      </c>
      <c r="AB17" s="136">
        <f>SUM(AB9:AB16)</f>
        <v>52045.600000000006</v>
      </c>
    </row>
    <row r="18" spans="1:41" ht="18.75" thickTop="1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8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5" x14ac:dyDescent="0.25">
      <c r="D23" s="94" t="s">
        <v>454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4" t="s">
        <v>632</v>
      </c>
      <c r="Z23" s="91"/>
      <c r="AA23" s="91"/>
      <c r="AB23" s="91"/>
    </row>
    <row r="24" spans="1:41" ht="15" x14ac:dyDescent="0.25">
      <c r="D24" s="94" t="s">
        <v>469</v>
      </c>
      <c r="E24" s="94"/>
      <c r="F24" s="94"/>
      <c r="G24" s="94"/>
      <c r="H24" s="94"/>
      <c r="I24" s="94"/>
      <c r="J24" s="94"/>
      <c r="K24" s="94"/>
      <c r="L24" s="94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199</v>
      </c>
      <c r="Z24" s="91"/>
      <c r="AA24" s="94"/>
      <c r="AB24" s="94"/>
      <c r="AC24" s="85"/>
      <c r="AD24" s="85"/>
      <c r="AE24" s="85"/>
      <c r="AF24" s="85"/>
      <c r="AG24" s="85"/>
      <c r="AH24" s="85"/>
      <c r="AI24" s="85"/>
      <c r="AJ24" s="85"/>
      <c r="AK24" s="85"/>
      <c r="AN24" s="85"/>
      <c r="AO24" s="85"/>
    </row>
    <row r="25" spans="1:41" ht="14.25" x14ac:dyDescent="0.2"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</sheetData>
  <mergeCells count="7">
    <mergeCell ref="A17:J17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5:F16" xr:uid="{00000000-0002-0000-0B00-000000000000}"/>
  </dataValidations>
  <pageMargins left="0.27559055118110237" right="0.27559055118110237" top="0.55118110236220474" bottom="0.15748031496062992" header="0.31496062992125984" footer="0.31496062992125984"/>
  <pageSetup scale="41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7"/>
  <sheetViews>
    <sheetView topLeftCell="B1" zoomScale="70" zoomScaleNormal="70" workbookViewId="0">
      <pane ySplit="1" topLeftCell="A23" activePane="bottomLeft" state="frozen"/>
      <selection activeCell="B1" sqref="B1"/>
      <selection pane="bottomLeft" activeCell="D46" sqref="D46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7.5703125" hidden="1" customWidth="1"/>
    <col min="10" max="10" width="9.5703125" hidden="1" customWidth="1"/>
    <col min="11" max="11" width="13.42578125" customWidth="1"/>
    <col min="12" max="12" width="10.28515625" customWidth="1"/>
    <col min="13" max="13" width="14.5703125" customWidth="1"/>
    <col min="14" max="14" width="11.7109375" hidden="1" customWidth="1"/>
    <col min="15" max="16" width="16" hidden="1" customWidth="1"/>
    <col min="17" max="17" width="14.42578125" hidden="1" customWidth="1"/>
    <col min="18" max="18" width="13.42578125" hidden="1" customWidth="1"/>
    <col min="19" max="19" width="12.85546875" hidden="1" customWidth="1"/>
    <col min="20" max="21" width="14.42578125" hidden="1" customWidth="1"/>
    <col min="22" max="22" width="11.140625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48" t="s">
        <v>75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</row>
    <row r="2" spans="1:29" ht="19.5" x14ac:dyDescent="0.25">
      <c r="A2" s="448" t="s">
        <v>64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</row>
    <row r="3" spans="1:29" ht="19.5" x14ac:dyDescent="0.25">
      <c r="A3" s="449" t="s">
        <v>624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4"/>
      <c r="I5" s="115" t="s">
        <v>22</v>
      </c>
      <c r="J5" s="187" t="s">
        <v>5</v>
      </c>
      <c r="K5" s="450" t="s">
        <v>1</v>
      </c>
      <c r="L5" s="451"/>
      <c r="M5" s="452"/>
      <c r="N5" s="116" t="s">
        <v>25</v>
      </c>
      <c r="O5" s="117"/>
      <c r="P5" s="453" t="s">
        <v>8</v>
      </c>
      <c r="Q5" s="454"/>
      <c r="R5" s="454"/>
      <c r="S5" s="454"/>
      <c r="T5" s="454"/>
      <c r="U5" s="455"/>
      <c r="V5" s="116" t="s">
        <v>52</v>
      </c>
      <c r="W5" s="116" t="s">
        <v>9</v>
      </c>
      <c r="X5" s="115" t="s">
        <v>52</v>
      </c>
      <c r="Y5" s="456" t="s">
        <v>2</v>
      </c>
      <c r="Z5" s="457"/>
      <c r="AA5" s="458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93</v>
      </c>
      <c r="C6" s="118" t="s">
        <v>114</v>
      </c>
      <c r="D6" s="119" t="s">
        <v>21</v>
      </c>
      <c r="E6" s="119" t="s">
        <v>94</v>
      </c>
      <c r="F6" s="119" t="s">
        <v>206</v>
      </c>
      <c r="G6" s="118" t="s">
        <v>255</v>
      </c>
      <c r="H6" s="185" t="s">
        <v>61</v>
      </c>
      <c r="I6" s="190" t="s">
        <v>23</v>
      </c>
      <c r="J6" s="188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249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86"/>
      <c r="I7" s="122"/>
      <c r="J7" s="189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182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56"/>
      <c r="B8" s="372" t="s">
        <v>93</v>
      </c>
      <c r="C8" s="372" t="s">
        <v>114</v>
      </c>
      <c r="D8" s="159" t="s">
        <v>62</v>
      </c>
      <c r="E8" s="156" t="s">
        <v>94</v>
      </c>
      <c r="F8" s="156" t="s">
        <v>206</v>
      </c>
      <c r="G8" s="372" t="s">
        <v>255</v>
      </c>
      <c r="H8" s="156" t="s">
        <v>61</v>
      </c>
      <c r="I8" s="156"/>
      <c r="J8" s="156"/>
      <c r="K8" s="160">
        <f>SUM(K9:K11)</f>
        <v>52807.5</v>
      </c>
      <c r="L8" s="160">
        <f>SUM(L9:L11)</f>
        <v>0</v>
      </c>
      <c r="M8" s="160">
        <f>SUM(M9:M11)</f>
        <v>52807.5</v>
      </c>
      <c r="N8" s="156"/>
      <c r="O8" s="156"/>
      <c r="P8" s="156"/>
      <c r="Q8" s="156"/>
      <c r="R8" s="156"/>
      <c r="S8" s="156"/>
      <c r="T8" s="156"/>
      <c r="U8" s="156"/>
      <c r="V8" s="156"/>
      <c r="W8" s="161"/>
      <c r="X8" s="160">
        <f>SUM(X9:X11)</f>
        <v>0</v>
      </c>
      <c r="Y8" s="160">
        <f>SUM(Y9:Y11)</f>
        <v>9050.42</v>
      </c>
      <c r="Z8" s="160">
        <f>SUM(Z9:Z11)</f>
        <v>0</v>
      </c>
      <c r="AA8" s="160">
        <f>SUM(AA9:AA11)</f>
        <v>9050.42</v>
      </c>
      <c r="AB8" s="160">
        <f>SUM(AB9:AB11)</f>
        <v>43757.08</v>
      </c>
      <c r="AC8" s="65"/>
    </row>
    <row r="9" spans="1:29" s="293" customFormat="1" ht="244.5" customHeight="1" x14ac:dyDescent="0.2">
      <c r="A9" s="257" t="s">
        <v>81</v>
      </c>
      <c r="B9" s="256" t="s">
        <v>372</v>
      </c>
      <c r="C9" s="257" t="s">
        <v>108</v>
      </c>
      <c r="D9" s="258" t="s">
        <v>370</v>
      </c>
      <c r="E9" s="259" t="s">
        <v>371</v>
      </c>
      <c r="F9" s="283" t="s">
        <v>373</v>
      </c>
      <c r="G9" s="284">
        <v>45566</v>
      </c>
      <c r="H9" s="276" t="s">
        <v>177</v>
      </c>
      <c r="I9" s="277">
        <v>15</v>
      </c>
      <c r="J9" s="294">
        <f>K9/I9</f>
        <v>2018.2666666666667</v>
      </c>
      <c r="K9" s="285">
        <v>30274</v>
      </c>
      <c r="L9" s="286">
        <v>0</v>
      </c>
      <c r="M9" s="287">
        <f>SUM(K9:L9)</f>
        <v>30274</v>
      </c>
      <c r="N9" s="288">
        <f>IF(K9/15&lt;=SMG,0,L9/2)</f>
        <v>0</v>
      </c>
      <c r="O9" s="304">
        <f>(K9+N9)/I9*30.4</f>
        <v>61355.306666666664</v>
      </c>
      <c r="P9" s="304">
        <f>VLOOKUP(O9,Tarifa,1)</f>
        <v>55736.69</v>
      </c>
      <c r="Q9" s="288">
        <f>O9-P9</f>
        <v>5618.6166666666613</v>
      </c>
      <c r="R9" s="289">
        <f>VLOOKUP(O9,Tarifa,3)</f>
        <v>0.3</v>
      </c>
      <c r="S9" s="288">
        <f>Q9*R9</f>
        <v>1685.5849999999984</v>
      </c>
      <c r="T9" s="290">
        <f>VLOOKUP(O9,Tarifa,2)</f>
        <v>10457.09</v>
      </c>
      <c r="U9" s="288">
        <f>S9+T9</f>
        <v>12142.674999999999</v>
      </c>
      <c r="V9" s="288">
        <f>VLOOKUP(O9,Credito,2)</f>
        <v>0</v>
      </c>
      <c r="W9" s="288">
        <f>ROUND((U9-V9)/30.4*I9,2)</f>
        <v>5991.45</v>
      </c>
      <c r="X9" s="287">
        <f>-IF(W9&gt;0,0,0)</f>
        <v>0</v>
      </c>
      <c r="Y9" s="287">
        <f>IF(K9/15&lt;=SMG,0,IF(W9&lt;0,0,W9))</f>
        <v>5991.45</v>
      </c>
      <c r="Z9" s="291">
        <v>0</v>
      </c>
      <c r="AA9" s="287">
        <f>SUM(Y9:Z9)</f>
        <v>5991.45</v>
      </c>
      <c r="AB9" s="287">
        <f>M9+X9-AA9</f>
        <v>24282.55</v>
      </c>
      <c r="AC9" s="292"/>
    </row>
    <row r="10" spans="1:29" s="293" customFormat="1" ht="244.5" customHeight="1" x14ac:dyDescent="0.2">
      <c r="A10" s="257" t="s">
        <v>82</v>
      </c>
      <c r="B10" s="256" t="s">
        <v>179</v>
      </c>
      <c r="C10" s="257" t="s">
        <v>108</v>
      </c>
      <c r="D10" s="258" t="s">
        <v>180</v>
      </c>
      <c r="E10" s="259" t="s">
        <v>181</v>
      </c>
      <c r="F10" s="259" t="s">
        <v>217</v>
      </c>
      <c r="G10" s="284">
        <v>45566</v>
      </c>
      <c r="H10" s="276" t="s">
        <v>178</v>
      </c>
      <c r="I10" s="277">
        <v>15</v>
      </c>
      <c r="J10" s="294">
        <f>K10/I10</f>
        <v>1091.7333333333333</v>
      </c>
      <c r="K10" s="285">
        <v>16376</v>
      </c>
      <c r="L10" s="286">
        <v>0</v>
      </c>
      <c r="M10" s="287">
        <f>SUM(K10:L10)</f>
        <v>16376</v>
      </c>
      <c r="N10" s="288">
        <f>IF(K10/15&lt;=SMG,0,L10/2)</f>
        <v>0</v>
      </c>
      <c r="O10" s="304">
        <f>(K10+N10)/I10*30.4</f>
        <v>33188.693333333329</v>
      </c>
      <c r="P10" s="304">
        <f>VLOOKUP(O10,Tarifa,1)</f>
        <v>17533.650000000001</v>
      </c>
      <c r="Q10" s="288">
        <f>O10-P10</f>
        <v>15655.043333333328</v>
      </c>
      <c r="R10" s="289">
        <f>VLOOKUP(O10,Tarifa,3)</f>
        <v>0.21360000000000001</v>
      </c>
      <c r="S10" s="288">
        <f>Q10*R10</f>
        <v>3343.9172559999988</v>
      </c>
      <c r="T10" s="290">
        <f>VLOOKUP(O10,Tarifa,2)</f>
        <v>1856.84</v>
      </c>
      <c r="U10" s="288">
        <f>S10+T10</f>
        <v>5200.757255999999</v>
      </c>
      <c r="V10" s="288">
        <f>VLOOKUP(O10,Credito,2)</f>
        <v>0</v>
      </c>
      <c r="W10" s="288">
        <f>ROUND((U10-V10)/30.4*I10,2)</f>
        <v>2566.16</v>
      </c>
      <c r="X10" s="287">
        <f>-IF(W10&gt;0,0,0)</f>
        <v>0</v>
      </c>
      <c r="Y10" s="287">
        <f>IF(K10/15&lt;=SMG,0,IF(W10&lt;0,0,W10))</f>
        <v>2566.16</v>
      </c>
      <c r="Z10" s="291">
        <v>0</v>
      </c>
      <c r="AA10" s="287">
        <f>SUM(Y10:Z10)</f>
        <v>2566.16</v>
      </c>
      <c r="AB10" s="287">
        <f>M10+X10-AA10</f>
        <v>13809.84</v>
      </c>
      <c r="AC10" s="292"/>
    </row>
    <row r="11" spans="1:29" s="293" customFormat="1" ht="244.5" customHeight="1" x14ac:dyDescent="0.2">
      <c r="A11" s="257"/>
      <c r="B11" s="257" t="s">
        <v>100</v>
      </c>
      <c r="C11" s="256" t="s">
        <v>108</v>
      </c>
      <c r="D11" s="258" t="s">
        <v>65</v>
      </c>
      <c r="E11" s="259" t="s">
        <v>101</v>
      </c>
      <c r="F11" s="283" t="s">
        <v>207</v>
      </c>
      <c r="G11" s="284">
        <v>40026</v>
      </c>
      <c r="H11" s="259" t="s">
        <v>63</v>
      </c>
      <c r="I11" s="277">
        <v>15</v>
      </c>
      <c r="J11" s="294">
        <f>K11/I11</f>
        <v>410.5</v>
      </c>
      <c r="K11" s="285">
        <v>6157.5</v>
      </c>
      <c r="L11" s="286">
        <v>0</v>
      </c>
      <c r="M11" s="287">
        <f>SUM(K11:L11)</f>
        <v>6157.5</v>
      </c>
      <c r="N11" s="288">
        <f>IF(K11/15&lt;=SMG,0,L11/2)</f>
        <v>0</v>
      </c>
      <c r="O11" s="304">
        <f>(K11+N11)/I11*30.4</f>
        <v>12479.199999999999</v>
      </c>
      <c r="P11" s="304">
        <f>VLOOKUP(O11,Tarifa,1)</f>
        <v>7168.52</v>
      </c>
      <c r="Q11" s="288">
        <f>O11-P11</f>
        <v>5310.6799999999985</v>
      </c>
      <c r="R11" s="289">
        <f>VLOOKUP(O11,Tarifa,3)</f>
        <v>0.10879999999999999</v>
      </c>
      <c r="S11" s="288">
        <f>Q11*R11</f>
        <v>577.80198399999983</v>
      </c>
      <c r="T11" s="290">
        <f>VLOOKUP(O11,Tarifa,2)</f>
        <v>420.95</v>
      </c>
      <c r="U11" s="288">
        <f>S11+T11</f>
        <v>998.75198399999977</v>
      </c>
      <c r="V11" s="288">
        <f>VLOOKUP(O11,Credito,2)</f>
        <v>0</v>
      </c>
      <c r="W11" s="288">
        <f>ROUND((U11-V11)/30.4*I11,2)</f>
        <v>492.81</v>
      </c>
      <c r="X11" s="287">
        <f>-IF(W11&gt;0,0,0)</f>
        <v>0</v>
      </c>
      <c r="Y11" s="287">
        <f>IF(K11/15&lt;=SMG,0,IF(W11&lt;0,0,W11))</f>
        <v>492.81</v>
      </c>
      <c r="Z11" s="291">
        <v>0</v>
      </c>
      <c r="AA11" s="287">
        <f>SUM(Y11:Z11)</f>
        <v>492.81</v>
      </c>
      <c r="AB11" s="287">
        <f>M11+X11-AA11</f>
        <v>5664.69</v>
      </c>
      <c r="AC11" s="292"/>
    </row>
    <row r="12" spans="1:29" s="52" customFormat="1" ht="30.75" customHeight="1" x14ac:dyDescent="0.25">
      <c r="A12" s="133"/>
      <c r="B12" s="372" t="s">
        <v>93</v>
      </c>
      <c r="C12" s="372" t="s">
        <v>114</v>
      </c>
      <c r="D12" s="159" t="s">
        <v>111</v>
      </c>
      <c r="E12" s="156" t="s">
        <v>94</v>
      </c>
      <c r="F12" s="156" t="s">
        <v>206</v>
      </c>
      <c r="G12" s="372" t="s">
        <v>255</v>
      </c>
      <c r="H12" s="156" t="s">
        <v>61</v>
      </c>
      <c r="I12" s="156"/>
      <c r="J12" s="156"/>
      <c r="K12" s="160">
        <f>K13</f>
        <v>6123</v>
      </c>
      <c r="L12" s="160">
        <f>L13</f>
        <v>0</v>
      </c>
      <c r="M12" s="160">
        <f>M13</f>
        <v>6123</v>
      </c>
      <c r="N12" s="156"/>
      <c r="O12" s="156"/>
      <c r="P12" s="156"/>
      <c r="Q12" s="156"/>
      <c r="R12" s="156"/>
      <c r="S12" s="156"/>
      <c r="T12" s="162"/>
      <c r="U12" s="156"/>
      <c r="V12" s="156"/>
      <c r="W12" s="161"/>
      <c r="X12" s="160">
        <f>X13</f>
        <v>0</v>
      </c>
      <c r="Y12" s="160">
        <f>Y13</f>
        <v>489.05</v>
      </c>
      <c r="Z12" s="160">
        <f>Z13</f>
        <v>0</v>
      </c>
      <c r="AA12" s="160">
        <f>AA13</f>
        <v>489.05</v>
      </c>
      <c r="AB12" s="160">
        <f>AB13</f>
        <v>5633.95</v>
      </c>
      <c r="AC12" s="65"/>
    </row>
    <row r="13" spans="1:29" s="293" customFormat="1" ht="242.25" customHeight="1" x14ac:dyDescent="0.2">
      <c r="A13" s="424" t="s">
        <v>85</v>
      </c>
      <c r="B13" s="257" t="s">
        <v>184</v>
      </c>
      <c r="C13" s="257" t="s">
        <v>314</v>
      </c>
      <c r="D13" s="258" t="s">
        <v>186</v>
      </c>
      <c r="E13" s="281" t="s">
        <v>187</v>
      </c>
      <c r="F13" s="283" t="s">
        <v>230</v>
      </c>
      <c r="G13" s="284">
        <v>44470</v>
      </c>
      <c r="H13" s="276" t="s">
        <v>244</v>
      </c>
      <c r="I13" s="277">
        <v>15</v>
      </c>
      <c r="J13" s="294">
        <f>K13/I13</f>
        <v>408.2</v>
      </c>
      <c r="K13" s="285">
        <v>6123</v>
      </c>
      <c r="L13" s="286">
        <v>0</v>
      </c>
      <c r="M13" s="287">
        <f>SUM(K13:L13)</f>
        <v>6123</v>
      </c>
      <c r="N13" s="288">
        <f>IF(K13/15&lt;=SMG,0,L13/2)</f>
        <v>0</v>
      </c>
      <c r="O13" s="304">
        <f>(K13+N13)/I13*30.4</f>
        <v>12409.279999999999</v>
      </c>
      <c r="P13" s="304">
        <f>VLOOKUP(O13,Tarifa,1)</f>
        <v>7168.52</v>
      </c>
      <c r="Q13" s="288">
        <f>O13-P13</f>
        <v>5240.7599999999984</v>
      </c>
      <c r="R13" s="289">
        <f>VLOOKUP(O13,Tarifa,3)</f>
        <v>0.10879999999999999</v>
      </c>
      <c r="S13" s="288">
        <f>Q13*R13</f>
        <v>570.19468799999981</v>
      </c>
      <c r="T13" s="290">
        <f>VLOOKUP(O13,Tarifa,2)</f>
        <v>420.95</v>
      </c>
      <c r="U13" s="288">
        <f>S13+T13</f>
        <v>991.14468799999986</v>
      </c>
      <c r="V13" s="288">
        <f>VLOOKUP(O13,Credito,2)</f>
        <v>0</v>
      </c>
      <c r="W13" s="288">
        <f>ROUND((U13-V13)/30.4*I13,2)</f>
        <v>489.05</v>
      </c>
      <c r="X13" s="287">
        <f>-IF(W13&gt;0,0,0)</f>
        <v>0</v>
      </c>
      <c r="Y13" s="287">
        <f>IF(K13/15&lt;=SMG,0,IF(W13&lt;0,0,W13))</f>
        <v>489.05</v>
      </c>
      <c r="Z13" s="291">
        <v>0</v>
      </c>
      <c r="AA13" s="287">
        <f>SUM(Y13:Z13)</f>
        <v>489.05</v>
      </c>
      <c r="AB13" s="287">
        <f>M13+X13-AA13</f>
        <v>5633.95</v>
      </c>
      <c r="AC13" s="292"/>
    </row>
    <row r="14" spans="1:29" s="293" customFormat="1" ht="27" customHeight="1" x14ac:dyDescent="0.2">
      <c r="A14" s="426"/>
      <c r="B14" s="426"/>
      <c r="C14" s="426"/>
      <c r="D14" s="384"/>
      <c r="E14" s="398"/>
      <c r="F14" s="427"/>
      <c r="G14" s="428"/>
      <c r="H14" s="400"/>
      <c r="I14" s="429"/>
      <c r="J14" s="430"/>
      <c r="K14" s="431"/>
      <c r="L14" s="432"/>
      <c r="M14" s="433"/>
      <c r="N14" s="374"/>
      <c r="O14" s="375"/>
      <c r="P14" s="375"/>
      <c r="Q14" s="374"/>
      <c r="R14" s="376"/>
      <c r="S14" s="374"/>
      <c r="T14" s="377"/>
      <c r="U14" s="374"/>
      <c r="V14" s="374"/>
      <c r="W14" s="374"/>
      <c r="X14" s="433"/>
      <c r="Y14" s="433"/>
      <c r="Z14" s="434"/>
      <c r="AA14" s="433"/>
      <c r="AB14" s="433"/>
      <c r="AC14" s="435"/>
    </row>
    <row r="15" spans="1:29" s="293" customFormat="1" ht="27" customHeight="1" x14ac:dyDescent="0.2">
      <c r="A15" s="426"/>
      <c r="B15" s="426"/>
      <c r="C15" s="426"/>
      <c r="D15" s="384"/>
      <c r="E15" s="398"/>
      <c r="F15" s="427"/>
      <c r="G15" s="428"/>
      <c r="H15" s="400"/>
      <c r="I15" s="429"/>
      <c r="J15" s="430"/>
      <c r="K15" s="431"/>
      <c r="L15" s="432"/>
      <c r="M15" s="433"/>
      <c r="N15" s="374"/>
      <c r="O15" s="375"/>
      <c r="P15" s="375"/>
      <c r="Q15" s="374"/>
      <c r="R15" s="376"/>
      <c r="S15" s="374"/>
      <c r="T15" s="377"/>
      <c r="U15" s="374"/>
      <c r="V15" s="374"/>
      <c r="W15" s="374"/>
      <c r="X15" s="433"/>
      <c r="Y15" s="433"/>
      <c r="Z15" s="434"/>
      <c r="AA15" s="433"/>
      <c r="AB15" s="433"/>
      <c r="AC15" s="435"/>
    </row>
    <row r="16" spans="1:29" s="293" customFormat="1" ht="27" customHeight="1" x14ac:dyDescent="0.2">
      <c r="A16" s="426"/>
      <c r="B16" s="426"/>
      <c r="C16" s="426"/>
      <c r="D16" s="384"/>
      <c r="E16" s="398"/>
      <c r="F16" s="427"/>
      <c r="G16" s="428"/>
      <c r="H16" s="400"/>
      <c r="I16" s="429"/>
      <c r="J16" s="430"/>
      <c r="K16" s="431"/>
      <c r="L16" s="432"/>
      <c r="M16" s="433"/>
      <c r="N16" s="374"/>
      <c r="O16" s="375"/>
      <c r="P16" s="375"/>
      <c r="Q16" s="374"/>
      <c r="R16" s="376"/>
      <c r="S16" s="374"/>
      <c r="T16" s="377"/>
      <c r="U16" s="374"/>
      <c r="V16" s="374"/>
      <c r="W16" s="374"/>
      <c r="X16" s="433"/>
      <c r="Y16" s="433"/>
      <c r="Z16" s="434"/>
      <c r="AA16" s="433"/>
      <c r="AB16" s="433"/>
      <c r="AC16" s="435"/>
    </row>
    <row r="17" spans="1:29" s="293" customFormat="1" ht="27" customHeight="1" x14ac:dyDescent="0.2">
      <c r="A17" s="426"/>
      <c r="B17" s="426"/>
      <c r="C17" s="426"/>
      <c r="D17" s="384"/>
      <c r="E17" s="398"/>
      <c r="F17" s="427"/>
      <c r="G17" s="428"/>
      <c r="H17" s="400"/>
      <c r="I17" s="429"/>
      <c r="J17" s="430"/>
      <c r="K17" s="431"/>
      <c r="L17" s="432"/>
      <c r="M17" s="433"/>
      <c r="N17" s="374"/>
      <c r="O17" s="375"/>
      <c r="P17" s="375"/>
      <c r="Q17" s="374"/>
      <c r="R17" s="376"/>
      <c r="S17" s="374"/>
      <c r="T17" s="377"/>
      <c r="U17" s="374"/>
      <c r="V17" s="374"/>
      <c r="W17" s="374"/>
      <c r="X17" s="433"/>
      <c r="Y17" s="433"/>
      <c r="Z17" s="434"/>
      <c r="AA17" s="433"/>
      <c r="AB17" s="433"/>
      <c r="AC17" s="435"/>
    </row>
    <row r="18" spans="1:29" s="52" customFormat="1" ht="36.75" customHeight="1" x14ac:dyDescent="0.25">
      <c r="A18" s="425"/>
      <c r="B18" s="373" t="s">
        <v>93</v>
      </c>
      <c r="C18" s="373" t="s">
        <v>114</v>
      </c>
      <c r="D18" s="175" t="s">
        <v>112</v>
      </c>
      <c r="E18" s="175" t="s">
        <v>94</v>
      </c>
      <c r="F18" s="175" t="s">
        <v>206</v>
      </c>
      <c r="G18" s="373" t="s">
        <v>255</v>
      </c>
      <c r="H18" s="175" t="s">
        <v>61</v>
      </c>
      <c r="I18" s="175"/>
      <c r="J18" s="175"/>
      <c r="K18" s="176">
        <f>SUM(K19:K19)</f>
        <v>11640.5</v>
      </c>
      <c r="L18" s="176">
        <f>SUM(L19:L19)</f>
        <v>0</v>
      </c>
      <c r="M18" s="176">
        <f>SUM(M19:M19)</f>
        <v>11640.5</v>
      </c>
      <c r="N18" s="175"/>
      <c r="O18" s="175"/>
      <c r="P18" s="175"/>
      <c r="Q18" s="175"/>
      <c r="R18" s="175"/>
      <c r="S18" s="175"/>
      <c r="T18" s="178"/>
      <c r="U18" s="175"/>
      <c r="V18" s="175"/>
      <c r="W18" s="175"/>
      <c r="X18" s="176">
        <f>SUM(X19:X19)</f>
        <v>0</v>
      </c>
      <c r="Y18" s="176">
        <f>SUM(Y19:Y19)</f>
        <v>1554.66</v>
      </c>
      <c r="Z18" s="176">
        <f>SUM(Z19:Z19)</f>
        <v>0</v>
      </c>
      <c r="AA18" s="176">
        <f>SUM(AA19:AA19)</f>
        <v>1554.66</v>
      </c>
      <c r="AB18" s="176">
        <f>SUM(AB19:AB19)</f>
        <v>10085.84</v>
      </c>
      <c r="AC18" s="378"/>
    </row>
    <row r="19" spans="1:29" s="293" customFormat="1" ht="200.25" customHeight="1" x14ac:dyDescent="0.2">
      <c r="A19" s="257" t="s">
        <v>86</v>
      </c>
      <c r="B19" s="256" t="s">
        <v>140</v>
      </c>
      <c r="C19" s="257" t="s">
        <v>108</v>
      </c>
      <c r="D19" s="258" t="s">
        <v>128</v>
      </c>
      <c r="E19" s="259" t="s">
        <v>136</v>
      </c>
      <c r="F19" s="283" t="s">
        <v>215</v>
      </c>
      <c r="G19" s="284">
        <v>43374</v>
      </c>
      <c r="H19" s="276" t="s">
        <v>659</v>
      </c>
      <c r="I19" s="277">
        <v>15</v>
      </c>
      <c r="J19" s="294">
        <f>K19/I19</f>
        <v>776.0333333333333</v>
      </c>
      <c r="K19" s="285">
        <v>11640.5</v>
      </c>
      <c r="L19" s="286">
        <v>0</v>
      </c>
      <c r="M19" s="287">
        <f>K19</f>
        <v>11640.5</v>
      </c>
      <c r="N19" s="288">
        <f>IF(K19/15&lt;=SMG,0,L19/2)</f>
        <v>0</v>
      </c>
      <c r="O19" s="304">
        <f>(K19+N19)/I19*30.4</f>
        <v>23591.41333333333</v>
      </c>
      <c r="P19" s="304">
        <f>VLOOKUP(O19,Tarifa,1)</f>
        <v>17533.650000000001</v>
      </c>
      <c r="Q19" s="288">
        <f>O19-P19</f>
        <v>6057.7633333333288</v>
      </c>
      <c r="R19" s="289">
        <f>VLOOKUP(O19,Tarifa,3)</f>
        <v>0.21360000000000001</v>
      </c>
      <c r="S19" s="288">
        <f>Q19*R19</f>
        <v>1293.938247999999</v>
      </c>
      <c r="T19" s="290">
        <f>VLOOKUP(O19,Tarifa,2)</f>
        <v>1856.84</v>
      </c>
      <c r="U19" s="288">
        <f>S19+T19</f>
        <v>3150.7782479999987</v>
      </c>
      <c r="V19" s="288">
        <f>VLOOKUP(O19,Credito,2)</f>
        <v>0</v>
      </c>
      <c r="W19" s="288">
        <f>ROUND((U19-V19)/30.4*I19,2)</f>
        <v>1554.66</v>
      </c>
      <c r="X19" s="287">
        <f>-IF(W19&gt;0,0,0)</f>
        <v>0</v>
      </c>
      <c r="Y19" s="287">
        <f>IF(K19/15&lt;=SMG,0,IF(W19&lt;0,0,W19))</f>
        <v>1554.66</v>
      </c>
      <c r="Z19" s="291">
        <v>0</v>
      </c>
      <c r="AA19" s="287">
        <f>SUM(Y19:Z19)</f>
        <v>1554.66</v>
      </c>
      <c r="AB19" s="287">
        <f>M19+X19-AA19</f>
        <v>10085.84</v>
      </c>
      <c r="AC19" s="292"/>
    </row>
    <row r="20" spans="1:29" s="293" customFormat="1" ht="200.25" customHeight="1" x14ac:dyDescent="0.2">
      <c r="A20" s="295"/>
      <c r="B20" s="279" t="s">
        <v>380</v>
      </c>
      <c r="C20" s="273" t="s">
        <v>108</v>
      </c>
      <c r="D20" s="280" t="s">
        <v>479</v>
      </c>
      <c r="E20" s="281" t="s">
        <v>480</v>
      </c>
      <c r="F20" s="281" t="s">
        <v>481</v>
      </c>
      <c r="G20" s="321">
        <v>45612</v>
      </c>
      <c r="H20" s="297" t="s">
        <v>654</v>
      </c>
      <c r="I20" s="298">
        <v>15</v>
      </c>
      <c r="J20" s="294">
        <f>K20/I20</f>
        <v>389.33333333333331</v>
      </c>
      <c r="K20" s="285">
        <v>5840</v>
      </c>
      <c r="L20" s="286">
        <v>0</v>
      </c>
      <c r="M20" s="287">
        <f>SUM(K20:L20)</f>
        <v>5840</v>
      </c>
      <c r="N20" s="288">
        <f>IF(K20/15&lt;=SMG,0,L20/2)</f>
        <v>0</v>
      </c>
      <c r="O20" s="304">
        <f>(K20+N20)/I20*30.4</f>
        <v>11835.733333333332</v>
      </c>
      <c r="P20" s="304">
        <f>VLOOKUP(O20,Tarifa,1)</f>
        <v>7168.52</v>
      </c>
      <c r="Q20" s="288">
        <f>O20-P20</f>
        <v>4667.2133333333313</v>
      </c>
      <c r="R20" s="289">
        <f>VLOOKUP(O20,Tarifa,3)</f>
        <v>0.10879999999999999</v>
      </c>
      <c r="S20" s="288">
        <f>Q20*R20</f>
        <v>507.79281066666641</v>
      </c>
      <c r="T20" s="290">
        <f>VLOOKUP(O20,Tarifa,2)</f>
        <v>420.95</v>
      </c>
      <c r="U20" s="288">
        <f>S20+T20</f>
        <v>928.7428106666664</v>
      </c>
      <c r="V20" s="288">
        <f>VLOOKUP(O20,Credito,2)</f>
        <v>0</v>
      </c>
      <c r="W20" s="288">
        <f>ROUND((U20-V20)/30.4*I20,2)</f>
        <v>458.26</v>
      </c>
      <c r="X20" s="287">
        <f>-IF(W20&gt;0,0,0)</f>
        <v>0</v>
      </c>
      <c r="Y20" s="287">
        <f>IF(K20/15&lt;=SMG,0,IF(W20&lt;0,0,W20))</f>
        <v>458.26</v>
      </c>
      <c r="Z20" s="291">
        <v>0</v>
      </c>
      <c r="AA20" s="287">
        <f>SUM(Y20:Z20)</f>
        <v>458.26</v>
      </c>
      <c r="AB20" s="287">
        <f>M20+X20-AA20</f>
        <v>5381.74</v>
      </c>
      <c r="AC20" s="299"/>
    </row>
    <row r="21" spans="1:29" s="293" customFormat="1" ht="57.75" customHeight="1" x14ac:dyDescent="0.25">
      <c r="A21" s="295"/>
      <c r="B21" s="373" t="s">
        <v>93</v>
      </c>
      <c r="C21" s="373" t="s">
        <v>114</v>
      </c>
      <c r="D21" s="148" t="s">
        <v>510</v>
      </c>
      <c r="E21" s="175" t="s">
        <v>94</v>
      </c>
      <c r="F21" s="175" t="s">
        <v>206</v>
      </c>
      <c r="G21" s="373" t="s">
        <v>255</v>
      </c>
      <c r="H21" s="175" t="s">
        <v>61</v>
      </c>
      <c r="I21" s="175"/>
      <c r="J21" s="156"/>
      <c r="K21" s="160">
        <f>SUM(K22:K22)</f>
        <v>6894</v>
      </c>
      <c r="L21" s="160">
        <f>SUM(L22:L22)</f>
        <v>0</v>
      </c>
      <c r="M21" s="160">
        <f>SUM(M22:M22)</f>
        <v>6894</v>
      </c>
      <c r="N21" s="156"/>
      <c r="O21" s="156"/>
      <c r="P21" s="156"/>
      <c r="Q21" s="156"/>
      <c r="R21" s="156"/>
      <c r="S21" s="156"/>
      <c r="T21" s="162"/>
      <c r="U21" s="156"/>
      <c r="V21" s="156"/>
      <c r="W21" s="161"/>
      <c r="X21" s="160">
        <f>SUM(X22:X22)</f>
        <v>0</v>
      </c>
      <c r="Y21" s="160">
        <f>SUM(Y22:Y22)</f>
        <v>607.64</v>
      </c>
      <c r="Z21" s="160">
        <f>SUM(Z22:Z22)</f>
        <v>0</v>
      </c>
      <c r="AA21" s="160">
        <f>SUM(AA22:AA22)</f>
        <v>607.64</v>
      </c>
      <c r="AB21" s="160">
        <f>SUM(AB22:AB22)</f>
        <v>6286.36</v>
      </c>
      <c r="AC21" s="65"/>
    </row>
    <row r="22" spans="1:29" s="293" customFormat="1" ht="200.25" customHeight="1" x14ac:dyDescent="0.2">
      <c r="A22" s="295"/>
      <c r="B22" s="257" t="s">
        <v>649</v>
      </c>
      <c r="C22" s="257" t="s">
        <v>108</v>
      </c>
      <c r="D22" s="280" t="s">
        <v>646</v>
      </c>
      <c r="E22" s="281" t="s">
        <v>647</v>
      </c>
      <c r="F22" s="283" t="s">
        <v>648</v>
      </c>
      <c r="G22" s="284">
        <v>46023</v>
      </c>
      <c r="H22" s="300" t="s">
        <v>660</v>
      </c>
      <c r="I22" s="301">
        <v>15</v>
      </c>
      <c r="J22" s="294">
        <f>K22/I22</f>
        <v>459.6</v>
      </c>
      <c r="K22" s="285">
        <v>6894</v>
      </c>
      <c r="L22" s="286">
        <v>0</v>
      </c>
      <c r="M22" s="287">
        <f>K22</f>
        <v>6894</v>
      </c>
      <c r="N22" s="288">
        <f>IF(K22/15&lt;=SMG,0,L22/2)</f>
        <v>0</v>
      </c>
      <c r="O22" s="304">
        <f>(K22+N22)/I22*30.4</f>
        <v>13971.84</v>
      </c>
      <c r="P22" s="304">
        <f>VLOOKUP(O22,Tarifa,1)</f>
        <v>12598.03</v>
      </c>
      <c r="Q22" s="288">
        <f>O22-P22</f>
        <v>1373.8099999999995</v>
      </c>
      <c r="R22" s="289">
        <f>VLOOKUP(O22,Tarifa,3)</f>
        <v>0.16</v>
      </c>
      <c r="S22" s="288">
        <f>Q22*R22</f>
        <v>219.80959999999993</v>
      </c>
      <c r="T22" s="290">
        <f>VLOOKUP(O22,Tarifa,2)</f>
        <v>1011.68</v>
      </c>
      <c r="U22" s="288">
        <f>S22+T22</f>
        <v>1231.4895999999999</v>
      </c>
      <c r="V22" s="288">
        <f>VLOOKUP(O22,Credito,2)</f>
        <v>0</v>
      </c>
      <c r="W22" s="288">
        <f>ROUND((U22-V22)/30.4*I22,2)</f>
        <v>607.64</v>
      </c>
      <c r="X22" s="287">
        <f>-IF(W22&gt;0,0,0)</f>
        <v>0</v>
      </c>
      <c r="Y22" s="287">
        <f>IF(K22/15&lt;=SMG,0,IF(W22&lt;0,0,W22))</f>
        <v>607.64</v>
      </c>
      <c r="Z22" s="291">
        <v>0</v>
      </c>
      <c r="AA22" s="287">
        <f>SUM(Y22:Z22)</f>
        <v>607.64</v>
      </c>
      <c r="AB22" s="287">
        <f>M22+X22-AA22</f>
        <v>6286.36</v>
      </c>
      <c r="AC22" s="303"/>
    </row>
    <row r="23" spans="1:29" s="52" customFormat="1" ht="31.5" customHeight="1" x14ac:dyDescent="0.25">
      <c r="A23" s="183"/>
      <c r="B23" s="373" t="s">
        <v>93</v>
      </c>
      <c r="C23" s="373" t="s">
        <v>114</v>
      </c>
      <c r="D23" s="148" t="s">
        <v>345</v>
      </c>
      <c r="E23" s="175" t="s">
        <v>94</v>
      </c>
      <c r="F23" s="175" t="s">
        <v>206</v>
      </c>
      <c r="G23" s="373" t="s">
        <v>255</v>
      </c>
      <c r="H23" s="175" t="s">
        <v>61</v>
      </c>
      <c r="I23" s="175"/>
      <c r="J23" s="156"/>
      <c r="K23" s="160">
        <f>SUM(K24:K24)</f>
        <v>3227</v>
      </c>
      <c r="L23" s="160">
        <f>SUM(L24:L24)</f>
        <v>0</v>
      </c>
      <c r="M23" s="160">
        <f>SUM(M24:M24)</f>
        <v>3227</v>
      </c>
      <c r="N23" s="156"/>
      <c r="O23" s="156"/>
      <c r="P23" s="156"/>
      <c r="Q23" s="156"/>
      <c r="R23" s="156"/>
      <c r="S23" s="156"/>
      <c r="T23" s="162"/>
      <c r="U23" s="156"/>
      <c r="V23" s="156"/>
      <c r="W23" s="161"/>
      <c r="X23" s="160">
        <f>SUM(X24:X24)</f>
        <v>0</v>
      </c>
      <c r="Y23" s="160">
        <f>SUM(Y24:Y24)</f>
        <v>0</v>
      </c>
      <c r="Z23" s="160">
        <f>SUM(Z24:Z24)</f>
        <v>0</v>
      </c>
      <c r="AA23" s="160">
        <f>SUM(AA24:AA24)</f>
        <v>0</v>
      </c>
      <c r="AB23" s="160">
        <f>SUM(AB24:AB24)</f>
        <v>3227</v>
      </c>
      <c r="AC23" s="65"/>
    </row>
    <row r="24" spans="1:29" s="293" customFormat="1" ht="200.25" customHeight="1" x14ac:dyDescent="0.2">
      <c r="A24" s="295"/>
      <c r="B24" s="257" t="s">
        <v>374</v>
      </c>
      <c r="C24" s="257" t="s">
        <v>108</v>
      </c>
      <c r="D24" s="280" t="s">
        <v>375</v>
      </c>
      <c r="E24" s="281" t="s">
        <v>376</v>
      </c>
      <c r="F24" s="283" t="s">
        <v>377</v>
      </c>
      <c r="G24" s="284">
        <v>45566</v>
      </c>
      <c r="H24" s="300" t="s">
        <v>348</v>
      </c>
      <c r="I24" s="301">
        <v>15</v>
      </c>
      <c r="J24" s="294">
        <f>K24/I24</f>
        <v>215.13333333333333</v>
      </c>
      <c r="K24" s="285">
        <v>3227</v>
      </c>
      <c r="L24" s="286">
        <v>0</v>
      </c>
      <c r="M24" s="287">
        <f t="shared" ref="M24" si="0">SUM(K24:L24)</f>
        <v>3227</v>
      </c>
      <c r="N24" s="288">
        <f>IF(K24/15&lt;=SMG,0,L24/2)</f>
        <v>0</v>
      </c>
      <c r="O24" s="304">
        <f>(K24+N24)/I24*30.4</f>
        <v>6540.0533333333324</v>
      </c>
      <c r="P24" s="304">
        <f>VLOOKUP(O24,Tarifa,1)</f>
        <v>844.6</v>
      </c>
      <c r="Q24" s="288">
        <f>O24-P24</f>
        <v>5695.453333333332</v>
      </c>
      <c r="R24" s="289">
        <f>VLOOKUP(O24,Tarifa,3)</f>
        <v>6.4000000000000001E-2</v>
      </c>
      <c r="S24" s="288">
        <f>Q24*R24</f>
        <v>364.50901333333326</v>
      </c>
      <c r="T24" s="290">
        <f>VLOOKUP(O24,Tarifa,2)</f>
        <v>16.22</v>
      </c>
      <c r="U24" s="288">
        <f>S24+T24</f>
        <v>380.72901333333323</v>
      </c>
      <c r="V24" s="288">
        <f>VLOOKUP(O24,Credito,2)</f>
        <v>536.21</v>
      </c>
      <c r="W24" s="288">
        <f>ROUND((U24-V24)/30.4*I24,2)</f>
        <v>-76.72</v>
      </c>
      <c r="X24" s="287">
        <v>0</v>
      </c>
      <c r="Y24" s="302">
        <f>IF(K24/15&lt;=SMG,0,IF(W24&lt;0,0,W24))</f>
        <v>0</v>
      </c>
      <c r="Z24" s="291">
        <v>0</v>
      </c>
      <c r="AA24" s="287">
        <f>SUM(Y24:Z24)</f>
        <v>0</v>
      </c>
      <c r="AB24" s="302">
        <f>M24+X24-AA24</f>
        <v>3227</v>
      </c>
      <c r="AC24" s="303"/>
    </row>
    <row r="25" spans="1:29" s="52" customFormat="1" ht="21.75" customHeight="1" x14ac:dyDescent="0.25">
      <c r="A25" s="164"/>
      <c r="B25" s="165"/>
      <c r="C25" s="165"/>
      <c r="D25" s="166"/>
      <c r="E25" s="166"/>
      <c r="F25" s="166"/>
      <c r="G25" s="166"/>
      <c r="H25" s="166"/>
      <c r="I25" s="147"/>
      <c r="J25" s="167"/>
      <c r="K25" s="168"/>
      <c r="L25" s="169"/>
      <c r="M25" s="170"/>
      <c r="N25" s="171"/>
      <c r="O25" s="171"/>
      <c r="P25" s="171"/>
      <c r="Q25" s="171"/>
      <c r="R25" s="172"/>
      <c r="S25" s="171"/>
      <c r="T25" s="171"/>
      <c r="U25" s="171"/>
      <c r="V25" s="171"/>
      <c r="W25" s="171"/>
      <c r="X25" s="170"/>
      <c r="Y25" s="170"/>
      <c r="Z25" s="173"/>
      <c r="AA25" s="170"/>
      <c r="AB25" s="170"/>
      <c r="AC25" s="59"/>
    </row>
    <row r="26" spans="1:29" s="52" customFormat="1" ht="41.25" customHeight="1" thickBot="1" x14ac:dyDescent="0.3">
      <c r="A26" s="445" t="s">
        <v>44</v>
      </c>
      <c r="B26" s="446"/>
      <c r="C26" s="446"/>
      <c r="D26" s="446"/>
      <c r="E26" s="446"/>
      <c r="F26" s="446"/>
      <c r="G26" s="446"/>
      <c r="H26" s="446"/>
      <c r="I26" s="446"/>
      <c r="J26" s="447"/>
      <c r="K26" s="136">
        <f>K8+K12+K18+K23+K21</f>
        <v>80692</v>
      </c>
      <c r="L26" s="136">
        <f>L8+L12+L18+L23+L21</f>
        <v>0</v>
      </c>
      <c r="M26" s="136">
        <f>M8+M12+M18+M23+M21</f>
        <v>80692</v>
      </c>
      <c r="N26" s="137">
        <f>SUM(N9:N24)</f>
        <v>0</v>
      </c>
      <c r="O26" s="137">
        <f t="shared" ref="O26:W26" si="1">SUM(O9:O24)</f>
        <v>175371.51999999999</v>
      </c>
      <c r="P26" s="137">
        <f t="shared" si="1"/>
        <v>125752.18000000001</v>
      </c>
      <c r="Q26" s="137">
        <f t="shared" si="1"/>
        <v>49619.339999999975</v>
      </c>
      <c r="R26" s="137">
        <f t="shared" si="1"/>
        <v>1.2776000000000001</v>
      </c>
      <c r="S26" s="137">
        <f t="shared" si="1"/>
        <v>8563.5485999999946</v>
      </c>
      <c r="T26" s="137">
        <f t="shared" si="1"/>
        <v>16461.520000000004</v>
      </c>
      <c r="U26" s="137">
        <f t="shared" si="1"/>
        <v>25025.068599999999</v>
      </c>
      <c r="V26" s="137">
        <f t="shared" si="1"/>
        <v>536.21</v>
      </c>
      <c r="W26" s="137">
        <f t="shared" si="1"/>
        <v>12083.31</v>
      </c>
      <c r="X26" s="136">
        <f>X8+X12+X18+X23+X21</f>
        <v>0</v>
      </c>
      <c r="Y26" s="136">
        <f>Y8+Y12+Y18+Y23+Y21</f>
        <v>11701.769999999999</v>
      </c>
      <c r="Z26" s="136">
        <f>Z8+Z12+Z18+Z23+Z21</f>
        <v>0</v>
      </c>
      <c r="AA26" s="136">
        <f>AA8+AA12+AA18+AA23+AA21</f>
        <v>11701.769999999999</v>
      </c>
      <c r="AB26" s="136">
        <f>AB8+AB12+AB18+AB23+AB21</f>
        <v>68990.23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6" spans="4:29" ht="18" x14ac:dyDescent="0.25">
      <c r="D36" s="203" t="s">
        <v>454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03" t="s">
        <v>633</v>
      </c>
      <c r="Z36" s="108"/>
      <c r="AA36" s="108"/>
      <c r="AB36" s="108"/>
      <c r="AC36" s="108"/>
    </row>
    <row r="37" spans="4:29" ht="18" x14ac:dyDescent="0.25">
      <c r="D37" s="203" t="s">
        <v>469</v>
      </c>
      <c r="E37" s="203"/>
      <c r="F37" s="203"/>
      <c r="G37" s="203"/>
      <c r="H37" s="203"/>
      <c r="I37" s="203"/>
      <c r="J37" s="203"/>
      <c r="K37" s="203"/>
      <c r="L37" s="203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203" t="s">
        <v>195</v>
      </c>
      <c r="Z37" s="108"/>
      <c r="AA37" s="203"/>
      <c r="AB37" s="203"/>
      <c r="AC37" s="203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86614173228346458" right="0.27559055118110237" top="0.6692913385826772" bottom="0.6692913385826772" header="0.31496062992125984" footer="0.51181102362204722"/>
  <pageSetup scale="37" fitToHeight="0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1" zoomScale="75" zoomScaleNormal="75" workbookViewId="0">
      <selection activeCell="D40" sqref="D40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68.28515625" customWidth="1"/>
  </cols>
  <sheetData>
    <row r="1" spans="1:30" ht="18" x14ac:dyDescent="0.25">
      <c r="A1" s="459" t="s">
        <v>76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59"/>
      <c r="AB1" s="459"/>
      <c r="AC1" s="459"/>
    </row>
    <row r="2" spans="1:30" ht="18" x14ac:dyDescent="0.25">
      <c r="A2" s="459" t="s">
        <v>64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  <c r="X2" s="459"/>
      <c r="Y2" s="459"/>
      <c r="Z2" s="459"/>
      <c r="AA2" s="459"/>
      <c r="AB2" s="459"/>
      <c r="AC2" s="459"/>
    </row>
    <row r="3" spans="1:30" ht="19.5" x14ac:dyDescent="0.25">
      <c r="A3" s="149" t="s">
        <v>304</v>
      </c>
      <c r="B3" s="449" t="str">
        <f>PRESIDENCIA!A3</f>
        <v>SUELDO  DEL 01 AL 15 DE ENERO DE 2026</v>
      </c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  <c r="AD3" s="449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175</v>
      </c>
      <c r="K5" s="460" t="s">
        <v>1</v>
      </c>
      <c r="L5" s="461"/>
      <c r="M5" s="462"/>
      <c r="N5" s="24" t="s">
        <v>25</v>
      </c>
      <c r="O5" s="25"/>
      <c r="P5" s="463" t="s">
        <v>8</v>
      </c>
      <c r="Q5" s="464"/>
      <c r="R5" s="464"/>
      <c r="S5" s="464"/>
      <c r="T5" s="464"/>
      <c r="U5" s="465"/>
      <c r="V5" s="24" t="s">
        <v>29</v>
      </c>
      <c r="W5" s="24" t="s">
        <v>9</v>
      </c>
      <c r="X5" s="23" t="s">
        <v>52</v>
      </c>
      <c r="Y5" s="466" t="s">
        <v>2</v>
      </c>
      <c r="Z5" s="467"/>
      <c r="AA5" s="468"/>
      <c r="AB5" s="23" t="s">
        <v>0</v>
      </c>
      <c r="AC5" s="33"/>
    </row>
    <row r="6" spans="1:30" ht="22.5" x14ac:dyDescent="0.2">
      <c r="A6" s="26" t="s">
        <v>20</v>
      </c>
      <c r="B6" s="45" t="s">
        <v>93</v>
      </c>
      <c r="C6" s="45" t="s">
        <v>109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5" t="s">
        <v>249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396"/>
      <c r="B8" s="148" t="s">
        <v>93</v>
      </c>
      <c r="C8" s="148" t="s">
        <v>114</v>
      </c>
      <c r="D8" s="174" t="s">
        <v>589</v>
      </c>
      <c r="E8" s="175" t="s">
        <v>94</v>
      </c>
      <c r="F8" s="175" t="s">
        <v>206</v>
      </c>
      <c r="G8" s="148" t="s">
        <v>255</v>
      </c>
      <c r="H8" s="156" t="s">
        <v>61</v>
      </c>
      <c r="I8" s="175"/>
      <c r="J8" s="37"/>
      <c r="K8" s="176">
        <f>K9</f>
        <v>12674.5</v>
      </c>
      <c r="L8" s="176">
        <f>L9</f>
        <v>0</v>
      </c>
      <c r="M8" s="176">
        <f>M9</f>
        <v>12674.5</v>
      </c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6">
        <f>X9</f>
        <v>0</v>
      </c>
      <c r="Y8" s="176">
        <f>Y9</f>
        <v>1775.52</v>
      </c>
      <c r="Z8" s="176">
        <f>Z9</f>
        <v>0</v>
      </c>
      <c r="AA8" s="176">
        <f>AA9</f>
        <v>1775.52</v>
      </c>
      <c r="AB8" s="176">
        <f>AB9</f>
        <v>10898.98</v>
      </c>
      <c r="AC8" s="177"/>
    </row>
    <row r="9" spans="1:30" ht="181.5" customHeight="1" x14ac:dyDescent="0.2">
      <c r="A9" s="396"/>
      <c r="B9" s="279" t="s">
        <v>471</v>
      </c>
      <c r="C9" s="273" t="s">
        <v>108</v>
      </c>
      <c r="D9" s="258" t="s">
        <v>472</v>
      </c>
      <c r="E9" s="259" t="s">
        <v>473</v>
      </c>
      <c r="F9" s="259" t="s">
        <v>474</v>
      </c>
      <c r="G9" s="260">
        <v>45601</v>
      </c>
      <c r="H9" s="261" t="s">
        <v>662</v>
      </c>
      <c r="I9" s="262">
        <v>15</v>
      </c>
      <c r="J9" s="263">
        <f>K9/I9</f>
        <v>844.9666666666667</v>
      </c>
      <c r="K9" s="264">
        <v>12674.5</v>
      </c>
      <c r="L9" s="265">
        <v>0</v>
      </c>
      <c r="M9" s="266">
        <f>SUM(K9:L9)</f>
        <v>12674.5</v>
      </c>
      <c r="N9" s="288">
        <f t="shared" ref="N9" si="0">IF(K9/15&lt;=SMG,0,L9/2)</f>
        <v>0</v>
      </c>
      <c r="O9" s="304">
        <f t="shared" ref="O9" si="1">(K9+N9)/I9*30.4</f>
        <v>25686.986666666668</v>
      </c>
      <c r="P9" s="304">
        <f t="shared" ref="P9" si="2">VLOOKUP(O9,Tarifa,1)</f>
        <v>17533.650000000001</v>
      </c>
      <c r="Q9" s="288">
        <f t="shared" ref="Q9" si="3">O9-P9</f>
        <v>8153.3366666666661</v>
      </c>
      <c r="R9" s="289">
        <f t="shared" ref="R9" si="4">VLOOKUP(O9,Tarifa,3)</f>
        <v>0.21360000000000001</v>
      </c>
      <c r="S9" s="288">
        <f t="shared" ref="S9" si="5">Q9*R9</f>
        <v>1741.5527119999999</v>
      </c>
      <c r="T9" s="290">
        <f t="shared" ref="T9" si="6">VLOOKUP(O9,Tarifa,2)</f>
        <v>1856.84</v>
      </c>
      <c r="U9" s="288">
        <f t="shared" ref="U9" si="7">S9+T9</f>
        <v>3598.3927119999998</v>
      </c>
      <c r="V9" s="288">
        <f t="shared" ref="V9" si="8">VLOOKUP(O9,Credito,2)</f>
        <v>0</v>
      </c>
      <c r="W9" s="288">
        <f t="shared" ref="W9" si="9">ROUND((U9-V9)/30.4*I9,2)</f>
        <v>1775.52</v>
      </c>
      <c r="X9" s="266">
        <f>-IF(W9&gt;0,0,0)</f>
        <v>0</v>
      </c>
      <c r="Y9" s="266">
        <f t="shared" ref="Y9" si="10">IF(K9/15&lt;=SMG,0,IF(W9&lt;0,0,W9))</f>
        <v>1775.52</v>
      </c>
      <c r="Z9" s="267">
        <v>0</v>
      </c>
      <c r="AA9" s="266">
        <f t="shared" ref="AA9" si="11">SUM(Y9:Z9)</f>
        <v>1775.52</v>
      </c>
      <c r="AB9" s="266">
        <f t="shared" ref="AB9" si="12">M9+X9-AA9</f>
        <v>10898.98</v>
      </c>
      <c r="AC9" s="268"/>
    </row>
    <row r="10" spans="1:30" ht="56.25" customHeight="1" x14ac:dyDescent="0.25">
      <c r="A10" s="138"/>
      <c r="B10" s="148" t="s">
        <v>93</v>
      </c>
      <c r="C10" s="148" t="s">
        <v>114</v>
      </c>
      <c r="D10" s="174" t="s">
        <v>456</v>
      </c>
      <c r="E10" s="156" t="s">
        <v>94</v>
      </c>
      <c r="F10" s="156"/>
      <c r="G10" s="163"/>
      <c r="H10" s="156" t="s">
        <v>61</v>
      </c>
      <c r="I10" s="175"/>
      <c r="J10" s="37"/>
      <c r="K10" s="176">
        <f>K11</f>
        <v>8548</v>
      </c>
      <c r="L10" s="176">
        <f>L11</f>
        <v>0</v>
      </c>
      <c r="M10" s="176">
        <f>M11</f>
        <v>8548</v>
      </c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>
        <f>X11</f>
        <v>0</v>
      </c>
      <c r="Y10" s="176">
        <f>Y11</f>
        <v>897.67</v>
      </c>
      <c r="Z10" s="176">
        <f>Z11</f>
        <v>0</v>
      </c>
      <c r="AA10" s="176">
        <f>AA11</f>
        <v>897.67</v>
      </c>
      <c r="AB10" s="176">
        <f>AB11</f>
        <v>7650.33</v>
      </c>
      <c r="AC10" s="177"/>
    </row>
    <row r="11" spans="1:30" s="308" customFormat="1" ht="180.75" customHeight="1" x14ac:dyDescent="0.2">
      <c r="A11" s="305"/>
      <c r="B11" s="256" t="s">
        <v>468</v>
      </c>
      <c r="C11" s="257" t="s">
        <v>108</v>
      </c>
      <c r="D11" s="258" t="s">
        <v>483</v>
      </c>
      <c r="E11" s="259" t="s">
        <v>458</v>
      </c>
      <c r="F11" s="259" t="s">
        <v>459</v>
      </c>
      <c r="G11" s="284">
        <v>45581</v>
      </c>
      <c r="H11" s="276" t="s">
        <v>457</v>
      </c>
      <c r="I11" s="277">
        <v>15</v>
      </c>
      <c r="J11" s="307">
        <f>ROUND(K11/I11,2)</f>
        <v>569.87</v>
      </c>
      <c r="K11" s="285">
        <v>8548</v>
      </c>
      <c r="L11" s="286">
        <v>0</v>
      </c>
      <c r="M11" s="287">
        <f t="shared" ref="M11" si="13">SUM(K11:L11)</f>
        <v>8548</v>
      </c>
      <c r="N11" s="288">
        <f>IF(K11/15&lt;=SMG,0,L11/2)</f>
        <v>0</v>
      </c>
      <c r="O11" s="304">
        <f>(K11+N11)/I11*30.4</f>
        <v>17323.946666666667</v>
      </c>
      <c r="P11" s="304">
        <f>VLOOKUP(O11,Tarifa,1)</f>
        <v>14644.65</v>
      </c>
      <c r="Q11" s="288">
        <f>O11-P11</f>
        <v>2679.2966666666671</v>
      </c>
      <c r="R11" s="289">
        <f>VLOOKUP(O11,Tarifa,3)</f>
        <v>0.1792</v>
      </c>
      <c r="S11" s="288">
        <f>Q11*R11</f>
        <v>480.12996266666676</v>
      </c>
      <c r="T11" s="290">
        <f>VLOOKUP(O11,Tarifa,2)</f>
        <v>1339.14</v>
      </c>
      <c r="U11" s="288">
        <f>S11+T11</f>
        <v>1819.2699626666667</v>
      </c>
      <c r="V11" s="288">
        <f>VLOOKUP(O11,Credito,2)</f>
        <v>0</v>
      </c>
      <c r="W11" s="288">
        <f>ROUND((U11-V11)/30.4*I11,2)</f>
        <v>897.67</v>
      </c>
      <c r="X11" s="287">
        <f>-IF(W11&gt;0,0,0)</f>
        <v>0</v>
      </c>
      <c r="Y11" s="287">
        <f t="shared" ref="Y11" si="14">IF(K11/15&lt;=SMG,0,IF(W11&lt;0,0,W11))</f>
        <v>897.67</v>
      </c>
      <c r="Z11" s="291">
        <v>0</v>
      </c>
      <c r="AA11" s="287">
        <f t="shared" ref="AA11" si="15">SUM(Y11:Z11)</f>
        <v>897.67</v>
      </c>
      <c r="AB11" s="287">
        <f t="shared" ref="AB11" si="16">M11+X11-AA11</f>
        <v>7650.33</v>
      </c>
      <c r="AC11" s="268"/>
    </row>
    <row r="12" spans="1:30" ht="53.25" customHeight="1" x14ac:dyDescent="0.25">
      <c r="A12" s="138"/>
      <c r="B12" s="148" t="s">
        <v>93</v>
      </c>
      <c r="C12" s="148" t="s">
        <v>114</v>
      </c>
      <c r="D12" s="159" t="s">
        <v>74</v>
      </c>
      <c r="E12" s="156" t="s">
        <v>94</v>
      </c>
      <c r="F12" s="156" t="s">
        <v>206</v>
      </c>
      <c r="G12" s="163"/>
      <c r="H12" s="156" t="s">
        <v>61</v>
      </c>
      <c r="I12" s="156"/>
      <c r="J12" s="37"/>
      <c r="K12" s="176">
        <f>SUM(K13)</f>
        <v>13214</v>
      </c>
      <c r="L12" s="176">
        <f>SUM(L13)</f>
        <v>0</v>
      </c>
      <c r="M12" s="176">
        <f>SUM(M13)</f>
        <v>13214</v>
      </c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6">
        <f>SUM(X13)</f>
        <v>0</v>
      </c>
      <c r="Y12" s="176">
        <f>SUM(Y13)</f>
        <v>1890.76</v>
      </c>
      <c r="Z12" s="176">
        <f>SUM(Z13)</f>
        <v>0</v>
      </c>
      <c r="AA12" s="176">
        <f>SUM(AA13)</f>
        <v>1890.76</v>
      </c>
      <c r="AB12" s="176">
        <f>SUM(AB13)</f>
        <v>11323.24</v>
      </c>
      <c r="AC12" s="177"/>
    </row>
    <row r="13" spans="1:30" s="308" customFormat="1" ht="180.75" customHeight="1" x14ac:dyDescent="0.2">
      <c r="A13" s="305"/>
      <c r="B13" s="309">
        <v>160</v>
      </c>
      <c r="C13" s="279" t="s">
        <v>108</v>
      </c>
      <c r="D13" s="258" t="s">
        <v>428</v>
      </c>
      <c r="E13" s="310" t="s">
        <v>429</v>
      </c>
      <c r="F13" s="259" t="s">
        <v>430</v>
      </c>
      <c r="G13" s="284">
        <v>45566</v>
      </c>
      <c r="H13" s="259" t="s">
        <v>74</v>
      </c>
      <c r="I13" s="306">
        <v>15</v>
      </c>
      <c r="J13" s="307">
        <f>ROUND(K13/I13,2)</f>
        <v>880.93</v>
      </c>
      <c r="K13" s="311">
        <v>13214</v>
      </c>
      <c r="L13" s="312">
        <v>0</v>
      </c>
      <c r="M13" s="313">
        <f>SUM(K13:L13)</f>
        <v>13214</v>
      </c>
      <c r="N13" s="288">
        <f>IF(K13/15&lt;=SMG,0,L13/2)</f>
        <v>0</v>
      </c>
      <c r="O13" s="304">
        <f>(K13+N13)/I13*30.4</f>
        <v>26780.373333333329</v>
      </c>
      <c r="P13" s="304">
        <f>VLOOKUP(O13,Tarifa,1)</f>
        <v>17533.650000000001</v>
      </c>
      <c r="Q13" s="288">
        <f>O13-P13</f>
        <v>9246.7233333333279</v>
      </c>
      <c r="R13" s="289">
        <f>VLOOKUP(O13,Tarifa,3)</f>
        <v>0.21360000000000001</v>
      </c>
      <c r="S13" s="288">
        <f>Q13*R13</f>
        <v>1975.100103999999</v>
      </c>
      <c r="T13" s="290">
        <f>VLOOKUP(O13,Tarifa,2)</f>
        <v>1856.84</v>
      </c>
      <c r="U13" s="288">
        <f>S13+T13</f>
        <v>3831.9401039999989</v>
      </c>
      <c r="V13" s="288">
        <f>VLOOKUP(O13,Credito,2)</f>
        <v>0</v>
      </c>
      <c r="W13" s="288">
        <f>ROUND((U13-V13)/30.4*I13,2)</f>
        <v>1890.76</v>
      </c>
      <c r="X13" s="287">
        <f>-IF(W13&gt;0,0,0)</f>
        <v>0</v>
      </c>
      <c r="Y13" s="287">
        <f>IF(K13/15&lt;=SMG,0,IF(W13&lt;0,0,W13))</f>
        <v>1890.76</v>
      </c>
      <c r="Z13" s="291">
        <v>0</v>
      </c>
      <c r="AA13" s="287">
        <f>SUM(Y13:Z13)</f>
        <v>1890.76</v>
      </c>
      <c r="AB13" s="287">
        <f>M13+X13-AA13</f>
        <v>11323.24</v>
      </c>
      <c r="AC13" s="268"/>
    </row>
    <row r="14" spans="1:30" ht="40.5" customHeight="1" thickBot="1" x14ac:dyDescent="0.3">
      <c r="A14" s="445" t="s">
        <v>44</v>
      </c>
      <c r="B14" s="446"/>
      <c r="C14" s="446"/>
      <c r="D14" s="446"/>
      <c r="E14" s="446"/>
      <c r="F14" s="446"/>
      <c r="G14" s="446"/>
      <c r="H14" s="446"/>
      <c r="I14" s="446"/>
      <c r="J14" s="447"/>
      <c r="K14" s="154">
        <f>K8+K10+K12</f>
        <v>34436.5</v>
      </c>
      <c r="L14" s="154">
        <f>L8+L10+L12</f>
        <v>0</v>
      </c>
      <c r="M14" s="154">
        <f>M8+M10+M12</f>
        <v>34436.5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4">
        <f>X8+X10+X12</f>
        <v>0</v>
      </c>
      <c r="Y14" s="154">
        <f>Y8+Y10+Y12</f>
        <v>4563.95</v>
      </c>
      <c r="Z14" s="154">
        <f>Z8+Z10+Z12</f>
        <v>0</v>
      </c>
      <c r="AA14" s="154">
        <f>AA8+AA10+AA12</f>
        <v>4563.95</v>
      </c>
      <c r="AB14" s="154">
        <f>AB8+AB10+AB12</f>
        <v>29872.549999999996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03" t="s">
        <v>454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03" t="s">
        <v>634</v>
      </c>
      <c r="Z28" s="108"/>
      <c r="AA28" s="108"/>
      <c r="AB28" s="108"/>
      <c r="AC28" s="108"/>
    </row>
    <row r="29" spans="4:41" ht="18" x14ac:dyDescent="0.25">
      <c r="D29" s="203" t="s">
        <v>469</v>
      </c>
      <c r="E29" s="203"/>
      <c r="F29" s="203"/>
      <c r="G29" s="203"/>
      <c r="H29" s="203"/>
      <c r="I29" s="203"/>
      <c r="J29" s="203"/>
      <c r="K29" s="203"/>
      <c r="L29" s="203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03" t="s">
        <v>195</v>
      </c>
      <c r="Z29" s="108"/>
      <c r="AA29" s="203"/>
      <c r="AB29" s="203"/>
      <c r="AC29" s="203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0"/>
  <sheetViews>
    <sheetView topLeftCell="B13" zoomScale="66" zoomScaleNormal="66" workbookViewId="0">
      <selection activeCell="K15" sqref="K15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7.4257812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48" t="s">
        <v>76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</row>
    <row r="2" spans="1:35" ht="19.5" x14ac:dyDescent="0.25">
      <c r="A2" s="448" t="s">
        <v>64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</row>
    <row r="3" spans="1:35" ht="19.5" x14ac:dyDescent="0.25">
      <c r="A3" s="449" t="str">
        <f>PRESIDENCIA!A3</f>
        <v>SUELDO  DEL 01 AL 15 DE ENERO DE 2026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71" t="s">
        <v>109</v>
      </c>
      <c r="D5" s="48"/>
      <c r="E5" s="48"/>
      <c r="F5" s="48"/>
      <c r="G5" s="48"/>
      <c r="H5" s="48"/>
      <c r="I5" s="49" t="s">
        <v>22</v>
      </c>
      <c r="J5" s="49" t="s">
        <v>5</v>
      </c>
      <c r="K5" s="474" t="s">
        <v>1</v>
      </c>
      <c r="L5" s="475"/>
      <c r="M5" s="476"/>
      <c r="N5" s="50" t="s">
        <v>25</v>
      </c>
      <c r="O5" s="51"/>
      <c r="P5" s="477" t="s">
        <v>8</v>
      </c>
      <c r="Q5" s="478"/>
      <c r="R5" s="478"/>
      <c r="S5" s="478"/>
      <c r="T5" s="478"/>
      <c r="U5" s="479"/>
      <c r="V5" s="50" t="s">
        <v>29</v>
      </c>
      <c r="W5" s="50" t="s">
        <v>9</v>
      </c>
      <c r="X5" s="49" t="s">
        <v>52</v>
      </c>
      <c r="Y5" s="480" t="s">
        <v>2</v>
      </c>
      <c r="Z5" s="481"/>
      <c r="AA5" s="482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93</v>
      </c>
      <c r="C6" s="472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249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73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115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94</v>
      </c>
      <c r="F8" s="127" t="s">
        <v>206</v>
      </c>
      <c r="G8" s="125" t="s">
        <v>255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70" customFormat="1" ht="219.75" customHeight="1" x14ac:dyDescent="0.2">
      <c r="A9" s="255" t="s">
        <v>83</v>
      </c>
      <c r="B9" s="256" t="s">
        <v>427</v>
      </c>
      <c r="C9" s="257" t="s">
        <v>108</v>
      </c>
      <c r="D9" s="258" t="s">
        <v>378</v>
      </c>
      <c r="E9" s="259" t="s">
        <v>455</v>
      </c>
      <c r="F9" s="259" t="s">
        <v>379</v>
      </c>
      <c r="G9" s="260">
        <v>45566</v>
      </c>
      <c r="H9" s="261" t="s">
        <v>484</v>
      </c>
      <c r="I9" s="262">
        <v>15</v>
      </c>
      <c r="J9" s="263">
        <f t="shared" ref="J9:J12" si="0">K9/I9</f>
        <v>975.9666666666667</v>
      </c>
      <c r="K9" s="285">
        <v>14639.5</v>
      </c>
      <c r="L9" s="286">
        <v>0</v>
      </c>
      <c r="M9" s="287">
        <f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87">
        <f>M9+X9-AA9</f>
        <v>12444.25</v>
      </c>
      <c r="AC9" s="268"/>
      <c r="AD9" s="269"/>
      <c r="AI9" s="271"/>
    </row>
    <row r="10" spans="1:35" s="270" customFormat="1" ht="219.75" customHeight="1" x14ac:dyDescent="0.2">
      <c r="A10" s="255"/>
      <c r="B10" s="256" t="s">
        <v>461</v>
      </c>
      <c r="C10" s="257" t="s">
        <v>108</v>
      </c>
      <c r="D10" s="258" t="s">
        <v>462</v>
      </c>
      <c r="E10" s="259" t="s">
        <v>463</v>
      </c>
      <c r="F10" s="259" t="s">
        <v>464</v>
      </c>
      <c r="G10" s="260">
        <v>45581</v>
      </c>
      <c r="H10" s="261" t="s">
        <v>486</v>
      </c>
      <c r="I10" s="262">
        <v>15</v>
      </c>
      <c r="J10" s="263">
        <f t="shared" si="0"/>
        <v>827.5</v>
      </c>
      <c r="K10" s="264">
        <v>12412.5</v>
      </c>
      <c r="L10" s="265">
        <v>0</v>
      </c>
      <c r="M10" s="266">
        <f>SUM(K10:L10)</f>
        <v>12412.5</v>
      </c>
      <c r="N10" s="288">
        <f t="shared" ref="N10:N12" si="1">IF(K10/15&lt;=SMG,0,L10/2)</f>
        <v>0</v>
      </c>
      <c r="O10" s="304">
        <f t="shared" ref="O10:O12" si="2">(K10+N10)/I10*30.4</f>
        <v>25156</v>
      </c>
      <c r="P10" s="304">
        <f t="shared" ref="P10:P12" si="3">VLOOKUP(O10,Tarifa,1)</f>
        <v>17533.650000000001</v>
      </c>
      <c r="Q10" s="288">
        <f t="shared" ref="Q10:Q12" si="4">O10-P10</f>
        <v>7622.3499999999985</v>
      </c>
      <c r="R10" s="289">
        <f t="shared" ref="R10:R12" si="5">VLOOKUP(O10,Tarifa,3)</f>
        <v>0.21360000000000001</v>
      </c>
      <c r="S10" s="288">
        <f t="shared" ref="S10:S12" si="6">Q10*R10</f>
        <v>1628.1339599999999</v>
      </c>
      <c r="T10" s="290">
        <f t="shared" ref="T10:T12" si="7">VLOOKUP(O10,Tarifa,2)</f>
        <v>1856.84</v>
      </c>
      <c r="U10" s="288">
        <f t="shared" ref="U10:U12" si="8">S10+T10</f>
        <v>3484.9739599999998</v>
      </c>
      <c r="V10" s="288">
        <f t="shared" ref="V10:V12" si="9">VLOOKUP(O10,Credito,2)</f>
        <v>0</v>
      </c>
      <c r="W10" s="288">
        <f t="shared" ref="W10:W12" si="10">ROUND((U10-V10)/30.4*I10,2)</f>
        <v>1719.56</v>
      </c>
      <c r="X10" s="266">
        <f>-IF(W10&gt;0,0,0)</f>
        <v>0</v>
      </c>
      <c r="Y10" s="266">
        <f t="shared" ref="Y10" si="11">IF(K10/15&lt;=SMG,0,IF(W10&lt;0,0,W10))</f>
        <v>1719.56</v>
      </c>
      <c r="Z10" s="267">
        <v>0</v>
      </c>
      <c r="AA10" s="266">
        <f t="shared" ref="AA10" si="12">SUM(Y10:Z10)</f>
        <v>1719.56</v>
      </c>
      <c r="AB10" s="266">
        <f t="shared" ref="AB10" si="13">M10+X10-AA10</f>
        <v>10692.94</v>
      </c>
      <c r="AC10" s="268"/>
      <c r="AD10" s="269"/>
      <c r="AI10" s="271"/>
    </row>
    <row r="11" spans="1:35" s="270" customFormat="1" ht="219.75" customHeight="1" x14ac:dyDescent="0.2">
      <c r="A11" s="255"/>
      <c r="B11" s="256" t="s">
        <v>275</v>
      </c>
      <c r="C11" s="257" t="s">
        <v>108</v>
      </c>
      <c r="D11" s="258" t="s">
        <v>285</v>
      </c>
      <c r="E11" s="259" t="s">
        <v>286</v>
      </c>
      <c r="F11" s="259" t="s">
        <v>287</v>
      </c>
      <c r="G11" s="260">
        <v>45139</v>
      </c>
      <c r="H11" s="261" t="s">
        <v>654</v>
      </c>
      <c r="I11" s="262">
        <v>15</v>
      </c>
      <c r="J11" s="263">
        <f t="shared" si="0"/>
        <v>391.83333333333331</v>
      </c>
      <c r="K11" s="264">
        <v>5877.5</v>
      </c>
      <c r="L11" s="265">
        <v>0</v>
      </c>
      <c r="M11" s="266">
        <f>SUM(K11:L11)</f>
        <v>5877.5</v>
      </c>
      <c r="N11" s="288">
        <f t="shared" si="1"/>
        <v>0</v>
      </c>
      <c r="O11" s="304">
        <f t="shared" si="2"/>
        <v>11911.733333333332</v>
      </c>
      <c r="P11" s="304">
        <f t="shared" si="3"/>
        <v>7168.52</v>
      </c>
      <c r="Q11" s="288">
        <f t="shared" si="4"/>
        <v>4743.2133333333313</v>
      </c>
      <c r="R11" s="289">
        <f t="shared" si="5"/>
        <v>0.10879999999999999</v>
      </c>
      <c r="S11" s="288">
        <f t="shared" si="6"/>
        <v>516.06161066666641</v>
      </c>
      <c r="T11" s="290">
        <f t="shared" si="7"/>
        <v>420.95</v>
      </c>
      <c r="U11" s="288">
        <f t="shared" si="8"/>
        <v>937.01161066666646</v>
      </c>
      <c r="V11" s="288">
        <f t="shared" si="9"/>
        <v>0</v>
      </c>
      <c r="W11" s="288">
        <f t="shared" si="10"/>
        <v>462.34</v>
      </c>
      <c r="X11" s="266">
        <f t="shared" ref="X11:X12" si="14">-IF(W11&gt;0,0,0)</f>
        <v>0</v>
      </c>
      <c r="Y11" s="266">
        <f>IF(K11/15&lt;=SMG,0,IF(W11&lt;0,0,W11))</f>
        <v>462.34</v>
      </c>
      <c r="Z11" s="267">
        <v>0</v>
      </c>
      <c r="AA11" s="266">
        <f>SUM(Y11:Z11)</f>
        <v>462.34</v>
      </c>
      <c r="AB11" s="266">
        <f>M11+X11-AA11</f>
        <v>5415.16</v>
      </c>
      <c r="AC11" s="268"/>
      <c r="AD11" s="269"/>
      <c r="AI11" s="271"/>
    </row>
    <row r="12" spans="1:35" s="270" customFormat="1" ht="219.75" customHeight="1" x14ac:dyDescent="0.2">
      <c r="A12" s="255"/>
      <c r="B12" s="257" t="s">
        <v>167</v>
      </c>
      <c r="C12" s="257" t="s">
        <v>108</v>
      </c>
      <c r="D12" s="258" t="s">
        <v>168</v>
      </c>
      <c r="E12" s="259" t="s">
        <v>169</v>
      </c>
      <c r="F12" s="259" t="s">
        <v>228</v>
      </c>
      <c r="G12" s="260">
        <v>43983</v>
      </c>
      <c r="H12" s="261" t="s">
        <v>623</v>
      </c>
      <c r="I12" s="262">
        <v>15</v>
      </c>
      <c r="J12" s="263">
        <f t="shared" si="0"/>
        <v>827.5</v>
      </c>
      <c r="K12" s="264">
        <v>12412.5</v>
      </c>
      <c r="L12" s="265">
        <v>0</v>
      </c>
      <c r="M12" s="266">
        <f>SUM(K12:L12)</f>
        <v>12412.5</v>
      </c>
      <c r="N12" s="288">
        <f t="shared" si="1"/>
        <v>0</v>
      </c>
      <c r="O12" s="304">
        <f t="shared" si="2"/>
        <v>25156</v>
      </c>
      <c r="P12" s="304">
        <f t="shared" si="3"/>
        <v>17533.650000000001</v>
      </c>
      <c r="Q12" s="288">
        <f t="shared" si="4"/>
        <v>7622.3499999999985</v>
      </c>
      <c r="R12" s="289">
        <f t="shared" si="5"/>
        <v>0.21360000000000001</v>
      </c>
      <c r="S12" s="288">
        <f t="shared" si="6"/>
        <v>1628.1339599999999</v>
      </c>
      <c r="T12" s="290">
        <f t="shared" si="7"/>
        <v>1856.84</v>
      </c>
      <c r="U12" s="288">
        <f t="shared" si="8"/>
        <v>3484.9739599999998</v>
      </c>
      <c r="V12" s="288">
        <f t="shared" si="9"/>
        <v>0</v>
      </c>
      <c r="W12" s="288">
        <f t="shared" si="10"/>
        <v>1719.56</v>
      </c>
      <c r="X12" s="266">
        <f t="shared" si="14"/>
        <v>0</v>
      </c>
      <c r="Y12" s="266">
        <f t="shared" ref="Y12" si="15">IF(K12/15&lt;=SMG,0,IF(W12&lt;0,0,W12))</f>
        <v>1719.56</v>
      </c>
      <c r="Z12" s="267">
        <v>0</v>
      </c>
      <c r="AA12" s="266">
        <f t="shared" ref="AA12" si="16">SUM(Y12:Z12)</f>
        <v>1719.56</v>
      </c>
      <c r="AB12" s="266">
        <f t="shared" ref="AB12" si="17">M12+X12-AA12</f>
        <v>10692.94</v>
      </c>
      <c r="AC12" s="268"/>
      <c r="AD12" s="269"/>
      <c r="AI12" s="271"/>
    </row>
    <row r="13" spans="1:35" s="270" customFormat="1" ht="219.75" customHeight="1" x14ac:dyDescent="0.2">
      <c r="A13" s="255"/>
      <c r="B13" s="279" t="s">
        <v>253</v>
      </c>
      <c r="C13" s="273" t="s">
        <v>108</v>
      </c>
      <c r="D13" s="280" t="s">
        <v>250</v>
      </c>
      <c r="E13" s="281" t="s">
        <v>251</v>
      </c>
      <c r="F13" s="281" t="s">
        <v>252</v>
      </c>
      <c r="G13" s="282">
        <v>44958</v>
      </c>
      <c r="H13" s="261" t="s">
        <v>654</v>
      </c>
      <c r="I13" s="277">
        <v>15</v>
      </c>
      <c r="J13" s="263">
        <f t="shared" ref="J13:J14" si="18">K13/I13</f>
        <v>391.83333333333331</v>
      </c>
      <c r="K13" s="264">
        <v>5877.5</v>
      </c>
      <c r="L13" s="265">
        <v>0</v>
      </c>
      <c r="M13" s="266">
        <f>SUM(K13:L13)</f>
        <v>5877.5</v>
      </c>
      <c r="N13" s="288">
        <f t="shared" ref="N13:N14" si="19">IF(K13/15&lt;=SMG,0,L13/2)</f>
        <v>0</v>
      </c>
      <c r="O13" s="304">
        <f t="shared" ref="O13:O14" si="20">(K13+N13)/I13*30.4</f>
        <v>11911.733333333332</v>
      </c>
      <c r="P13" s="304">
        <f t="shared" ref="P13:P14" si="21">VLOOKUP(O13,Tarifa,1)</f>
        <v>7168.52</v>
      </c>
      <c r="Q13" s="288">
        <f t="shared" ref="Q13:Q14" si="22">O13-P13</f>
        <v>4743.2133333333313</v>
      </c>
      <c r="R13" s="289">
        <f t="shared" ref="R13:R14" si="23">VLOOKUP(O13,Tarifa,3)</f>
        <v>0.10879999999999999</v>
      </c>
      <c r="S13" s="288">
        <f t="shared" ref="S13:S14" si="24">Q13*R13</f>
        <v>516.06161066666641</v>
      </c>
      <c r="T13" s="290">
        <f t="shared" ref="T13:T14" si="25">VLOOKUP(O13,Tarifa,2)</f>
        <v>420.95</v>
      </c>
      <c r="U13" s="288">
        <f t="shared" ref="U13:U14" si="26">S13+T13</f>
        <v>937.01161066666646</v>
      </c>
      <c r="V13" s="288">
        <f t="shared" ref="V13:V14" si="27">VLOOKUP(O13,Credito,2)</f>
        <v>0</v>
      </c>
      <c r="W13" s="288">
        <f t="shared" ref="W13:W14" si="28">ROUND((U13-V13)/30.4*I13,2)</f>
        <v>462.34</v>
      </c>
      <c r="X13" s="266">
        <f>-IF(W13&gt;0,0,0)</f>
        <v>0</v>
      </c>
      <c r="Y13" s="266">
        <f>IF(K13/15&lt;=SMG,0,IF(W13&lt;0,0,W13))</f>
        <v>462.34</v>
      </c>
      <c r="Z13" s="267">
        <v>0</v>
      </c>
      <c r="AA13" s="266">
        <f>SUM(Y13:Z13)</f>
        <v>462.34</v>
      </c>
      <c r="AB13" s="266">
        <f>M13+X13-AA13</f>
        <v>5415.16</v>
      </c>
      <c r="AC13" s="278"/>
      <c r="AD13" s="269"/>
      <c r="AI13" s="271"/>
    </row>
    <row r="14" spans="1:35" s="270" customFormat="1" ht="219.75" customHeight="1" x14ac:dyDescent="0.2">
      <c r="A14" s="255"/>
      <c r="B14" s="256" t="s">
        <v>519</v>
      </c>
      <c r="C14" s="256" t="s">
        <v>108</v>
      </c>
      <c r="D14" s="280" t="s">
        <v>511</v>
      </c>
      <c r="E14" s="281" t="s">
        <v>512</v>
      </c>
      <c r="F14" s="268" t="s">
        <v>513</v>
      </c>
      <c r="G14" s="314">
        <v>45698</v>
      </c>
      <c r="H14" s="261" t="s">
        <v>67</v>
      </c>
      <c r="I14" s="277">
        <v>15</v>
      </c>
      <c r="J14" s="263">
        <f t="shared" si="18"/>
        <v>278.41733333333337</v>
      </c>
      <c r="K14" s="264">
        <v>4176.26</v>
      </c>
      <c r="L14" s="265">
        <v>0</v>
      </c>
      <c r="M14" s="266">
        <f t="shared" ref="M14" si="29">SUM(K14:L14)</f>
        <v>4176.26</v>
      </c>
      <c r="N14" s="288">
        <f t="shared" si="19"/>
        <v>0</v>
      </c>
      <c r="O14" s="304">
        <f t="shared" si="20"/>
        <v>8463.886933333335</v>
      </c>
      <c r="P14" s="304">
        <f t="shared" si="21"/>
        <v>7168.52</v>
      </c>
      <c r="Q14" s="288">
        <f t="shared" si="22"/>
        <v>1295.3669333333346</v>
      </c>
      <c r="R14" s="289">
        <f t="shared" si="23"/>
        <v>0.10879999999999999</v>
      </c>
      <c r="S14" s="288">
        <f t="shared" si="24"/>
        <v>140.93592234666679</v>
      </c>
      <c r="T14" s="290">
        <f t="shared" si="25"/>
        <v>420.95</v>
      </c>
      <c r="U14" s="288">
        <f t="shared" si="26"/>
        <v>561.8859223466668</v>
      </c>
      <c r="V14" s="288">
        <f t="shared" si="27"/>
        <v>536.21</v>
      </c>
      <c r="W14" s="288">
        <f t="shared" si="28"/>
        <v>12.67</v>
      </c>
      <c r="X14" s="266">
        <f t="shared" ref="X14" si="30">-IF(W14&gt;0,0,0)</f>
        <v>0</v>
      </c>
      <c r="Y14" s="266">
        <f t="shared" ref="Y14" si="31">IF(K14/15&lt;=SMG,0,IF(W14&lt;0,0,W14))</f>
        <v>0</v>
      </c>
      <c r="Z14" s="267">
        <v>0</v>
      </c>
      <c r="AA14" s="266">
        <f t="shared" ref="AA14" si="32">SUM(Y14:Z14)</f>
        <v>0</v>
      </c>
      <c r="AB14" s="266">
        <f t="shared" ref="AB14" si="33">M14+X14-AA14</f>
        <v>4176.26</v>
      </c>
      <c r="AC14" s="278"/>
      <c r="AD14" s="269"/>
      <c r="AI14" s="271"/>
    </row>
    <row r="15" spans="1:35" s="91" customFormat="1" ht="21" customHeight="1" x14ac:dyDescent="0.3">
      <c r="A15" s="143"/>
      <c r="B15" s="234"/>
      <c r="C15" s="204"/>
      <c r="D15" s="205"/>
      <c r="E15" s="206"/>
      <c r="F15" s="206"/>
      <c r="G15" s="233"/>
      <c r="H15" s="150"/>
      <c r="I15" s="151"/>
      <c r="J15" s="152"/>
      <c r="K15" s="210"/>
      <c r="L15" s="211"/>
      <c r="M15" s="212"/>
      <c r="N15" s="213"/>
      <c r="O15" s="213"/>
      <c r="P15" s="213"/>
      <c r="Q15" s="213"/>
      <c r="R15" s="214"/>
      <c r="S15" s="213"/>
      <c r="T15" s="215"/>
      <c r="U15" s="213"/>
      <c r="V15" s="213"/>
      <c r="W15" s="213"/>
      <c r="X15" s="212"/>
      <c r="Y15" s="212"/>
      <c r="Z15" s="216"/>
      <c r="AA15" s="212"/>
      <c r="AB15" s="212"/>
      <c r="AD15" s="92"/>
      <c r="AI15" s="93"/>
    </row>
    <row r="16" spans="1:35" s="91" customFormat="1" ht="32.25" customHeight="1" x14ac:dyDescent="0.25">
      <c r="A16" s="143"/>
      <c r="B16" s="448" t="s">
        <v>76</v>
      </c>
      <c r="C16" s="448"/>
      <c r="D16" s="448"/>
      <c r="E16" s="448"/>
      <c r="F16" s="448"/>
      <c r="G16" s="448"/>
      <c r="H16" s="448"/>
      <c r="I16" s="448"/>
      <c r="J16" s="448"/>
      <c r="K16" s="448"/>
      <c r="L16" s="448"/>
      <c r="M16" s="448"/>
      <c r="N16" s="448"/>
      <c r="O16" s="448"/>
      <c r="P16" s="448"/>
      <c r="Q16" s="448"/>
      <c r="R16" s="448"/>
      <c r="S16" s="448"/>
      <c r="T16" s="448"/>
      <c r="U16" s="448"/>
      <c r="V16" s="448"/>
      <c r="W16" s="448"/>
      <c r="X16" s="448"/>
      <c r="Y16" s="448"/>
      <c r="Z16" s="448"/>
      <c r="AA16" s="448"/>
      <c r="AB16" s="448"/>
      <c r="AC16" s="448"/>
      <c r="AD16" s="448"/>
      <c r="AI16" s="93"/>
    </row>
    <row r="17" spans="1:35" s="91" customFormat="1" ht="24" customHeight="1" x14ac:dyDescent="0.25">
      <c r="A17" s="143"/>
      <c r="B17" s="448" t="s">
        <v>64</v>
      </c>
      <c r="C17" s="448"/>
      <c r="D17" s="448"/>
      <c r="E17" s="448"/>
      <c r="F17" s="448"/>
      <c r="G17" s="448"/>
      <c r="H17" s="448"/>
      <c r="I17" s="448"/>
      <c r="J17" s="448"/>
      <c r="K17" s="448"/>
      <c r="L17" s="448"/>
      <c r="M17" s="448"/>
      <c r="N17" s="448"/>
      <c r="O17" s="448"/>
      <c r="P17" s="448"/>
      <c r="Q17" s="448"/>
      <c r="R17" s="448"/>
      <c r="S17" s="448"/>
      <c r="T17" s="448"/>
      <c r="U17" s="448"/>
      <c r="V17" s="448"/>
      <c r="W17" s="448"/>
      <c r="X17" s="448"/>
      <c r="Y17" s="448"/>
      <c r="Z17" s="448"/>
      <c r="AA17" s="448"/>
      <c r="AB17" s="448"/>
      <c r="AC17" s="448"/>
      <c r="AD17" s="448"/>
      <c r="AI17" s="93"/>
    </row>
    <row r="18" spans="1:35" s="91" customFormat="1" ht="27.75" customHeight="1" x14ac:dyDescent="0.3">
      <c r="A18" s="143"/>
      <c r="B18" s="469" t="str">
        <f>PRESIDENCIA!A3</f>
        <v>SUELDO  DEL 01 AL 15 DE ENERO DE 2026</v>
      </c>
      <c r="C18" s="469"/>
      <c r="D18" s="469"/>
      <c r="E18" s="469"/>
      <c r="F18" s="469"/>
      <c r="G18" s="469"/>
      <c r="H18" s="469"/>
      <c r="I18" s="469"/>
      <c r="J18" s="469"/>
      <c r="K18" s="469"/>
      <c r="L18" s="469"/>
      <c r="M18" s="469"/>
      <c r="N18" s="469"/>
      <c r="O18" s="469"/>
      <c r="P18" s="469"/>
      <c r="Q18" s="469"/>
      <c r="R18" s="469"/>
      <c r="S18" s="469"/>
      <c r="T18" s="469"/>
      <c r="U18" s="469"/>
      <c r="V18" s="469"/>
      <c r="W18" s="469"/>
      <c r="X18" s="469"/>
      <c r="Y18" s="469"/>
      <c r="Z18" s="469"/>
      <c r="AA18" s="469"/>
      <c r="AB18" s="469"/>
      <c r="AC18" s="469"/>
      <c r="AD18" s="92"/>
      <c r="AI18" s="93"/>
    </row>
    <row r="19" spans="1:35" s="91" customFormat="1" ht="26.25" customHeight="1" x14ac:dyDescent="0.3">
      <c r="A19" s="143"/>
      <c r="B19" s="234"/>
      <c r="C19" s="204"/>
      <c r="D19" s="205"/>
      <c r="E19" s="206"/>
      <c r="F19" s="206"/>
      <c r="G19" s="233"/>
      <c r="H19" s="150"/>
      <c r="I19" s="151"/>
      <c r="J19" s="152"/>
      <c r="K19" s="210"/>
      <c r="L19" s="211"/>
      <c r="M19" s="212"/>
      <c r="N19" s="213"/>
      <c r="O19" s="213"/>
      <c r="P19" s="213"/>
      <c r="Q19" s="213"/>
      <c r="R19" s="214"/>
      <c r="S19" s="213"/>
      <c r="T19" s="215"/>
      <c r="U19" s="213"/>
      <c r="V19" s="213"/>
      <c r="W19" s="213"/>
      <c r="X19" s="212"/>
      <c r="Y19" s="212"/>
      <c r="Z19" s="216"/>
      <c r="AA19" s="212"/>
      <c r="AB19" s="212"/>
      <c r="AD19" s="92"/>
      <c r="AI19" s="93"/>
    </row>
    <row r="20" spans="1:35" s="270" customFormat="1" ht="229.5" customHeight="1" x14ac:dyDescent="0.2">
      <c r="A20" s="255"/>
      <c r="B20" s="256" t="s">
        <v>262</v>
      </c>
      <c r="C20" s="256" t="s">
        <v>108</v>
      </c>
      <c r="D20" s="280" t="s">
        <v>260</v>
      </c>
      <c r="E20" s="315" t="s">
        <v>263</v>
      </c>
      <c r="F20" s="316" t="s">
        <v>261</v>
      </c>
      <c r="G20" s="314">
        <v>45042</v>
      </c>
      <c r="H20" s="261" t="s">
        <v>485</v>
      </c>
      <c r="I20" s="277">
        <v>15</v>
      </c>
      <c r="J20" s="263">
        <f t="shared" ref="J20:J23" si="34">K20/I20</f>
        <v>623</v>
      </c>
      <c r="K20" s="264">
        <v>9345</v>
      </c>
      <c r="L20" s="265">
        <v>0</v>
      </c>
      <c r="M20" s="266">
        <f t="shared" ref="M20:M23" si="35">SUM(K20:L20)</f>
        <v>9345</v>
      </c>
      <c r="N20" s="288">
        <f t="shared" ref="N20:N23" si="36">IF(K20/15&lt;=SMG,0,L20/2)</f>
        <v>0</v>
      </c>
      <c r="O20" s="304">
        <f t="shared" ref="O20:O23" si="37">(K20+N20)/I20*30.4</f>
        <v>18939.2</v>
      </c>
      <c r="P20" s="304">
        <f t="shared" ref="P20:P23" si="38">VLOOKUP(O20,Tarifa,1)</f>
        <v>17533.650000000001</v>
      </c>
      <c r="Q20" s="288">
        <f t="shared" ref="Q20:Q23" si="39">O20-P20</f>
        <v>1405.5499999999993</v>
      </c>
      <c r="R20" s="289">
        <f t="shared" ref="R20:R23" si="40">VLOOKUP(O20,Tarifa,3)</f>
        <v>0.21360000000000001</v>
      </c>
      <c r="S20" s="288">
        <f t="shared" ref="S20:S23" si="41">Q20*R20</f>
        <v>300.22547999999983</v>
      </c>
      <c r="T20" s="290">
        <f t="shared" ref="T20:T23" si="42">VLOOKUP(O20,Tarifa,2)</f>
        <v>1856.84</v>
      </c>
      <c r="U20" s="288">
        <f t="shared" ref="U20:U23" si="43">S20+T20</f>
        <v>2157.0654799999998</v>
      </c>
      <c r="V20" s="288">
        <f t="shared" ref="V20:V23" si="44">VLOOKUP(O20,Credito,2)</f>
        <v>0</v>
      </c>
      <c r="W20" s="288">
        <f t="shared" ref="W20:W23" si="45">ROUND((U20-V20)/30.4*I20,2)</f>
        <v>1064.3399999999999</v>
      </c>
      <c r="X20" s="266">
        <f t="shared" ref="X20:X23" si="46">-IF(W20&gt;0,0,0)</f>
        <v>0</v>
      </c>
      <c r="Y20" s="266">
        <f t="shared" ref="Y20:Y23" si="47">IF(K20/15&lt;=SMG,0,IF(W20&lt;0,0,W20))</f>
        <v>1064.3399999999999</v>
      </c>
      <c r="Z20" s="267">
        <v>0</v>
      </c>
      <c r="AA20" s="266">
        <f t="shared" ref="AA20:AA23" si="48">SUM(Y20:Z20)</f>
        <v>1064.3399999999999</v>
      </c>
      <c r="AB20" s="266">
        <f t="shared" ref="AB20:AB22" si="49">M20+X20-AA20</f>
        <v>8280.66</v>
      </c>
      <c r="AC20" s="268"/>
      <c r="AD20" s="269"/>
      <c r="AI20" s="271"/>
    </row>
    <row r="21" spans="1:35" s="270" customFormat="1" ht="229.5" customHeight="1" x14ac:dyDescent="0.2">
      <c r="A21" s="255"/>
      <c r="B21" s="257" t="s">
        <v>496</v>
      </c>
      <c r="C21" s="257" t="s">
        <v>108</v>
      </c>
      <c r="D21" s="318" t="s">
        <v>146</v>
      </c>
      <c r="E21" s="134" t="s">
        <v>151</v>
      </c>
      <c r="F21" s="134" t="s">
        <v>221</v>
      </c>
      <c r="G21" s="200">
        <v>43512</v>
      </c>
      <c r="H21" s="261" t="s">
        <v>485</v>
      </c>
      <c r="I21" s="277">
        <v>15</v>
      </c>
      <c r="J21" s="263">
        <f t="shared" si="34"/>
        <v>623</v>
      </c>
      <c r="K21" s="264">
        <v>9345</v>
      </c>
      <c r="L21" s="265">
        <v>0</v>
      </c>
      <c r="M21" s="266">
        <f t="shared" si="35"/>
        <v>9345</v>
      </c>
      <c r="N21" s="288">
        <f t="shared" si="36"/>
        <v>0</v>
      </c>
      <c r="O21" s="304">
        <f t="shared" si="37"/>
        <v>18939.2</v>
      </c>
      <c r="P21" s="304">
        <f t="shared" si="38"/>
        <v>17533.650000000001</v>
      </c>
      <c r="Q21" s="288">
        <f t="shared" si="39"/>
        <v>1405.5499999999993</v>
      </c>
      <c r="R21" s="289">
        <f t="shared" si="40"/>
        <v>0.21360000000000001</v>
      </c>
      <c r="S21" s="288">
        <f t="shared" si="41"/>
        <v>300.22547999999983</v>
      </c>
      <c r="T21" s="290">
        <f t="shared" si="42"/>
        <v>1856.84</v>
      </c>
      <c r="U21" s="288">
        <f t="shared" si="43"/>
        <v>2157.0654799999998</v>
      </c>
      <c r="V21" s="288">
        <f t="shared" si="44"/>
        <v>0</v>
      </c>
      <c r="W21" s="288">
        <f t="shared" si="45"/>
        <v>1064.3399999999999</v>
      </c>
      <c r="X21" s="266">
        <f t="shared" si="46"/>
        <v>0</v>
      </c>
      <c r="Y21" s="266">
        <f t="shared" si="47"/>
        <v>1064.3399999999999</v>
      </c>
      <c r="Z21" s="267">
        <v>0</v>
      </c>
      <c r="AA21" s="266">
        <f t="shared" si="48"/>
        <v>1064.3399999999999</v>
      </c>
      <c r="AB21" s="266">
        <f t="shared" si="49"/>
        <v>8280.66</v>
      </c>
      <c r="AC21" s="268"/>
      <c r="AI21" s="271"/>
    </row>
    <row r="22" spans="1:35" s="270" customFormat="1" ht="229.5" customHeight="1" x14ac:dyDescent="0.2">
      <c r="A22" s="317"/>
      <c r="B22" s="257" t="s">
        <v>234</v>
      </c>
      <c r="C22" s="257" t="s">
        <v>108</v>
      </c>
      <c r="D22" s="318" t="s">
        <v>235</v>
      </c>
      <c r="E22" s="134" t="s">
        <v>236</v>
      </c>
      <c r="F22" s="134" t="s">
        <v>237</v>
      </c>
      <c r="G22" s="200">
        <v>44728</v>
      </c>
      <c r="H22" s="261" t="s">
        <v>485</v>
      </c>
      <c r="I22" s="277">
        <v>15</v>
      </c>
      <c r="J22" s="263">
        <f t="shared" si="34"/>
        <v>623</v>
      </c>
      <c r="K22" s="264">
        <v>9345</v>
      </c>
      <c r="L22" s="265">
        <v>0</v>
      </c>
      <c r="M22" s="266">
        <f t="shared" si="35"/>
        <v>9345</v>
      </c>
      <c r="N22" s="288">
        <f t="shared" si="36"/>
        <v>0</v>
      </c>
      <c r="O22" s="304">
        <f t="shared" si="37"/>
        <v>18939.2</v>
      </c>
      <c r="P22" s="304">
        <f t="shared" si="38"/>
        <v>17533.650000000001</v>
      </c>
      <c r="Q22" s="288">
        <f t="shared" si="39"/>
        <v>1405.5499999999993</v>
      </c>
      <c r="R22" s="289">
        <f t="shared" si="40"/>
        <v>0.21360000000000001</v>
      </c>
      <c r="S22" s="288">
        <f t="shared" si="41"/>
        <v>300.22547999999983</v>
      </c>
      <c r="T22" s="290">
        <f t="shared" si="42"/>
        <v>1856.84</v>
      </c>
      <c r="U22" s="288">
        <f t="shared" si="43"/>
        <v>2157.0654799999998</v>
      </c>
      <c r="V22" s="288">
        <f t="shared" si="44"/>
        <v>0</v>
      </c>
      <c r="W22" s="288">
        <f t="shared" si="45"/>
        <v>1064.3399999999999</v>
      </c>
      <c r="X22" s="266">
        <f t="shared" si="46"/>
        <v>0</v>
      </c>
      <c r="Y22" s="266">
        <f t="shared" si="47"/>
        <v>1064.3399999999999</v>
      </c>
      <c r="Z22" s="267">
        <v>0</v>
      </c>
      <c r="AA22" s="266">
        <f t="shared" si="48"/>
        <v>1064.3399999999999</v>
      </c>
      <c r="AB22" s="266">
        <f t="shared" si="49"/>
        <v>8280.66</v>
      </c>
      <c r="AC22" s="268"/>
      <c r="AI22" s="271"/>
    </row>
    <row r="23" spans="1:35" s="270" customFormat="1" ht="229.5" customHeight="1" x14ac:dyDescent="0.2">
      <c r="A23" s="317"/>
      <c r="B23" s="257" t="s">
        <v>306</v>
      </c>
      <c r="C23" s="257" t="s">
        <v>108</v>
      </c>
      <c r="D23" s="258" t="s">
        <v>307</v>
      </c>
      <c r="E23" s="259" t="s">
        <v>308</v>
      </c>
      <c r="F23" s="259" t="s">
        <v>309</v>
      </c>
      <c r="G23" s="320">
        <v>45475</v>
      </c>
      <c r="H23" s="261" t="s">
        <v>485</v>
      </c>
      <c r="I23" s="277">
        <v>15</v>
      </c>
      <c r="J23" s="263">
        <f t="shared" si="34"/>
        <v>498.46666666666664</v>
      </c>
      <c r="K23" s="264">
        <v>7477</v>
      </c>
      <c r="L23" s="265">
        <v>0</v>
      </c>
      <c r="M23" s="266">
        <f t="shared" si="35"/>
        <v>7477</v>
      </c>
      <c r="N23" s="288">
        <f t="shared" si="36"/>
        <v>0</v>
      </c>
      <c r="O23" s="304">
        <f t="shared" si="37"/>
        <v>15153.386666666665</v>
      </c>
      <c r="P23" s="304">
        <f t="shared" si="38"/>
        <v>14644.65</v>
      </c>
      <c r="Q23" s="288">
        <f t="shared" si="39"/>
        <v>508.73666666666577</v>
      </c>
      <c r="R23" s="289">
        <f t="shared" si="40"/>
        <v>0.1792</v>
      </c>
      <c r="S23" s="288">
        <f t="shared" si="41"/>
        <v>91.16561066666651</v>
      </c>
      <c r="T23" s="290">
        <f t="shared" si="42"/>
        <v>1339.14</v>
      </c>
      <c r="U23" s="288">
        <f t="shared" si="43"/>
        <v>1430.3056106666666</v>
      </c>
      <c r="V23" s="288">
        <f t="shared" si="44"/>
        <v>0</v>
      </c>
      <c r="W23" s="288">
        <f t="shared" si="45"/>
        <v>705.74</v>
      </c>
      <c r="X23" s="266">
        <f t="shared" si="46"/>
        <v>0</v>
      </c>
      <c r="Y23" s="266">
        <f t="shared" si="47"/>
        <v>705.74</v>
      </c>
      <c r="Z23" s="267">
        <v>0</v>
      </c>
      <c r="AA23" s="266">
        <f t="shared" si="48"/>
        <v>705.74</v>
      </c>
      <c r="AB23" s="266">
        <f>M23+X23-AA23</f>
        <v>6771.26</v>
      </c>
      <c r="AC23" s="268"/>
      <c r="AD23" s="319"/>
      <c r="AI23" s="271"/>
    </row>
    <row r="24" spans="1:35" s="270" customFormat="1" ht="229.5" customHeight="1" x14ac:dyDescent="0.2">
      <c r="A24" s="317"/>
      <c r="B24" s="257" t="s">
        <v>409</v>
      </c>
      <c r="C24" s="257" t="s">
        <v>108</v>
      </c>
      <c r="D24" s="258" t="s">
        <v>410</v>
      </c>
      <c r="E24" s="259" t="s">
        <v>411</v>
      </c>
      <c r="F24" s="259" t="s">
        <v>412</v>
      </c>
      <c r="G24" s="320">
        <v>45566</v>
      </c>
      <c r="H24" s="261" t="s">
        <v>487</v>
      </c>
      <c r="I24" s="277">
        <v>15</v>
      </c>
      <c r="J24" s="263">
        <f t="shared" ref="J24:J25" si="50">K24/I24</f>
        <v>468.73333333333335</v>
      </c>
      <c r="K24" s="264">
        <v>7031</v>
      </c>
      <c r="L24" s="265">
        <v>0</v>
      </c>
      <c r="M24" s="266">
        <f t="shared" ref="M24:M25" si="51">SUM(K24:L24)</f>
        <v>7031</v>
      </c>
      <c r="N24" s="288">
        <f t="shared" ref="N24:N25" si="52">IF(K24/15&lt;=SMG,0,L24/2)</f>
        <v>0</v>
      </c>
      <c r="O24" s="304">
        <f t="shared" ref="O24:O25" si="53">(K24+N24)/I24*30.4</f>
        <v>14249.493333333334</v>
      </c>
      <c r="P24" s="304">
        <f t="shared" ref="P24:P25" si="54">VLOOKUP(O24,Tarifa,1)</f>
        <v>12598.03</v>
      </c>
      <c r="Q24" s="288">
        <f t="shared" ref="Q24:Q25" si="55">O24-P24</f>
        <v>1651.4633333333331</v>
      </c>
      <c r="R24" s="289">
        <f t="shared" ref="R24:R25" si="56">VLOOKUP(O24,Tarifa,3)</f>
        <v>0.16</v>
      </c>
      <c r="S24" s="288">
        <f t="shared" ref="S24:S25" si="57">Q24*R24</f>
        <v>264.23413333333332</v>
      </c>
      <c r="T24" s="290">
        <f t="shared" ref="T24:T25" si="58">VLOOKUP(O24,Tarifa,2)</f>
        <v>1011.68</v>
      </c>
      <c r="U24" s="288">
        <f t="shared" ref="U24:U25" si="59">S24+T24</f>
        <v>1275.9141333333332</v>
      </c>
      <c r="V24" s="288">
        <f t="shared" ref="V24:V25" si="60">VLOOKUP(O24,Credito,2)</f>
        <v>0</v>
      </c>
      <c r="W24" s="288">
        <f t="shared" ref="W24:W25" si="61">ROUND((U24-V24)/30.4*I24,2)</f>
        <v>629.55999999999995</v>
      </c>
      <c r="X24" s="266">
        <f t="shared" ref="X24:X25" si="62">-IF(W24&gt;0,0,0)</f>
        <v>0</v>
      </c>
      <c r="Y24" s="266">
        <f t="shared" ref="Y24:Y25" si="63">IF(K24/15&lt;=SMG,0,IF(W24&lt;0,0,W24))</f>
        <v>629.55999999999995</v>
      </c>
      <c r="Z24" s="267">
        <v>0</v>
      </c>
      <c r="AA24" s="266">
        <f t="shared" ref="AA24:AA25" si="64">SUM(Y24:Z24)</f>
        <v>629.55999999999995</v>
      </c>
      <c r="AB24" s="266">
        <f t="shared" ref="AB24:AB25" si="65">M24+X24-AA24</f>
        <v>6401.4400000000005</v>
      </c>
      <c r="AC24" s="268"/>
      <c r="AD24" s="319"/>
      <c r="AI24" s="271"/>
    </row>
    <row r="25" spans="1:35" s="91" customFormat="1" ht="229.5" customHeight="1" x14ac:dyDescent="0.25">
      <c r="A25" s="143"/>
      <c r="B25" s="279" t="s">
        <v>350</v>
      </c>
      <c r="C25" s="273" t="s">
        <v>108</v>
      </c>
      <c r="D25" s="258" t="s">
        <v>351</v>
      </c>
      <c r="E25" s="259" t="s">
        <v>352</v>
      </c>
      <c r="F25" s="259" t="s">
        <v>353</v>
      </c>
      <c r="G25" s="260">
        <v>45459</v>
      </c>
      <c r="H25" s="261" t="s">
        <v>488</v>
      </c>
      <c r="I25" s="277">
        <v>15</v>
      </c>
      <c r="J25" s="263">
        <f t="shared" si="50"/>
        <v>384.4</v>
      </c>
      <c r="K25" s="264">
        <v>5766</v>
      </c>
      <c r="L25" s="265">
        <v>0</v>
      </c>
      <c r="M25" s="266">
        <f t="shared" si="51"/>
        <v>5766</v>
      </c>
      <c r="N25" s="288">
        <f t="shared" si="52"/>
        <v>0</v>
      </c>
      <c r="O25" s="304">
        <f t="shared" si="53"/>
        <v>11685.759999999998</v>
      </c>
      <c r="P25" s="304">
        <f t="shared" si="54"/>
        <v>7168.52</v>
      </c>
      <c r="Q25" s="288">
        <f t="shared" si="55"/>
        <v>4517.239999999998</v>
      </c>
      <c r="R25" s="289">
        <f t="shared" si="56"/>
        <v>0.10879999999999999</v>
      </c>
      <c r="S25" s="288">
        <f t="shared" si="57"/>
        <v>491.47571199999976</v>
      </c>
      <c r="T25" s="290">
        <f t="shared" si="58"/>
        <v>420.95</v>
      </c>
      <c r="U25" s="288">
        <f t="shared" si="59"/>
        <v>912.42571199999975</v>
      </c>
      <c r="V25" s="288">
        <f t="shared" si="60"/>
        <v>0</v>
      </c>
      <c r="W25" s="288">
        <f t="shared" si="61"/>
        <v>450.21</v>
      </c>
      <c r="X25" s="266">
        <f t="shared" si="62"/>
        <v>0</v>
      </c>
      <c r="Y25" s="266">
        <f t="shared" si="63"/>
        <v>450.21</v>
      </c>
      <c r="Z25" s="267">
        <v>0</v>
      </c>
      <c r="AA25" s="266">
        <f t="shared" si="64"/>
        <v>450.21</v>
      </c>
      <c r="AB25" s="266">
        <f t="shared" si="65"/>
        <v>5315.79</v>
      </c>
      <c r="AC25" s="268"/>
      <c r="AI25" s="93"/>
    </row>
    <row r="26" spans="1:35" s="91" customFormat="1" ht="16.5" customHeight="1" x14ac:dyDescent="0.35">
      <c r="A26" s="143"/>
      <c r="B26" s="146"/>
      <c r="C26" s="146"/>
      <c r="D26" s="237"/>
      <c r="E26" s="236"/>
      <c r="F26" s="236"/>
      <c r="G26" s="238"/>
      <c r="H26" s="196"/>
      <c r="I26" s="208"/>
      <c r="J26" s="209"/>
      <c r="K26" s="210"/>
      <c r="L26" s="211"/>
      <c r="M26" s="212"/>
      <c r="N26" s="213"/>
      <c r="O26" s="213"/>
      <c r="P26" s="213"/>
      <c r="Q26" s="213"/>
      <c r="R26" s="214"/>
      <c r="S26" s="213"/>
      <c r="T26" s="215"/>
      <c r="U26" s="213"/>
      <c r="V26" s="213"/>
      <c r="W26" s="213"/>
      <c r="X26" s="212"/>
      <c r="Y26" s="212"/>
      <c r="Z26" s="216"/>
      <c r="AA26" s="212"/>
      <c r="AB26" s="212"/>
      <c r="AC26" s="108"/>
      <c r="AI26" s="93"/>
    </row>
    <row r="27" spans="1:35" s="91" customFormat="1" ht="27.75" customHeight="1" x14ac:dyDescent="0.25">
      <c r="A27" s="143"/>
      <c r="B27" s="448" t="s">
        <v>76</v>
      </c>
      <c r="C27" s="448"/>
      <c r="D27" s="448"/>
      <c r="E27" s="448"/>
      <c r="F27" s="448"/>
      <c r="G27" s="448"/>
      <c r="H27" s="448"/>
      <c r="I27" s="448"/>
      <c r="J27" s="448"/>
      <c r="K27" s="448"/>
      <c r="L27" s="448"/>
      <c r="M27" s="448"/>
      <c r="N27" s="448"/>
      <c r="O27" s="448"/>
      <c r="P27" s="448"/>
      <c r="Q27" s="448"/>
      <c r="R27" s="448"/>
      <c r="S27" s="448"/>
      <c r="T27" s="448"/>
      <c r="U27" s="448"/>
      <c r="V27" s="448"/>
      <c r="W27" s="448"/>
      <c r="X27" s="448"/>
      <c r="Y27" s="448"/>
      <c r="Z27" s="448"/>
      <c r="AA27" s="448"/>
      <c r="AB27" s="448"/>
      <c r="AC27" s="448"/>
      <c r="AD27" s="448"/>
      <c r="AI27" s="93"/>
    </row>
    <row r="28" spans="1:35" s="91" customFormat="1" ht="27.75" customHeight="1" x14ac:dyDescent="0.25">
      <c r="A28" s="143"/>
      <c r="B28" s="448" t="s">
        <v>64</v>
      </c>
      <c r="C28" s="448"/>
      <c r="D28" s="448"/>
      <c r="E28" s="448"/>
      <c r="F28" s="448"/>
      <c r="G28" s="448"/>
      <c r="H28" s="448"/>
      <c r="I28" s="448"/>
      <c r="J28" s="448"/>
      <c r="K28" s="448"/>
      <c r="L28" s="448"/>
      <c r="M28" s="448"/>
      <c r="N28" s="448"/>
      <c r="O28" s="448"/>
      <c r="P28" s="448"/>
      <c r="Q28" s="448"/>
      <c r="R28" s="448"/>
      <c r="S28" s="448"/>
      <c r="T28" s="448"/>
      <c r="U28" s="448"/>
      <c r="V28" s="448"/>
      <c r="W28" s="448"/>
      <c r="X28" s="448"/>
      <c r="Y28" s="448"/>
      <c r="Z28" s="448"/>
      <c r="AA28" s="448"/>
      <c r="AB28" s="448"/>
      <c r="AC28" s="448"/>
      <c r="AD28" s="448"/>
      <c r="AI28" s="93"/>
    </row>
    <row r="29" spans="1:35" s="91" customFormat="1" ht="27.75" customHeight="1" x14ac:dyDescent="0.3">
      <c r="A29" s="143"/>
      <c r="B29" s="470" t="str">
        <f>PRESIDENCIA!A3</f>
        <v>SUELDO  DEL 01 AL 15 DE ENERO DE 2026</v>
      </c>
      <c r="C29" s="470"/>
      <c r="D29" s="470"/>
      <c r="E29" s="470"/>
      <c r="F29" s="470"/>
      <c r="G29" s="470"/>
      <c r="H29" s="470"/>
      <c r="I29" s="470"/>
      <c r="J29" s="470"/>
      <c r="K29" s="470"/>
      <c r="L29" s="470"/>
      <c r="M29" s="470"/>
      <c r="N29" s="470"/>
      <c r="O29" s="470"/>
      <c r="P29" s="470"/>
      <c r="Q29" s="470"/>
      <c r="R29" s="470"/>
      <c r="S29" s="470"/>
      <c r="T29" s="470"/>
      <c r="U29" s="470"/>
      <c r="V29" s="470"/>
      <c r="W29" s="470"/>
      <c r="X29" s="470"/>
      <c r="Y29" s="470"/>
      <c r="Z29" s="470"/>
      <c r="AA29" s="470"/>
      <c r="AB29" s="470"/>
      <c r="AC29" s="470"/>
      <c r="AI29" s="93"/>
    </row>
    <row r="30" spans="1:35" s="91" customFormat="1" ht="30.75" customHeight="1" x14ac:dyDescent="0.35">
      <c r="A30" s="143"/>
      <c r="B30" s="146"/>
      <c r="C30" s="146"/>
      <c r="D30" s="237"/>
      <c r="E30" s="236"/>
      <c r="F30" s="236"/>
      <c r="G30" s="238"/>
      <c r="H30" s="196"/>
      <c r="I30" s="208"/>
      <c r="J30" s="209"/>
      <c r="K30" s="210"/>
      <c r="L30" s="211"/>
      <c r="M30" s="212"/>
      <c r="N30" s="213"/>
      <c r="O30" s="213"/>
      <c r="P30" s="213"/>
      <c r="Q30" s="213"/>
      <c r="R30" s="214"/>
      <c r="S30" s="213"/>
      <c r="T30" s="215"/>
      <c r="U30" s="213"/>
      <c r="V30" s="213"/>
      <c r="W30" s="213"/>
      <c r="X30" s="212"/>
      <c r="Y30" s="212"/>
      <c r="Z30" s="216"/>
      <c r="AA30" s="212"/>
      <c r="AB30" s="212"/>
      <c r="AC30" s="108"/>
      <c r="AI30" s="93"/>
    </row>
    <row r="31" spans="1:35" s="91" customFormat="1" ht="176.25" customHeight="1" x14ac:dyDescent="0.25">
      <c r="A31" s="143"/>
      <c r="B31" s="256" t="s">
        <v>579</v>
      </c>
      <c r="C31" s="256" t="s">
        <v>108</v>
      </c>
      <c r="D31" s="280" t="s">
        <v>580</v>
      </c>
      <c r="E31" s="315" t="s">
        <v>581</v>
      </c>
      <c r="F31" s="316" t="s">
        <v>582</v>
      </c>
      <c r="G31" s="314">
        <v>45078</v>
      </c>
      <c r="H31" s="261" t="s">
        <v>583</v>
      </c>
      <c r="I31" s="277">
        <v>15</v>
      </c>
      <c r="J31" s="263">
        <f t="shared" ref="J31" si="66">K31/I31</f>
        <v>623</v>
      </c>
      <c r="K31" s="264">
        <v>9345</v>
      </c>
      <c r="L31" s="265">
        <v>0</v>
      </c>
      <c r="M31" s="266">
        <f t="shared" ref="M31" si="67">SUM(K31:L31)</f>
        <v>9345</v>
      </c>
      <c r="N31" s="288">
        <f t="shared" ref="N31" si="68">IF(K31/15&lt;=SMG,0,L31/2)</f>
        <v>0</v>
      </c>
      <c r="O31" s="304">
        <f t="shared" ref="O31" si="69">(K31+N31)/I31*30.4</f>
        <v>18939.2</v>
      </c>
      <c r="P31" s="304">
        <f t="shared" ref="P31" si="70">VLOOKUP(O31,Tarifa,1)</f>
        <v>17533.650000000001</v>
      </c>
      <c r="Q31" s="288">
        <f t="shared" ref="Q31" si="71">O31-P31</f>
        <v>1405.5499999999993</v>
      </c>
      <c r="R31" s="289">
        <f t="shared" ref="R31" si="72">VLOOKUP(O31,Tarifa,3)</f>
        <v>0.21360000000000001</v>
      </c>
      <c r="S31" s="288">
        <f t="shared" ref="S31" si="73">Q31*R31</f>
        <v>300.22547999999983</v>
      </c>
      <c r="T31" s="290">
        <f t="shared" ref="T31" si="74">VLOOKUP(O31,Tarifa,2)</f>
        <v>1856.84</v>
      </c>
      <c r="U31" s="288">
        <f t="shared" ref="U31" si="75">S31+T31</f>
        <v>2157.0654799999998</v>
      </c>
      <c r="V31" s="288">
        <f t="shared" ref="V31" si="76">VLOOKUP(O31,Credito,2)</f>
        <v>0</v>
      </c>
      <c r="W31" s="288">
        <f t="shared" ref="W31" si="77">ROUND((U31-V31)/30.4*I31,2)</f>
        <v>1064.3399999999999</v>
      </c>
      <c r="X31" s="266">
        <f t="shared" ref="X31" si="78">-IF(W31&gt;0,0,0)</f>
        <v>0</v>
      </c>
      <c r="Y31" s="266">
        <f t="shared" ref="Y31" si="79">IF(K31/15&lt;=SMG,0,IF(W31&lt;0,0,W31))</f>
        <v>1064.3399999999999</v>
      </c>
      <c r="Z31" s="267">
        <v>0</v>
      </c>
      <c r="AA31" s="266">
        <f t="shared" ref="AA31" si="80">SUM(Y31:Z31)</f>
        <v>1064.3399999999999</v>
      </c>
      <c r="AB31" s="266">
        <f t="shared" ref="AB31" si="81">M31+X31-AA31</f>
        <v>8280.66</v>
      </c>
      <c r="AC31" s="268"/>
      <c r="AI31" s="93"/>
    </row>
    <row r="32" spans="1:35" s="270" customFormat="1" ht="176.25" customHeight="1" x14ac:dyDescent="0.2">
      <c r="A32" s="255"/>
      <c r="B32" s="273" t="s">
        <v>354</v>
      </c>
      <c r="C32" s="273" t="s">
        <v>108</v>
      </c>
      <c r="D32" s="254" t="s">
        <v>355</v>
      </c>
      <c r="E32" s="135" t="s">
        <v>357</v>
      </c>
      <c r="F32" s="135" t="s">
        <v>358</v>
      </c>
      <c r="G32" s="157">
        <v>45459</v>
      </c>
      <c r="H32" s="261" t="s">
        <v>488</v>
      </c>
      <c r="I32" s="277">
        <v>15</v>
      </c>
      <c r="J32" s="263">
        <f t="shared" ref="J32" si="82">K32/I32</f>
        <v>384.4</v>
      </c>
      <c r="K32" s="264">
        <v>5766</v>
      </c>
      <c r="L32" s="265">
        <v>0</v>
      </c>
      <c r="M32" s="266">
        <f t="shared" ref="M32" si="83">SUM(K32:L32)</f>
        <v>5766</v>
      </c>
      <c r="N32" s="288">
        <f t="shared" ref="N32" si="84">IF(K32/15&lt;=SMG,0,L32/2)</f>
        <v>0</v>
      </c>
      <c r="O32" s="304">
        <f t="shared" ref="O32" si="85">(K32+N32)/I32*30.4</f>
        <v>11685.759999999998</v>
      </c>
      <c r="P32" s="304">
        <f t="shared" ref="P32" si="86">VLOOKUP(O32,Tarifa,1)</f>
        <v>7168.52</v>
      </c>
      <c r="Q32" s="288">
        <f t="shared" ref="Q32" si="87">O32-P32</f>
        <v>4517.239999999998</v>
      </c>
      <c r="R32" s="289">
        <f t="shared" ref="R32" si="88">VLOOKUP(O32,Tarifa,3)</f>
        <v>0.10879999999999999</v>
      </c>
      <c r="S32" s="288">
        <f t="shared" ref="S32" si="89">Q32*R32</f>
        <v>491.47571199999976</v>
      </c>
      <c r="T32" s="290">
        <f t="shared" ref="T32" si="90">VLOOKUP(O32,Tarifa,2)</f>
        <v>420.95</v>
      </c>
      <c r="U32" s="288">
        <f t="shared" ref="U32" si="91">S32+T32</f>
        <v>912.42571199999975</v>
      </c>
      <c r="V32" s="288">
        <f t="shared" ref="V32" si="92">VLOOKUP(O32,Credito,2)</f>
        <v>0</v>
      </c>
      <c r="W32" s="288">
        <f t="shared" ref="W32" si="93">ROUND((U32-V32)/30.4*I32,2)</f>
        <v>450.21</v>
      </c>
      <c r="X32" s="266">
        <f t="shared" ref="X32:X33" si="94">-IF(W32&gt;0,0,0)</f>
        <v>0</v>
      </c>
      <c r="Y32" s="266">
        <f t="shared" ref="Y32:Y33" si="95">IF(K32/15&lt;=SMG,0,IF(W32&lt;0,0,W32))</f>
        <v>450.21</v>
      </c>
      <c r="Z32" s="267">
        <v>0</v>
      </c>
      <c r="AA32" s="266">
        <f t="shared" ref="AA32:AA33" si="96">SUM(Y32:Z32)</f>
        <v>450.21</v>
      </c>
      <c r="AB32" s="266">
        <f t="shared" ref="AB32" si="97">M32+X32-AA32</f>
        <v>5315.79</v>
      </c>
      <c r="AC32" s="268"/>
      <c r="AI32" s="271"/>
    </row>
    <row r="33" spans="1:35" s="270" customFormat="1" ht="176.25" customHeight="1" x14ac:dyDescent="0.2">
      <c r="A33" s="255"/>
      <c r="B33" s="257" t="s">
        <v>242</v>
      </c>
      <c r="C33" s="257" t="s">
        <v>108</v>
      </c>
      <c r="D33" s="318" t="s">
        <v>240</v>
      </c>
      <c r="E33" s="134" t="s">
        <v>238</v>
      </c>
      <c r="F33" s="134" t="s">
        <v>239</v>
      </c>
      <c r="G33" s="260">
        <v>44728</v>
      </c>
      <c r="H33" s="261" t="s">
        <v>241</v>
      </c>
      <c r="I33" s="277">
        <v>15</v>
      </c>
      <c r="J33" s="263">
        <f>K33/I33</f>
        <v>455.53333333333336</v>
      </c>
      <c r="K33" s="264">
        <v>6833</v>
      </c>
      <c r="L33" s="265">
        <v>0</v>
      </c>
      <c r="M33" s="264">
        <f>K33</f>
        <v>6833</v>
      </c>
      <c r="N33" s="288">
        <f>IF(K33/15&lt;=SMG,0,L33/2)</f>
        <v>0</v>
      </c>
      <c r="O33" s="304">
        <f>(K33+N33)/I33*30.4</f>
        <v>13848.213333333333</v>
      </c>
      <c r="P33" s="304">
        <f>VLOOKUP(O33,Tarifa,1)</f>
        <v>12598.03</v>
      </c>
      <c r="Q33" s="288">
        <f>O33-P33</f>
        <v>1250.1833333333325</v>
      </c>
      <c r="R33" s="289">
        <f>VLOOKUP(O33,Tarifa,3)</f>
        <v>0.16</v>
      </c>
      <c r="S33" s="288">
        <f>Q33*R33</f>
        <v>200.0293333333332</v>
      </c>
      <c r="T33" s="290">
        <f>VLOOKUP(O33,Tarifa,2)</f>
        <v>1011.68</v>
      </c>
      <c r="U33" s="288">
        <f>S33+T33</f>
        <v>1211.7093333333332</v>
      </c>
      <c r="V33" s="288">
        <f>VLOOKUP(O33,Credito,2)</f>
        <v>0</v>
      </c>
      <c r="W33" s="288">
        <f>ROUND((U33-V33)/30.4*I33,2)</f>
        <v>597.88</v>
      </c>
      <c r="X33" s="266">
        <f t="shared" si="94"/>
        <v>0</v>
      </c>
      <c r="Y33" s="266">
        <f t="shared" si="95"/>
        <v>597.88</v>
      </c>
      <c r="Z33" s="267">
        <v>0</v>
      </c>
      <c r="AA33" s="266">
        <f t="shared" si="96"/>
        <v>597.88</v>
      </c>
      <c r="AB33" s="266">
        <f>M33+X33-AA33+L33</f>
        <v>6235.12</v>
      </c>
      <c r="AC33" s="278"/>
      <c r="AI33" s="271"/>
    </row>
    <row r="34" spans="1:35" s="270" customFormat="1" ht="176.25" customHeight="1" x14ac:dyDescent="0.2">
      <c r="A34" s="255"/>
      <c r="B34" s="273" t="s">
        <v>267</v>
      </c>
      <c r="C34" s="273" t="s">
        <v>108</v>
      </c>
      <c r="D34" s="280" t="s">
        <v>268</v>
      </c>
      <c r="E34" s="281" t="s">
        <v>269</v>
      </c>
      <c r="F34" s="281" t="s">
        <v>270</v>
      </c>
      <c r="G34" s="321">
        <v>45078</v>
      </c>
      <c r="H34" s="261" t="s">
        <v>491</v>
      </c>
      <c r="I34" s="277">
        <v>15</v>
      </c>
      <c r="J34" s="263">
        <f>K34/I34</f>
        <v>327</v>
      </c>
      <c r="K34" s="264">
        <v>4905</v>
      </c>
      <c r="L34" s="265">
        <v>0</v>
      </c>
      <c r="M34" s="266">
        <f t="shared" ref="M34" si="98">SUM(K34:L34)</f>
        <v>4905</v>
      </c>
      <c r="N34" s="288">
        <f>IF(K34/15&lt;=SMG,0,L34/2)</f>
        <v>0</v>
      </c>
      <c r="O34" s="304">
        <f>(K34+N34)/I34*30.4</f>
        <v>9940.7999999999993</v>
      </c>
      <c r="P34" s="304">
        <f>VLOOKUP(O34,Tarifa,1)</f>
        <v>7168.52</v>
      </c>
      <c r="Q34" s="288">
        <f>O34-P34</f>
        <v>2772.2799999999988</v>
      </c>
      <c r="R34" s="289">
        <f>VLOOKUP(O34,Tarifa,3)</f>
        <v>0.10879999999999999</v>
      </c>
      <c r="S34" s="288">
        <f>Q34*R34</f>
        <v>301.62406399999986</v>
      </c>
      <c r="T34" s="290">
        <f>VLOOKUP(O34,Tarifa,2)</f>
        <v>420.95</v>
      </c>
      <c r="U34" s="288">
        <f>S34+T34</f>
        <v>722.57406399999991</v>
      </c>
      <c r="V34" s="288">
        <f>VLOOKUP(O34,Credito,2)</f>
        <v>536.21</v>
      </c>
      <c r="W34" s="288">
        <f>ROUND((U34-V34)/30.4*I34,2)</f>
        <v>91.96</v>
      </c>
      <c r="X34" s="266">
        <f>-IF(W34&gt;0,0,0)</f>
        <v>0</v>
      </c>
      <c r="Y34" s="266">
        <f>IF(K34/15&lt;=SMG,0,IF(W34&lt;0,0,W34))</f>
        <v>91.96</v>
      </c>
      <c r="Z34" s="267">
        <v>0</v>
      </c>
      <c r="AA34" s="266">
        <f>SUM(Y34:Z34)</f>
        <v>91.96</v>
      </c>
      <c r="AB34" s="266">
        <f>M34+X34-AA34</f>
        <v>4813.04</v>
      </c>
      <c r="AC34" s="275"/>
      <c r="AI34" s="271"/>
    </row>
    <row r="35" spans="1:35" s="270" customFormat="1" ht="176.25" customHeight="1" x14ac:dyDescent="0.2">
      <c r="A35" s="255"/>
      <c r="B35" s="279" t="s">
        <v>559</v>
      </c>
      <c r="C35" s="273" t="s">
        <v>108</v>
      </c>
      <c r="D35" s="258" t="s">
        <v>560</v>
      </c>
      <c r="E35" s="259" t="s">
        <v>561</v>
      </c>
      <c r="F35" s="259" t="s">
        <v>562</v>
      </c>
      <c r="G35" s="260">
        <v>45754</v>
      </c>
      <c r="H35" s="261" t="s">
        <v>67</v>
      </c>
      <c r="I35" s="262">
        <v>15</v>
      </c>
      <c r="J35" s="263">
        <f t="shared" ref="J35" si="99">K35/I35</f>
        <v>496.93333333333334</v>
      </c>
      <c r="K35" s="264">
        <v>7454</v>
      </c>
      <c r="L35" s="265">
        <v>0</v>
      </c>
      <c r="M35" s="266">
        <f>SUM(K35:L35)</f>
        <v>7454</v>
      </c>
      <c r="N35" s="288">
        <f>IF(K35/15&lt;=SMG,0,L35/2)</f>
        <v>0</v>
      </c>
      <c r="O35" s="304">
        <f>(K35+N35)/I35*30.4</f>
        <v>15106.773333333333</v>
      </c>
      <c r="P35" s="304">
        <f>VLOOKUP(O35,Tarifa,1)</f>
        <v>14644.65</v>
      </c>
      <c r="Q35" s="288">
        <f>O35-P35</f>
        <v>462.12333333333299</v>
      </c>
      <c r="R35" s="289">
        <f>VLOOKUP(O35,Tarifa,3)</f>
        <v>0.1792</v>
      </c>
      <c r="S35" s="288">
        <f>Q35*R35</f>
        <v>82.812501333333273</v>
      </c>
      <c r="T35" s="290">
        <f>VLOOKUP(O35,Tarifa,2)</f>
        <v>1339.14</v>
      </c>
      <c r="U35" s="288">
        <f>S35+T35</f>
        <v>1421.9525013333334</v>
      </c>
      <c r="V35" s="288">
        <f>VLOOKUP(O35,Credito,2)</f>
        <v>0</v>
      </c>
      <c r="W35" s="288">
        <f>ROUND((U35-V35)/30.4*I35,2)</f>
        <v>701.62</v>
      </c>
      <c r="X35" s="266">
        <f>-IF(W35&gt;0,0,0)</f>
        <v>0</v>
      </c>
      <c r="Y35" s="266">
        <f>IF(K35/15&lt;=SMG,0,IF(W35&lt;0,0,W35))</f>
        <v>701.62</v>
      </c>
      <c r="Z35" s="267">
        <v>0</v>
      </c>
      <c r="AA35" s="266">
        <f>SUM(Y35:Z35)</f>
        <v>701.62</v>
      </c>
      <c r="AB35" s="266">
        <f>M35+X35-AA35</f>
        <v>6752.38</v>
      </c>
      <c r="AC35" s="275"/>
      <c r="AI35" s="271"/>
    </row>
    <row r="36" spans="1:35" s="52" customFormat="1" ht="39" customHeight="1" thickBot="1" x14ac:dyDescent="0.35">
      <c r="A36" s="445" t="s">
        <v>44</v>
      </c>
      <c r="B36" s="446"/>
      <c r="C36" s="446"/>
      <c r="D36" s="446"/>
      <c r="E36" s="446"/>
      <c r="F36" s="446"/>
      <c r="G36" s="446"/>
      <c r="H36" s="446"/>
      <c r="I36" s="446"/>
      <c r="J36" s="447"/>
      <c r="K36" s="198">
        <f t="shared" ref="K36:AB36" si="100">SUM(K9:K35)</f>
        <v>138007.76</v>
      </c>
      <c r="L36" s="198">
        <f t="shared" si="100"/>
        <v>0</v>
      </c>
      <c r="M36" s="198">
        <f t="shared" si="100"/>
        <v>138007.76</v>
      </c>
      <c r="N36" s="199">
        <f t="shared" si="100"/>
        <v>0</v>
      </c>
      <c r="O36" s="199">
        <f t="shared" si="100"/>
        <v>279695.72693333338</v>
      </c>
      <c r="P36" s="199">
        <f t="shared" si="100"/>
        <v>220232.02999999994</v>
      </c>
      <c r="Q36" s="199">
        <f t="shared" si="100"/>
        <v>59463.696933333325</v>
      </c>
      <c r="R36" s="199">
        <f t="shared" si="100"/>
        <v>2.8264</v>
      </c>
      <c r="S36" s="199">
        <f t="shared" si="100"/>
        <v>10145.239402346666</v>
      </c>
      <c r="T36" s="199">
        <f t="shared" si="100"/>
        <v>20225.22</v>
      </c>
      <c r="U36" s="199">
        <f t="shared" si="100"/>
        <v>30370.459402346663</v>
      </c>
      <c r="V36" s="199">
        <f t="shared" si="100"/>
        <v>1072.42</v>
      </c>
      <c r="W36" s="199">
        <f t="shared" si="100"/>
        <v>14456.259999999997</v>
      </c>
      <c r="X36" s="198">
        <f t="shared" si="100"/>
        <v>0</v>
      </c>
      <c r="Y36" s="198">
        <f t="shared" si="100"/>
        <v>14443.589999999997</v>
      </c>
      <c r="Z36" s="198">
        <f t="shared" si="100"/>
        <v>0</v>
      </c>
      <c r="AA36" s="198">
        <f t="shared" si="100"/>
        <v>14443.589999999997</v>
      </c>
      <c r="AB36" s="198">
        <f t="shared" si="100"/>
        <v>123564.16999999998</v>
      </c>
      <c r="AC36" s="108"/>
    </row>
    <row r="37" spans="1:35" s="52" customFormat="1" ht="26.25" customHeight="1" thickTop="1" x14ac:dyDescent="0.2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4"/>
      <c r="L37" s="104"/>
      <c r="M37" s="104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4"/>
      <c r="Y37" s="104"/>
      <c r="Z37" s="104"/>
      <c r="AA37" s="104"/>
      <c r="AB37" s="104"/>
    </row>
    <row r="38" spans="1:35" s="52" customFormat="1" ht="26.25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4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4"/>
      <c r="Z38" s="104"/>
      <c r="AA38" s="104"/>
      <c r="AB38" s="104"/>
    </row>
    <row r="39" spans="1:35" s="52" customFormat="1" ht="26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6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6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24.7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4"/>
      <c r="L46" s="104"/>
      <c r="M46" s="104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4"/>
      <c r="Y46" s="104"/>
      <c r="Z46" s="104"/>
      <c r="AA46" s="104"/>
      <c r="AB46" s="104"/>
    </row>
    <row r="47" spans="1:35" s="52" customFormat="1" ht="14.25" x14ac:dyDescent="0.2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35" s="52" customFormat="1" ht="18" x14ac:dyDescent="0.25">
      <c r="B48" s="91"/>
      <c r="C48" s="91"/>
      <c r="D48" s="203" t="s">
        <v>454</v>
      </c>
      <c r="E48" s="203"/>
      <c r="F48" s="203"/>
      <c r="G48" s="203"/>
      <c r="H48" s="203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203" t="s">
        <v>635</v>
      </c>
      <c r="Z48" s="108"/>
      <c r="AA48" s="108"/>
      <c r="AB48" s="108"/>
    </row>
    <row r="49" spans="2:29" s="52" customFormat="1" ht="18" x14ac:dyDescent="0.25">
      <c r="B49" s="91"/>
      <c r="C49" s="91"/>
      <c r="D49" s="203" t="s">
        <v>470</v>
      </c>
      <c r="E49" s="203"/>
      <c r="F49" s="203"/>
      <c r="G49" s="203"/>
      <c r="H49" s="203"/>
      <c r="I49" s="203"/>
      <c r="J49" s="203"/>
      <c r="K49" s="203"/>
      <c r="L49" s="203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203" t="s">
        <v>196</v>
      </c>
      <c r="Z49" s="108"/>
      <c r="AA49" s="203"/>
      <c r="AB49" s="203"/>
      <c r="AC49" s="61"/>
    </row>
    <row r="50" spans="2:29" s="52" customFormat="1" ht="14.25" x14ac:dyDescent="0.2"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</sheetData>
  <mergeCells count="14">
    <mergeCell ref="A1:AC1"/>
    <mergeCell ref="A2:AC2"/>
    <mergeCell ref="A3:AC3"/>
    <mergeCell ref="K5:M5"/>
    <mergeCell ref="P5:U5"/>
    <mergeCell ref="Y5:AA5"/>
    <mergeCell ref="B17:AD17"/>
    <mergeCell ref="B18:AC18"/>
    <mergeCell ref="B29:AC29"/>
    <mergeCell ref="A36:J36"/>
    <mergeCell ref="C5:C7"/>
    <mergeCell ref="B27:AD27"/>
    <mergeCell ref="B28:AD28"/>
    <mergeCell ref="B16:AD16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6:G26 D33:F35 D23:F25 D21:G22 D30:G30 D32:G32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4"/>
  <sheetViews>
    <sheetView topLeftCell="B24" zoomScale="69" zoomScaleNormal="69" workbookViewId="0">
      <selection activeCell="B30" sqref="B30:AD30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0.28515625" customWidth="1"/>
    <col min="5" max="5" width="24.5703125" customWidth="1"/>
    <col min="6" max="6" width="31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4.5703125" customWidth="1"/>
    <col min="27" max="27" width="14.7109375" customWidth="1"/>
    <col min="28" max="28" width="16.28515625" customWidth="1"/>
    <col min="29" max="29" width="63.28515625" customWidth="1"/>
  </cols>
  <sheetData>
    <row r="1" spans="1:29" ht="18" x14ac:dyDescent="0.25">
      <c r="A1" s="459" t="s">
        <v>76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59"/>
      <c r="AB1" s="459"/>
      <c r="AC1" s="459"/>
    </row>
    <row r="2" spans="1:29" ht="18" x14ac:dyDescent="0.25">
      <c r="A2" s="459" t="s">
        <v>64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  <c r="X2" s="459"/>
      <c r="Y2" s="459"/>
      <c r="Z2" s="459"/>
      <c r="AA2" s="459"/>
      <c r="AB2" s="459"/>
      <c r="AC2" s="459"/>
    </row>
    <row r="3" spans="1:29" ht="19.5" x14ac:dyDescent="0.25">
      <c r="A3" s="449" t="str">
        <f>PRESIDENCIA!A3</f>
        <v>SUELDO  DEL 01 AL 15 DE ENERO DE 2026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</row>
    <row r="4" spans="1:29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74" t="s">
        <v>1</v>
      </c>
      <c r="L5" s="475"/>
      <c r="M5" s="476"/>
      <c r="N5" s="50" t="s">
        <v>25</v>
      </c>
      <c r="O5" s="51"/>
      <c r="P5" s="477" t="s">
        <v>8</v>
      </c>
      <c r="Q5" s="478"/>
      <c r="R5" s="478"/>
      <c r="S5" s="478"/>
      <c r="T5" s="478"/>
      <c r="U5" s="479"/>
      <c r="V5" s="50" t="s">
        <v>29</v>
      </c>
      <c r="W5" s="50" t="s">
        <v>9</v>
      </c>
      <c r="X5" s="49" t="s">
        <v>52</v>
      </c>
      <c r="Y5" s="480" t="s">
        <v>2</v>
      </c>
      <c r="Z5" s="481"/>
      <c r="AA5" s="482"/>
      <c r="AB5" s="49" t="s">
        <v>0</v>
      </c>
      <c r="AC5" s="48"/>
    </row>
    <row r="6" spans="1:29" s="52" customFormat="1" ht="24" x14ac:dyDescent="0.2">
      <c r="A6" s="53" t="s">
        <v>99</v>
      </c>
      <c r="B6" s="47" t="s">
        <v>93</v>
      </c>
      <c r="C6" s="47" t="s">
        <v>114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249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115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29" s="4" customFormat="1" ht="39.75" customHeight="1" x14ac:dyDescent="0.25">
      <c r="A8" s="95"/>
      <c r="B8" s="112"/>
      <c r="C8" s="112"/>
      <c r="D8" s="175" t="s">
        <v>69</v>
      </c>
      <c r="E8" s="175" t="s">
        <v>94</v>
      </c>
      <c r="F8" s="175" t="s">
        <v>206</v>
      </c>
      <c r="G8" s="148" t="s">
        <v>255</v>
      </c>
      <c r="H8" s="175" t="s">
        <v>61</v>
      </c>
      <c r="I8" s="175"/>
      <c r="J8" s="175"/>
      <c r="K8" s="176">
        <f>SUM(K9:K26)</f>
        <v>59036.5</v>
      </c>
      <c r="L8" s="176">
        <f>SUM(L9:L26)</f>
        <v>0</v>
      </c>
      <c r="M8" s="176">
        <f>SUM(M9:M26)</f>
        <v>59036.5</v>
      </c>
      <c r="N8" s="175"/>
      <c r="O8" s="175"/>
      <c r="P8" s="175"/>
      <c r="Q8" s="175"/>
      <c r="R8" s="175"/>
      <c r="S8" s="175"/>
      <c r="T8" s="178"/>
      <c r="U8" s="175"/>
      <c r="V8" s="175"/>
      <c r="W8" s="175"/>
      <c r="X8" s="176">
        <f>SUM(X9:X26)</f>
        <v>0</v>
      </c>
      <c r="Y8" s="176">
        <f>SUM(Y9:Y26)</f>
        <v>2258.6999999999998</v>
      </c>
      <c r="Z8" s="176">
        <f>SUM(Z9:Z26)</f>
        <v>0</v>
      </c>
      <c r="AA8" s="176">
        <f>SUM(AA9:AA26)</f>
        <v>2258.6999999999998</v>
      </c>
      <c r="AB8" s="176">
        <f>SUM(AB9:AB26)</f>
        <v>56777.8</v>
      </c>
      <c r="AC8" s="96"/>
    </row>
    <row r="9" spans="1:29" s="324" customFormat="1" ht="212.25" customHeight="1" x14ac:dyDescent="0.2">
      <c r="A9" s="322"/>
      <c r="B9" s="273" t="s">
        <v>154</v>
      </c>
      <c r="C9" s="273" t="s">
        <v>108</v>
      </c>
      <c r="D9" s="258" t="s">
        <v>150</v>
      </c>
      <c r="E9" s="259" t="s">
        <v>153</v>
      </c>
      <c r="F9" s="259" t="s">
        <v>223</v>
      </c>
      <c r="G9" s="260">
        <v>43512</v>
      </c>
      <c r="H9" s="261" t="s">
        <v>149</v>
      </c>
      <c r="I9" s="262">
        <v>15</v>
      </c>
      <c r="J9" s="263">
        <f>K9/I9</f>
        <v>373.2</v>
      </c>
      <c r="K9" s="264">
        <v>5598</v>
      </c>
      <c r="L9" s="265">
        <v>0</v>
      </c>
      <c r="M9" s="266">
        <f>SUM(K9:L9)</f>
        <v>5598</v>
      </c>
      <c r="N9" s="288">
        <f>IF(K9/15&lt;=SMG,0,L9/2)</f>
        <v>0</v>
      </c>
      <c r="O9" s="304">
        <f>(K9+N9)/I9*30.4</f>
        <v>11345.279999999999</v>
      </c>
      <c r="P9" s="304">
        <f>VLOOKUP(O9,Tarifa,1)</f>
        <v>7168.52</v>
      </c>
      <c r="Q9" s="288">
        <f>O9-P9</f>
        <v>4176.7599999999984</v>
      </c>
      <c r="R9" s="289">
        <f>VLOOKUP(O9,Tarifa,3)</f>
        <v>0.10879999999999999</v>
      </c>
      <c r="S9" s="288">
        <f>Q9*R9</f>
        <v>454.43148799999977</v>
      </c>
      <c r="T9" s="290">
        <f>VLOOKUP(O9,Tarifa,2)</f>
        <v>420.95</v>
      </c>
      <c r="U9" s="288">
        <f>S9+T9</f>
        <v>875.38148799999976</v>
      </c>
      <c r="V9" s="288">
        <f>VLOOKUP(O9,Credito,2)</f>
        <v>536.21</v>
      </c>
      <c r="W9" s="288">
        <f>ROUND((U9-V9)/30.4*I9,2)</f>
        <v>167.35</v>
      </c>
      <c r="X9" s="266">
        <f>-IF(W9&gt;0,0,0)</f>
        <v>0</v>
      </c>
      <c r="Y9" s="266">
        <f>IF(K9/15&lt;=SMG,0,IF(W9&lt;0,0,W9))</f>
        <v>167.35</v>
      </c>
      <c r="Z9" s="267">
        <v>0</v>
      </c>
      <c r="AA9" s="266">
        <f>SUM(Y9:Z9)</f>
        <v>167.35</v>
      </c>
      <c r="AB9" s="266">
        <f>M9+X9-AA9</f>
        <v>5430.65</v>
      </c>
      <c r="AC9" s="323"/>
    </row>
    <row r="10" spans="1:29" s="324" customFormat="1" ht="212.25" customHeight="1" x14ac:dyDescent="0.2">
      <c r="A10" s="322"/>
      <c r="B10" s="273" t="s">
        <v>243</v>
      </c>
      <c r="C10" s="273" t="s">
        <v>108</v>
      </c>
      <c r="D10" s="258" t="s">
        <v>245</v>
      </c>
      <c r="E10" s="268" t="s">
        <v>246</v>
      </c>
      <c r="F10" s="268" t="s">
        <v>247</v>
      </c>
      <c r="G10" s="314">
        <v>44743</v>
      </c>
      <c r="H10" s="261" t="s">
        <v>149</v>
      </c>
      <c r="I10" s="262">
        <v>15</v>
      </c>
      <c r="J10" s="263">
        <f>K10/I10</f>
        <v>373.2</v>
      </c>
      <c r="K10" s="264">
        <v>5598</v>
      </c>
      <c r="L10" s="265">
        <v>0</v>
      </c>
      <c r="M10" s="266">
        <f>SUM(K10:L10)</f>
        <v>5598</v>
      </c>
      <c r="N10" s="288">
        <f>IF(K10/15&lt;=SMG,0,L10/2)</f>
        <v>0</v>
      </c>
      <c r="O10" s="304">
        <f>(K10+N10)/I10*30.4</f>
        <v>11345.279999999999</v>
      </c>
      <c r="P10" s="304">
        <f>VLOOKUP(O10,Tarifa,1)</f>
        <v>7168.52</v>
      </c>
      <c r="Q10" s="288">
        <f>O10-P10</f>
        <v>4176.7599999999984</v>
      </c>
      <c r="R10" s="289">
        <f>VLOOKUP(O10,Tarifa,3)</f>
        <v>0.10879999999999999</v>
      </c>
      <c r="S10" s="288">
        <f>Q10*R10</f>
        <v>454.43148799999977</v>
      </c>
      <c r="T10" s="290">
        <f>VLOOKUP(O10,Tarifa,2)</f>
        <v>420.95</v>
      </c>
      <c r="U10" s="288">
        <f>S10+T10</f>
        <v>875.38148799999976</v>
      </c>
      <c r="V10" s="288">
        <f>VLOOKUP(O10,Credito,2)</f>
        <v>536.21</v>
      </c>
      <c r="W10" s="288">
        <f>ROUND((U10-V10)/30.4*I10,2)</f>
        <v>167.35</v>
      </c>
      <c r="X10" s="266">
        <f t="shared" ref="X10" si="0">-IF(W10&gt;0,0,0)</f>
        <v>0</v>
      </c>
      <c r="Y10" s="266">
        <f>IF(K10/15&lt;=SMG,0,IF(W10&lt;0,0,W10))</f>
        <v>167.35</v>
      </c>
      <c r="Z10" s="267">
        <v>0</v>
      </c>
      <c r="AA10" s="266">
        <f>SUM(Y10:Z10)</f>
        <v>167.35</v>
      </c>
      <c r="AB10" s="266">
        <f>M10+X10-AA10</f>
        <v>5430.65</v>
      </c>
      <c r="AC10" s="323"/>
    </row>
    <row r="11" spans="1:29" s="324" customFormat="1" ht="212.25" customHeight="1" x14ac:dyDescent="0.2">
      <c r="A11" s="322"/>
      <c r="B11" s="273" t="s">
        <v>96</v>
      </c>
      <c r="C11" s="273" t="s">
        <v>108</v>
      </c>
      <c r="D11" s="258" t="s">
        <v>70</v>
      </c>
      <c r="E11" s="259" t="s">
        <v>97</v>
      </c>
      <c r="F11" s="259" t="s">
        <v>209</v>
      </c>
      <c r="G11" s="260">
        <v>39448</v>
      </c>
      <c r="H11" s="261" t="s">
        <v>489</v>
      </c>
      <c r="I11" s="262">
        <v>15</v>
      </c>
      <c r="J11" s="263">
        <f>K11/I11</f>
        <v>373.2</v>
      </c>
      <c r="K11" s="264">
        <v>5598</v>
      </c>
      <c r="L11" s="265">
        <v>0</v>
      </c>
      <c r="M11" s="266">
        <f>SUM(K11:L11)</f>
        <v>5598</v>
      </c>
      <c r="N11" s="288">
        <f>IF(K11/15&lt;=SMG,0,L11/2)</f>
        <v>0</v>
      </c>
      <c r="O11" s="304">
        <f>(K11+N11)/I11*30.4</f>
        <v>11345.279999999999</v>
      </c>
      <c r="P11" s="304">
        <f>VLOOKUP(O11,Tarifa,1)</f>
        <v>7168.52</v>
      </c>
      <c r="Q11" s="288">
        <f>O11-P11</f>
        <v>4176.7599999999984</v>
      </c>
      <c r="R11" s="289">
        <f>VLOOKUP(O11,Tarifa,3)</f>
        <v>0.10879999999999999</v>
      </c>
      <c r="S11" s="288">
        <f>Q11*R11</f>
        <v>454.43148799999977</v>
      </c>
      <c r="T11" s="290">
        <f>VLOOKUP(O11,Tarifa,2)</f>
        <v>420.95</v>
      </c>
      <c r="U11" s="288">
        <f>S11+T11</f>
        <v>875.38148799999976</v>
      </c>
      <c r="V11" s="288">
        <f>VLOOKUP(O11,Credito,2)</f>
        <v>536.21</v>
      </c>
      <c r="W11" s="288">
        <f>ROUND((U11-V11)/30.4*I11,2)</f>
        <v>167.35</v>
      </c>
      <c r="X11" s="266">
        <f t="shared" ref="X11:X37" si="1">-IF(W11&gt;0,0,0)</f>
        <v>0</v>
      </c>
      <c r="Y11" s="266">
        <f>IF(K11/15&lt;=SMG,0,IF(W11&lt;0,0,W11))</f>
        <v>167.35</v>
      </c>
      <c r="Z11" s="267">
        <v>0</v>
      </c>
      <c r="AA11" s="266">
        <f>SUM(Y11:Z11)</f>
        <v>167.35</v>
      </c>
      <c r="AB11" s="266">
        <f>M11+X11-AA11</f>
        <v>5430.65</v>
      </c>
      <c r="AC11" s="323"/>
    </row>
    <row r="12" spans="1:29" s="324" customFormat="1" ht="212.25" customHeight="1" x14ac:dyDescent="0.2">
      <c r="A12" s="322"/>
      <c r="B12" s="279" t="s">
        <v>162</v>
      </c>
      <c r="C12" s="273" t="s">
        <v>108</v>
      </c>
      <c r="D12" s="280" t="s">
        <v>160</v>
      </c>
      <c r="E12" s="281" t="s">
        <v>161</v>
      </c>
      <c r="F12" s="281" t="s">
        <v>226</v>
      </c>
      <c r="G12" s="282">
        <v>43617</v>
      </c>
      <c r="H12" s="261" t="s">
        <v>489</v>
      </c>
      <c r="I12" s="262">
        <v>15</v>
      </c>
      <c r="J12" s="263">
        <f>K12/I12</f>
        <v>373.2</v>
      </c>
      <c r="K12" s="264">
        <v>5598</v>
      </c>
      <c r="L12" s="265">
        <v>0</v>
      </c>
      <c r="M12" s="266">
        <f>SUM(K12:L12)</f>
        <v>5598</v>
      </c>
      <c r="N12" s="288">
        <f>IF(K12/15&lt;=SMG,0,L12/2)</f>
        <v>0</v>
      </c>
      <c r="O12" s="304">
        <f>(K12+N12)/I12*30.4</f>
        <v>11345.279999999999</v>
      </c>
      <c r="P12" s="304">
        <f>VLOOKUP(O12,Tarifa,1)</f>
        <v>7168.52</v>
      </c>
      <c r="Q12" s="288">
        <f>O12-P12</f>
        <v>4176.7599999999984</v>
      </c>
      <c r="R12" s="289">
        <f>VLOOKUP(O12,Tarifa,3)</f>
        <v>0.10879999999999999</v>
      </c>
      <c r="S12" s="288">
        <f>Q12*R12</f>
        <v>454.43148799999977</v>
      </c>
      <c r="T12" s="290">
        <f>VLOOKUP(O12,Tarifa,2)</f>
        <v>420.95</v>
      </c>
      <c r="U12" s="288">
        <f>S12+T12</f>
        <v>875.38148799999976</v>
      </c>
      <c r="V12" s="288">
        <f>VLOOKUP(O12,Credito,2)</f>
        <v>536.21</v>
      </c>
      <c r="W12" s="288">
        <f>ROUND((U12-V12)/30.4*I12,2)</f>
        <v>167.35</v>
      </c>
      <c r="X12" s="266">
        <f t="shared" ref="X12:X13" si="2">-IF(W12&gt;0,0,0)</f>
        <v>0</v>
      </c>
      <c r="Y12" s="266">
        <f>IF(K12/15&lt;=SMG,0,IF(W12&lt;0,0,W12))</f>
        <v>167.35</v>
      </c>
      <c r="Z12" s="267">
        <v>0</v>
      </c>
      <c r="AA12" s="266">
        <f>SUM(Y12:Z12)</f>
        <v>167.35</v>
      </c>
      <c r="AB12" s="266">
        <f>M12+X12-AA12</f>
        <v>5430.65</v>
      </c>
      <c r="AC12" s="323"/>
    </row>
    <row r="13" spans="1:29" s="324" customFormat="1" ht="217.5" customHeight="1" x14ac:dyDescent="0.2">
      <c r="A13" s="322"/>
      <c r="B13" s="273" t="s">
        <v>120</v>
      </c>
      <c r="C13" s="273" t="s">
        <v>108</v>
      </c>
      <c r="D13" s="280" t="s">
        <v>119</v>
      </c>
      <c r="E13" s="281" t="s">
        <v>121</v>
      </c>
      <c r="F13" s="281" t="s">
        <v>213</v>
      </c>
      <c r="G13" s="321">
        <v>42948</v>
      </c>
      <c r="H13" s="261" t="s">
        <v>490</v>
      </c>
      <c r="I13" s="262">
        <v>15</v>
      </c>
      <c r="J13" s="263">
        <f>K13/I13</f>
        <v>455.13333333333333</v>
      </c>
      <c r="K13" s="264">
        <v>6827</v>
      </c>
      <c r="L13" s="265">
        <v>0</v>
      </c>
      <c r="M13" s="264">
        <f>K13</f>
        <v>6827</v>
      </c>
      <c r="N13" s="288">
        <f>IF(K13/15&lt;=SMG,0,L13/2)</f>
        <v>0</v>
      </c>
      <c r="O13" s="304">
        <f>(K13+N13)/I13*30.4</f>
        <v>13836.053333333333</v>
      </c>
      <c r="P13" s="304">
        <f>VLOOKUP(O13,Tarifa,1)</f>
        <v>12598.03</v>
      </c>
      <c r="Q13" s="288">
        <f>O13-P13</f>
        <v>1238.0233333333326</v>
      </c>
      <c r="R13" s="289">
        <f>VLOOKUP(O13,Tarifa,3)</f>
        <v>0.16</v>
      </c>
      <c r="S13" s="288">
        <f>Q13*R13</f>
        <v>198.08373333333321</v>
      </c>
      <c r="T13" s="290">
        <f>VLOOKUP(O13,Tarifa,2)</f>
        <v>1011.68</v>
      </c>
      <c r="U13" s="288">
        <f>S13+T13</f>
        <v>1209.7637333333332</v>
      </c>
      <c r="V13" s="288">
        <f>VLOOKUP(O13,Credito,2)</f>
        <v>0</v>
      </c>
      <c r="W13" s="288">
        <f>ROUND((U13-V13)/30.4*I13,2)</f>
        <v>596.91999999999996</v>
      </c>
      <c r="X13" s="266">
        <f t="shared" si="2"/>
        <v>0</v>
      </c>
      <c r="Y13" s="266">
        <f t="shared" ref="Y13" si="3">IF(K13/15&lt;=SMG,0,IF(W13&lt;0,0,W13))</f>
        <v>596.91999999999996</v>
      </c>
      <c r="Z13" s="267">
        <v>0</v>
      </c>
      <c r="AA13" s="266">
        <f t="shared" ref="AA13" si="4">SUM(Y13:Z13)</f>
        <v>596.91999999999996</v>
      </c>
      <c r="AB13" s="266">
        <f>M13+X13-AA13+L13</f>
        <v>6230.08</v>
      </c>
      <c r="AC13" s="323"/>
    </row>
    <row r="14" spans="1:29" s="4" customFormat="1" ht="12.75" customHeight="1" x14ac:dyDescent="0.3">
      <c r="A14" s="194"/>
      <c r="B14" s="204"/>
      <c r="C14" s="204"/>
      <c r="D14" s="205"/>
      <c r="E14" s="206"/>
      <c r="F14" s="206"/>
      <c r="G14" s="207"/>
      <c r="H14" s="196"/>
      <c r="I14" s="208"/>
      <c r="J14" s="209"/>
      <c r="K14" s="210"/>
      <c r="L14" s="211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29" s="4" customFormat="1" ht="12.75" customHeight="1" x14ac:dyDescent="0.3">
      <c r="A15" s="194"/>
      <c r="B15" s="204"/>
      <c r="C15" s="204"/>
      <c r="D15" s="205"/>
      <c r="E15" s="206"/>
      <c r="F15" s="206"/>
      <c r="G15" s="207"/>
      <c r="H15" s="196"/>
      <c r="I15" s="208"/>
      <c r="J15" s="209"/>
      <c r="K15" s="210"/>
      <c r="L15" s="211"/>
      <c r="M15" s="212"/>
      <c r="N15" s="213"/>
      <c r="O15" s="213"/>
      <c r="P15" s="213"/>
      <c r="Q15" s="213"/>
      <c r="R15" s="214"/>
      <c r="S15" s="213"/>
      <c r="T15" s="215"/>
      <c r="U15" s="213"/>
      <c r="V15" s="213"/>
      <c r="W15" s="213"/>
      <c r="X15" s="212"/>
      <c r="Y15" s="212"/>
      <c r="Z15" s="216"/>
      <c r="AA15" s="212"/>
      <c r="AB15" s="212"/>
    </row>
    <row r="16" spans="1:29" s="4" customFormat="1" ht="8.25" customHeight="1" x14ac:dyDescent="0.3">
      <c r="A16" s="194"/>
      <c r="B16" s="204"/>
      <c r="C16" s="204"/>
      <c r="D16" s="205"/>
      <c r="E16" s="206"/>
      <c r="F16" s="206"/>
      <c r="G16" s="207"/>
      <c r="H16" s="196"/>
      <c r="I16" s="208"/>
      <c r="J16" s="209"/>
      <c r="K16" s="210"/>
      <c r="L16" s="211"/>
      <c r="M16" s="212"/>
      <c r="N16" s="213"/>
      <c r="O16" s="213"/>
      <c r="P16" s="213"/>
      <c r="Q16" s="213"/>
      <c r="R16" s="214"/>
      <c r="S16" s="213"/>
      <c r="T16" s="215"/>
      <c r="U16" s="213"/>
      <c r="V16" s="213"/>
      <c r="W16" s="213"/>
      <c r="X16" s="212"/>
      <c r="Y16" s="212"/>
      <c r="Z16" s="216"/>
      <c r="AA16" s="212"/>
      <c r="AB16" s="212"/>
    </row>
    <row r="17" spans="1:30" s="4" customFormat="1" ht="27" customHeight="1" x14ac:dyDescent="0.25">
      <c r="A17" s="194"/>
      <c r="B17" s="459" t="s">
        <v>76</v>
      </c>
      <c r="C17" s="459"/>
      <c r="D17" s="459"/>
      <c r="E17" s="459"/>
      <c r="F17" s="459"/>
      <c r="G17" s="459"/>
      <c r="H17" s="459"/>
      <c r="I17" s="459"/>
      <c r="J17" s="459"/>
      <c r="K17" s="459"/>
      <c r="L17" s="459"/>
      <c r="M17" s="459"/>
      <c r="N17" s="459"/>
      <c r="O17" s="459"/>
      <c r="P17" s="459"/>
      <c r="Q17" s="459"/>
      <c r="R17" s="459"/>
      <c r="S17" s="459"/>
      <c r="T17" s="459"/>
      <c r="U17" s="459"/>
      <c r="V17" s="459"/>
      <c r="W17" s="459"/>
      <c r="X17" s="459"/>
      <c r="Y17" s="459"/>
      <c r="Z17" s="459"/>
      <c r="AA17" s="459"/>
      <c r="AB17" s="459"/>
      <c r="AC17" s="459"/>
      <c r="AD17" s="459"/>
    </row>
    <row r="18" spans="1:30" s="4" customFormat="1" ht="27" customHeight="1" x14ac:dyDescent="0.25">
      <c r="A18" s="194"/>
      <c r="B18" s="459" t="s">
        <v>64</v>
      </c>
      <c r="C18" s="459"/>
      <c r="D18" s="459"/>
      <c r="E18" s="459"/>
      <c r="F18" s="459"/>
      <c r="G18" s="459"/>
      <c r="H18" s="459"/>
      <c r="I18" s="459"/>
      <c r="J18" s="459"/>
      <c r="K18" s="459"/>
      <c r="L18" s="459"/>
      <c r="M18" s="459"/>
      <c r="N18" s="459"/>
      <c r="O18" s="459"/>
      <c r="P18" s="459"/>
      <c r="Q18" s="459"/>
      <c r="R18" s="459"/>
      <c r="S18" s="459"/>
      <c r="T18" s="459"/>
      <c r="U18" s="459"/>
      <c r="V18" s="459"/>
      <c r="W18" s="459"/>
      <c r="X18" s="459"/>
      <c r="Y18" s="459"/>
      <c r="Z18" s="459"/>
      <c r="AA18" s="459"/>
      <c r="AB18" s="459"/>
      <c r="AC18" s="459"/>
      <c r="AD18" s="459"/>
    </row>
    <row r="19" spans="1:30" s="4" customFormat="1" ht="27" customHeight="1" x14ac:dyDescent="0.3">
      <c r="A19" s="194"/>
      <c r="B19" s="483" t="str">
        <f>PRESIDENCIA!A3</f>
        <v>SUELDO  DEL 01 AL 15 DE ENERO DE 2026</v>
      </c>
      <c r="C19" s="483"/>
      <c r="D19" s="483"/>
      <c r="E19" s="483"/>
      <c r="F19" s="483"/>
      <c r="G19" s="483"/>
      <c r="H19" s="483"/>
      <c r="I19" s="483"/>
      <c r="J19" s="483"/>
      <c r="K19" s="483"/>
      <c r="L19" s="483"/>
      <c r="M19" s="483"/>
      <c r="N19" s="483"/>
      <c r="O19" s="483"/>
      <c r="P19" s="483"/>
      <c r="Q19" s="483"/>
      <c r="R19" s="483"/>
      <c r="S19" s="483"/>
      <c r="T19" s="483"/>
      <c r="U19" s="483"/>
      <c r="V19" s="483"/>
      <c r="W19" s="483"/>
      <c r="X19" s="483"/>
      <c r="Y19" s="483"/>
      <c r="Z19" s="483"/>
      <c r="AA19" s="483"/>
      <c r="AB19" s="483"/>
      <c r="AC19" s="483"/>
    </row>
    <row r="20" spans="1:30" s="4" customFormat="1" ht="18.75" customHeight="1" x14ac:dyDescent="0.3">
      <c r="A20" s="194"/>
      <c r="B20" s="204"/>
      <c r="C20" s="204"/>
      <c r="D20" s="205"/>
      <c r="E20" s="206"/>
      <c r="F20" s="206"/>
      <c r="G20" s="207"/>
      <c r="H20" s="196"/>
      <c r="I20" s="208"/>
      <c r="J20" s="209"/>
      <c r="K20" s="210"/>
      <c r="L20" s="211"/>
      <c r="M20" s="212"/>
      <c r="N20" s="213"/>
      <c r="O20" s="213"/>
      <c r="P20" s="213"/>
      <c r="Q20" s="213"/>
      <c r="R20" s="214"/>
      <c r="S20" s="213"/>
      <c r="T20" s="215"/>
      <c r="U20" s="213"/>
      <c r="V20" s="213"/>
      <c r="W20" s="213"/>
      <c r="X20" s="212"/>
      <c r="Y20" s="212"/>
      <c r="Z20" s="216"/>
      <c r="AA20" s="212"/>
      <c r="AB20" s="212"/>
    </row>
    <row r="21" spans="1:30" s="324" customFormat="1" ht="166.5" customHeight="1" x14ac:dyDescent="0.2">
      <c r="A21" s="325"/>
      <c r="B21" s="326" t="s">
        <v>399</v>
      </c>
      <c r="C21" s="326" t="s">
        <v>108</v>
      </c>
      <c r="D21" s="327" t="s">
        <v>389</v>
      </c>
      <c r="E21" s="328" t="s">
        <v>400</v>
      </c>
      <c r="F21" s="328" t="s">
        <v>401</v>
      </c>
      <c r="G21" s="329">
        <v>45566</v>
      </c>
      <c r="H21" s="330" t="s">
        <v>95</v>
      </c>
      <c r="I21" s="262">
        <v>15</v>
      </c>
      <c r="J21" s="263">
        <f t="shared" ref="J21:J25" si="5">K21/I21</f>
        <v>327</v>
      </c>
      <c r="K21" s="331">
        <v>4905</v>
      </c>
      <c r="L21" s="332">
        <v>0</v>
      </c>
      <c r="M21" s="333">
        <f t="shared" ref="M21" si="6">SUM(K21:L21)</f>
        <v>4905</v>
      </c>
      <c r="N21" s="288">
        <f>IF(K21/15&lt;=SMG,0,L21/2)</f>
        <v>0</v>
      </c>
      <c r="O21" s="304">
        <f>(K21+N21)/I21*30.4</f>
        <v>9940.7999999999993</v>
      </c>
      <c r="P21" s="304">
        <f>VLOOKUP(O21,Tarifa,1)</f>
        <v>7168.52</v>
      </c>
      <c r="Q21" s="288">
        <f>O21-P21</f>
        <v>2772.2799999999988</v>
      </c>
      <c r="R21" s="289">
        <f>VLOOKUP(O21,Tarifa,3)</f>
        <v>0.10879999999999999</v>
      </c>
      <c r="S21" s="288">
        <f>Q21*R21</f>
        <v>301.62406399999986</v>
      </c>
      <c r="T21" s="290">
        <f>VLOOKUP(O21,Tarifa,2)</f>
        <v>420.95</v>
      </c>
      <c r="U21" s="288">
        <f>S21+T21</f>
        <v>722.57406399999991</v>
      </c>
      <c r="V21" s="288">
        <f>VLOOKUP(O21,Credito,2)</f>
        <v>536.21</v>
      </c>
      <c r="W21" s="288">
        <f>ROUND((U21-V21)/30.4*I21,2)</f>
        <v>91.96</v>
      </c>
      <c r="X21" s="333">
        <f t="shared" ref="X21:X22" si="7">-IF(W21&gt;0,0,0)</f>
        <v>0</v>
      </c>
      <c r="Y21" s="333">
        <f t="shared" ref="Y21:Y22" si="8">IF(K21/15&lt;=SMG,0,IF(W21&lt;0,0,W21))</f>
        <v>91.96</v>
      </c>
      <c r="Z21" s="334">
        <v>0</v>
      </c>
      <c r="AA21" s="333">
        <f t="shared" ref="AA21" si="9">SUM(Y21:Z21)</f>
        <v>91.96</v>
      </c>
      <c r="AB21" s="333">
        <f t="shared" ref="AB21" si="10">M21+X21-AA21</f>
        <v>4813.04</v>
      </c>
      <c r="AC21" s="335"/>
    </row>
    <row r="22" spans="1:30" s="324" customFormat="1" ht="166.5" customHeight="1" x14ac:dyDescent="0.2">
      <c r="A22" s="325"/>
      <c r="B22" s="273" t="s">
        <v>282</v>
      </c>
      <c r="C22" s="273" t="s">
        <v>108</v>
      </c>
      <c r="D22" s="280" t="s">
        <v>281</v>
      </c>
      <c r="E22" s="281" t="s">
        <v>283</v>
      </c>
      <c r="F22" s="281" t="s">
        <v>284</v>
      </c>
      <c r="G22" s="321">
        <v>45123</v>
      </c>
      <c r="H22" s="261" t="s">
        <v>280</v>
      </c>
      <c r="I22" s="262">
        <v>15</v>
      </c>
      <c r="J22" s="263">
        <f t="shared" si="5"/>
        <v>314.23333333333335</v>
      </c>
      <c r="K22" s="264">
        <v>4713.5</v>
      </c>
      <c r="L22" s="265">
        <v>0</v>
      </c>
      <c r="M22" s="266">
        <f>SUM(K22:L22)</f>
        <v>4713.5</v>
      </c>
      <c r="N22" s="288">
        <f>IF(K22/15&lt;=SMG,0,L22/2)</f>
        <v>0</v>
      </c>
      <c r="O22" s="304">
        <f>(K22+N22)/I22*30.4</f>
        <v>9552.6933333333327</v>
      </c>
      <c r="P22" s="304">
        <f>VLOOKUP(O22,Tarifa,1)</f>
        <v>7168.52</v>
      </c>
      <c r="Q22" s="288">
        <f>O22-P22</f>
        <v>2384.1733333333323</v>
      </c>
      <c r="R22" s="289">
        <f>VLOOKUP(O22,Tarifa,3)</f>
        <v>0.10879999999999999</v>
      </c>
      <c r="S22" s="288">
        <f>Q22*R22</f>
        <v>259.39805866666654</v>
      </c>
      <c r="T22" s="290">
        <f>VLOOKUP(O22,Tarifa,2)</f>
        <v>420.95</v>
      </c>
      <c r="U22" s="288">
        <f>S22+T22</f>
        <v>680.34805866666647</v>
      </c>
      <c r="V22" s="288">
        <f>VLOOKUP(O22,Credito,2)</f>
        <v>536.21</v>
      </c>
      <c r="W22" s="288">
        <f>ROUND((U22-V22)/30.4*I22,2)</f>
        <v>71.12</v>
      </c>
      <c r="X22" s="266">
        <f t="shared" si="7"/>
        <v>0</v>
      </c>
      <c r="Y22" s="266">
        <f t="shared" si="8"/>
        <v>0</v>
      </c>
      <c r="Z22" s="267">
        <v>0</v>
      </c>
      <c r="AA22" s="266">
        <f>SUM(Y22:Z22)</f>
        <v>0</v>
      </c>
      <c r="AB22" s="266">
        <f>M22+X22-AA22</f>
        <v>4713.5</v>
      </c>
      <c r="AC22" s="335"/>
    </row>
    <row r="23" spans="1:30" s="324" customFormat="1" ht="166.5" customHeight="1" x14ac:dyDescent="0.2">
      <c r="A23" s="322"/>
      <c r="B23" s="273" t="s">
        <v>163</v>
      </c>
      <c r="C23" s="273" t="s">
        <v>108</v>
      </c>
      <c r="D23" s="280" t="s">
        <v>164</v>
      </c>
      <c r="E23" s="281" t="s">
        <v>165</v>
      </c>
      <c r="F23" s="281" t="s">
        <v>227</v>
      </c>
      <c r="G23" s="321">
        <v>43709</v>
      </c>
      <c r="H23" s="261" t="s">
        <v>198</v>
      </c>
      <c r="I23" s="262">
        <v>15</v>
      </c>
      <c r="J23" s="263">
        <f t="shared" si="5"/>
        <v>296.66666666666669</v>
      </c>
      <c r="K23" s="264">
        <v>4450</v>
      </c>
      <c r="L23" s="265">
        <v>0</v>
      </c>
      <c r="M23" s="266">
        <f>SUM(K23:L23)</f>
        <v>4450</v>
      </c>
      <c r="N23" s="288">
        <f>IF(K23/15&lt;=SMG,0,L23/2)</f>
        <v>0</v>
      </c>
      <c r="O23" s="304">
        <f>(K23+N23)/I23*30.4</f>
        <v>9018.6666666666661</v>
      </c>
      <c r="P23" s="304">
        <f>VLOOKUP(O23,Tarifa,1)</f>
        <v>7168.52</v>
      </c>
      <c r="Q23" s="288">
        <f>O23-P23</f>
        <v>1850.1466666666656</v>
      </c>
      <c r="R23" s="289">
        <f>VLOOKUP(O23,Tarifa,3)</f>
        <v>0.10879999999999999</v>
      </c>
      <c r="S23" s="288">
        <f>Q23*R23</f>
        <v>201.29595733333321</v>
      </c>
      <c r="T23" s="290">
        <f>VLOOKUP(O23,Tarifa,2)</f>
        <v>420.95</v>
      </c>
      <c r="U23" s="288">
        <f>S23+T23</f>
        <v>622.24595733333319</v>
      </c>
      <c r="V23" s="288">
        <f>VLOOKUP(O23,Credito,2)</f>
        <v>536.21</v>
      </c>
      <c r="W23" s="288">
        <f>ROUND((U23-V23)/30.4*I23,2)</f>
        <v>42.45</v>
      </c>
      <c r="X23" s="266">
        <f t="shared" si="1"/>
        <v>0</v>
      </c>
      <c r="Y23" s="266">
        <f>IF(K23/15&lt;=SMG,0,IF(W23&lt;0,0,W23))</f>
        <v>0</v>
      </c>
      <c r="Z23" s="267">
        <v>0</v>
      </c>
      <c r="AA23" s="266">
        <f>SUM(Y23:Z23)</f>
        <v>0</v>
      </c>
      <c r="AB23" s="266">
        <f>M23+X23-AA23</f>
        <v>4450</v>
      </c>
      <c r="AC23" s="323"/>
    </row>
    <row r="24" spans="1:30" s="324" customFormat="1" ht="166.5" customHeight="1" x14ac:dyDescent="0.2">
      <c r="A24" s="322"/>
      <c r="B24" s="279" t="s">
        <v>202</v>
      </c>
      <c r="C24" s="273" t="s">
        <v>108</v>
      </c>
      <c r="D24" s="258" t="s">
        <v>188</v>
      </c>
      <c r="E24" s="259" t="s">
        <v>189</v>
      </c>
      <c r="F24" s="259" t="s">
        <v>212</v>
      </c>
      <c r="G24" s="260">
        <v>44473</v>
      </c>
      <c r="H24" s="261" t="s">
        <v>388</v>
      </c>
      <c r="I24" s="262">
        <v>15</v>
      </c>
      <c r="J24" s="263">
        <f t="shared" si="5"/>
        <v>281.13333333333333</v>
      </c>
      <c r="K24" s="264">
        <v>4217</v>
      </c>
      <c r="L24" s="265">
        <v>0</v>
      </c>
      <c r="M24" s="266">
        <f>SUM(K24:L24)</f>
        <v>4217</v>
      </c>
      <c r="N24" s="288">
        <f>IF(K24/15&lt;=SMG,0,L24/2)</f>
        <v>0</v>
      </c>
      <c r="O24" s="304">
        <f>(K24+N24)/I24*30.4</f>
        <v>8546.4533333333329</v>
      </c>
      <c r="P24" s="304">
        <f>VLOOKUP(O24,Tarifa,1)</f>
        <v>7168.52</v>
      </c>
      <c r="Q24" s="288">
        <f>O24-P24</f>
        <v>1377.9333333333325</v>
      </c>
      <c r="R24" s="289">
        <f>VLOOKUP(O24,Tarifa,3)</f>
        <v>0.10879999999999999</v>
      </c>
      <c r="S24" s="288">
        <f>Q24*R24</f>
        <v>149.91914666666656</v>
      </c>
      <c r="T24" s="290">
        <f>VLOOKUP(O24,Tarifa,2)</f>
        <v>420.95</v>
      </c>
      <c r="U24" s="288">
        <f>S24+T24</f>
        <v>570.86914666666655</v>
      </c>
      <c r="V24" s="288">
        <f>VLOOKUP(O24,Credito,2)</f>
        <v>536.21</v>
      </c>
      <c r="W24" s="288">
        <f>ROUND((U24-V24)/30.4*I24,2)</f>
        <v>17.100000000000001</v>
      </c>
      <c r="X24" s="266">
        <f>-IF(W24&gt;0,0,0)</f>
        <v>0</v>
      </c>
      <c r="Y24" s="266">
        <f t="shared" ref="Y24:Y25" si="11">IF(K24/15&lt;=SMG,0,IF(W24&lt;0,0,W24))</f>
        <v>0</v>
      </c>
      <c r="Z24" s="267">
        <v>0</v>
      </c>
      <c r="AA24" s="266">
        <f>SUM(Y24:Z24)</f>
        <v>0</v>
      </c>
      <c r="AB24" s="266">
        <f>M24+X24-AA24</f>
        <v>4217</v>
      </c>
      <c r="AC24" s="323"/>
    </row>
    <row r="25" spans="1:30" s="324" customFormat="1" ht="166.5" customHeight="1" x14ac:dyDescent="0.2">
      <c r="A25" s="322"/>
      <c r="B25" s="279" t="s">
        <v>498</v>
      </c>
      <c r="C25" s="273" t="s">
        <v>108</v>
      </c>
      <c r="D25" s="258" t="s">
        <v>500</v>
      </c>
      <c r="E25" s="259" t="s">
        <v>501</v>
      </c>
      <c r="F25" s="259" t="s">
        <v>502</v>
      </c>
      <c r="G25" s="260">
        <v>45673</v>
      </c>
      <c r="H25" s="261" t="s">
        <v>356</v>
      </c>
      <c r="I25" s="262">
        <v>15</v>
      </c>
      <c r="J25" s="263">
        <f t="shared" si="5"/>
        <v>384.4</v>
      </c>
      <c r="K25" s="264">
        <v>5766</v>
      </c>
      <c r="L25" s="265">
        <v>0</v>
      </c>
      <c r="M25" s="266">
        <f t="shared" ref="M25" si="12">SUM(K25:L25)</f>
        <v>5766</v>
      </c>
      <c r="N25" s="288">
        <f t="shared" ref="N25" si="13">IF(K25/15&lt;=SMG,0,L25/2)</f>
        <v>0</v>
      </c>
      <c r="O25" s="304">
        <f t="shared" ref="O25" si="14">(K25+N25)/I25*30.4</f>
        <v>11685.759999999998</v>
      </c>
      <c r="P25" s="304">
        <f t="shared" ref="P25" si="15">VLOOKUP(O25,Tarifa,1)</f>
        <v>7168.52</v>
      </c>
      <c r="Q25" s="288">
        <f t="shared" ref="Q25" si="16">O25-P25</f>
        <v>4517.239999999998</v>
      </c>
      <c r="R25" s="289">
        <f t="shared" ref="R25" si="17">VLOOKUP(O25,Tarifa,3)</f>
        <v>0.10879999999999999</v>
      </c>
      <c r="S25" s="288">
        <f t="shared" ref="S25" si="18">Q25*R25</f>
        <v>491.47571199999976</v>
      </c>
      <c r="T25" s="290">
        <f t="shared" ref="T25" si="19">VLOOKUP(O25,Tarifa,2)</f>
        <v>420.95</v>
      </c>
      <c r="U25" s="288">
        <f t="shared" ref="U25" si="20">S25+T25</f>
        <v>912.42571199999975</v>
      </c>
      <c r="V25" s="288">
        <f t="shared" ref="V25" si="21">VLOOKUP(O25,Credito,2)</f>
        <v>0</v>
      </c>
      <c r="W25" s="288">
        <f t="shared" ref="W25" si="22">ROUND((U25-V25)/30.4*I25,2)</f>
        <v>450.21</v>
      </c>
      <c r="X25" s="266">
        <f t="shared" ref="X25" si="23">-IF(W25&gt;0,0,0)</f>
        <v>0</v>
      </c>
      <c r="Y25" s="266">
        <f t="shared" si="11"/>
        <v>450.21</v>
      </c>
      <c r="Z25" s="267">
        <v>0</v>
      </c>
      <c r="AA25" s="266">
        <f t="shared" ref="AA25" si="24">SUM(Y25:Z25)</f>
        <v>450.21</v>
      </c>
      <c r="AB25" s="266">
        <f t="shared" ref="AB25" si="25">M25+X25-AA25</f>
        <v>5315.79</v>
      </c>
      <c r="AC25" s="323"/>
    </row>
    <row r="26" spans="1:30" s="324" customFormat="1" ht="166.5" customHeight="1" x14ac:dyDescent="0.2">
      <c r="A26" s="322"/>
      <c r="B26" s="279" t="s">
        <v>499</v>
      </c>
      <c r="C26" s="273" t="s">
        <v>108</v>
      </c>
      <c r="D26" s="258" t="s">
        <v>503</v>
      </c>
      <c r="E26" s="259" t="s">
        <v>505</v>
      </c>
      <c r="F26" s="259" t="s">
        <v>504</v>
      </c>
      <c r="G26" s="260">
        <v>45673</v>
      </c>
      <c r="H26" s="261" t="s">
        <v>356</v>
      </c>
      <c r="I26" s="262">
        <v>15</v>
      </c>
      <c r="J26" s="263">
        <f t="shared" ref="J26" si="26">K26/I26</f>
        <v>384.4</v>
      </c>
      <c r="K26" s="264">
        <v>5766</v>
      </c>
      <c r="L26" s="265">
        <v>0</v>
      </c>
      <c r="M26" s="266">
        <f t="shared" ref="M26" si="27">SUM(K26:L26)</f>
        <v>5766</v>
      </c>
      <c r="N26" s="288">
        <f t="shared" ref="N26" si="28">IF(K26/15&lt;=SMG,0,L26/2)</f>
        <v>0</v>
      </c>
      <c r="O26" s="304">
        <f t="shared" ref="O26" si="29">(K26+N26)/I26*30.4</f>
        <v>11685.759999999998</v>
      </c>
      <c r="P26" s="304">
        <f t="shared" ref="P26" si="30">VLOOKUP(O26,Tarifa,1)</f>
        <v>7168.52</v>
      </c>
      <c r="Q26" s="288">
        <f t="shared" ref="Q26" si="31">O26-P26</f>
        <v>4517.239999999998</v>
      </c>
      <c r="R26" s="289">
        <f t="shared" ref="R26" si="32">VLOOKUP(O26,Tarifa,3)</f>
        <v>0.10879999999999999</v>
      </c>
      <c r="S26" s="288">
        <f t="shared" ref="S26" si="33">Q26*R26</f>
        <v>491.47571199999976</v>
      </c>
      <c r="T26" s="290">
        <f t="shared" ref="T26" si="34">VLOOKUP(O26,Tarifa,2)</f>
        <v>420.95</v>
      </c>
      <c r="U26" s="288">
        <f t="shared" ref="U26" si="35">S26+T26</f>
        <v>912.42571199999975</v>
      </c>
      <c r="V26" s="288">
        <f t="shared" ref="V26" si="36">VLOOKUP(O26,Credito,2)</f>
        <v>0</v>
      </c>
      <c r="W26" s="288">
        <f t="shared" ref="W26" si="37">ROUND((U26-V26)/30.4*I26,2)</f>
        <v>450.21</v>
      </c>
      <c r="X26" s="266">
        <f t="shared" ref="X26" si="38">-IF(W26&gt;0,0,0)</f>
        <v>0</v>
      </c>
      <c r="Y26" s="266">
        <f t="shared" ref="Y26" si="39">IF(K26/15&lt;=SMG,0,IF(W26&lt;0,0,W26))</f>
        <v>450.21</v>
      </c>
      <c r="Z26" s="267">
        <v>0</v>
      </c>
      <c r="AA26" s="266">
        <f t="shared" ref="AA26" si="40">SUM(Y26:Z26)</f>
        <v>450.21</v>
      </c>
      <c r="AB26" s="266">
        <f t="shared" ref="AB26" si="41">M26+X26-AA26</f>
        <v>5315.79</v>
      </c>
      <c r="AC26" s="323"/>
    </row>
    <row r="27" spans="1:30" s="324" customFormat="1" ht="166.5" customHeight="1" x14ac:dyDescent="0.2">
      <c r="A27" s="395"/>
      <c r="B27" s="279" t="s">
        <v>609</v>
      </c>
      <c r="C27" s="273" t="s">
        <v>108</v>
      </c>
      <c r="D27" s="258" t="s">
        <v>605</v>
      </c>
      <c r="E27" s="259" t="s">
        <v>606</v>
      </c>
      <c r="F27" s="259" t="s">
        <v>607</v>
      </c>
      <c r="G27" s="260">
        <v>45901</v>
      </c>
      <c r="H27" s="261" t="s">
        <v>356</v>
      </c>
      <c r="I27" s="262">
        <v>15</v>
      </c>
      <c r="J27" s="263">
        <f>K27/I27</f>
        <v>384.4</v>
      </c>
      <c r="K27" s="264">
        <v>5766</v>
      </c>
      <c r="L27" s="265">
        <v>0</v>
      </c>
      <c r="M27" s="266">
        <f t="shared" ref="M27" si="42">SUM(K27:L27)</f>
        <v>5766</v>
      </c>
      <c r="N27" s="288">
        <f t="shared" ref="N27" si="43">IF(K27/15&lt;=SMG,0,L27/2)</f>
        <v>0</v>
      </c>
      <c r="O27" s="304">
        <f t="shared" ref="O27" si="44">(K27+N27)/I27*30.4</f>
        <v>11685.759999999998</v>
      </c>
      <c r="P27" s="304">
        <f t="shared" ref="P27" si="45">VLOOKUP(O27,Tarifa,1)</f>
        <v>7168.52</v>
      </c>
      <c r="Q27" s="288">
        <f t="shared" ref="Q27" si="46">O27-P27</f>
        <v>4517.239999999998</v>
      </c>
      <c r="R27" s="289">
        <f t="shared" ref="R27" si="47">VLOOKUP(O27,Tarifa,3)</f>
        <v>0.10879999999999999</v>
      </c>
      <c r="S27" s="288">
        <f t="shared" ref="S27" si="48">Q27*R27</f>
        <v>491.47571199999976</v>
      </c>
      <c r="T27" s="290">
        <f t="shared" ref="T27" si="49">VLOOKUP(O27,Tarifa,2)</f>
        <v>420.95</v>
      </c>
      <c r="U27" s="288">
        <f t="shared" ref="U27" si="50">S27+T27</f>
        <v>912.42571199999975</v>
      </c>
      <c r="V27" s="288">
        <f t="shared" ref="V27" si="51">VLOOKUP(O27,Credito,2)</f>
        <v>0</v>
      </c>
      <c r="W27" s="288">
        <f t="shared" ref="W27" si="52">ROUND((U27-V27)/30.4*I27,2)</f>
        <v>450.21</v>
      </c>
      <c r="X27" s="266">
        <f t="shared" ref="X27" si="53">-IF(W27&gt;0,0,0)</f>
        <v>0</v>
      </c>
      <c r="Y27" s="266">
        <f t="shared" ref="Y27" si="54">IF(K27/15&lt;=SMG,0,IF(W27&lt;0,0,W27))</f>
        <v>450.21</v>
      </c>
      <c r="Z27" s="267">
        <v>0</v>
      </c>
      <c r="AA27" s="266">
        <f t="shared" ref="AA27" si="55">SUM(Y27:Z27)</f>
        <v>450.21</v>
      </c>
      <c r="AB27" s="266">
        <f t="shared" ref="AB27" si="56">M27+X27-AA27</f>
        <v>5315.79</v>
      </c>
      <c r="AC27" s="323"/>
    </row>
    <row r="28" spans="1:30" s="324" customFormat="1" ht="18.75" customHeight="1" x14ac:dyDescent="0.2">
      <c r="A28" s="395"/>
      <c r="B28" s="382"/>
      <c r="C28" s="383"/>
      <c r="D28" s="384"/>
      <c r="E28" s="385"/>
      <c r="F28" s="385"/>
      <c r="G28" s="386"/>
      <c r="H28" s="387"/>
      <c r="I28" s="388"/>
      <c r="J28" s="389"/>
      <c r="K28" s="390"/>
      <c r="L28" s="391"/>
      <c r="M28" s="392"/>
      <c r="N28" s="374"/>
      <c r="O28" s="375"/>
      <c r="P28" s="375"/>
      <c r="Q28" s="374"/>
      <c r="R28" s="376"/>
      <c r="S28" s="374"/>
      <c r="T28" s="377"/>
      <c r="U28" s="374"/>
      <c r="V28" s="374"/>
      <c r="W28" s="374"/>
      <c r="X28" s="392"/>
      <c r="Y28" s="392"/>
      <c r="Z28" s="393"/>
      <c r="AA28" s="392"/>
      <c r="AB28" s="392"/>
      <c r="AC28" s="421"/>
    </row>
    <row r="29" spans="1:30" s="4" customFormat="1" ht="34.5" customHeight="1" x14ac:dyDescent="0.25">
      <c r="A29" s="239"/>
      <c r="B29" s="459" t="s">
        <v>76</v>
      </c>
      <c r="C29" s="459"/>
      <c r="D29" s="459"/>
      <c r="E29" s="459"/>
      <c r="F29" s="459"/>
      <c r="G29" s="459"/>
      <c r="H29" s="459"/>
      <c r="I29" s="459"/>
      <c r="J29" s="459"/>
      <c r="K29" s="459"/>
      <c r="L29" s="459"/>
      <c r="M29" s="459"/>
      <c r="N29" s="459"/>
      <c r="O29" s="459"/>
      <c r="P29" s="459"/>
      <c r="Q29" s="459"/>
      <c r="R29" s="459"/>
      <c r="S29" s="459"/>
      <c r="T29" s="459"/>
      <c r="U29" s="459"/>
      <c r="V29" s="459"/>
      <c r="W29" s="459"/>
      <c r="X29" s="459"/>
      <c r="Y29" s="459"/>
      <c r="Z29" s="459"/>
      <c r="AA29" s="459"/>
      <c r="AB29" s="459"/>
      <c r="AC29" s="459"/>
      <c r="AD29" s="459"/>
    </row>
    <row r="30" spans="1:30" s="4" customFormat="1" ht="27" customHeight="1" x14ac:dyDescent="0.25">
      <c r="A30" s="239"/>
      <c r="B30" s="459" t="s">
        <v>64</v>
      </c>
      <c r="C30" s="459"/>
      <c r="D30" s="459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459"/>
      <c r="P30" s="459"/>
      <c r="Q30" s="459"/>
      <c r="R30" s="459"/>
      <c r="S30" s="459"/>
      <c r="T30" s="459"/>
      <c r="U30" s="459"/>
      <c r="V30" s="459"/>
      <c r="W30" s="459"/>
      <c r="X30" s="459"/>
      <c r="Y30" s="459"/>
      <c r="Z30" s="459"/>
      <c r="AA30" s="459"/>
      <c r="AB30" s="459"/>
      <c r="AC30" s="459"/>
      <c r="AD30" s="459"/>
    </row>
    <row r="31" spans="1:30" s="4" customFormat="1" ht="24" customHeight="1" x14ac:dyDescent="0.25">
      <c r="A31" s="239"/>
      <c r="B31" s="449" t="str">
        <f>PRESIDENCIA!A3</f>
        <v>SUELDO  DEL 01 AL 15 DE ENERO DE 2026</v>
      </c>
      <c r="C31" s="449"/>
      <c r="D31" s="449"/>
      <c r="E31" s="449"/>
      <c r="F31" s="449"/>
      <c r="G31" s="449"/>
      <c r="H31" s="449"/>
      <c r="I31" s="449"/>
      <c r="J31" s="449"/>
      <c r="K31" s="449"/>
      <c r="L31" s="449"/>
      <c r="M31" s="449"/>
      <c r="N31" s="449"/>
      <c r="O31" s="449"/>
      <c r="P31" s="449"/>
      <c r="Q31" s="449"/>
      <c r="R31" s="449"/>
      <c r="S31" s="449"/>
      <c r="T31" s="449"/>
      <c r="U31" s="449"/>
      <c r="V31" s="449"/>
      <c r="W31" s="449"/>
      <c r="X31" s="449"/>
      <c r="Y31" s="449"/>
      <c r="Z31" s="449"/>
      <c r="AA31" s="449"/>
      <c r="AB31" s="449"/>
      <c r="AC31" s="449"/>
      <c r="AD31" s="449"/>
    </row>
    <row r="32" spans="1:30" s="4" customFormat="1" ht="23.25" customHeight="1" x14ac:dyDescent="0.3">
      <c r="A32" s="239"/>
      <c r="B32" s="234"/>
      <c r="C32" s="204"/>
      <c r="D32" s="196"/>
      <c r="E32" s="197"/>
      <c r="F32" s="197"/>
      <c r="G32" s="243"/>
      <c r="H32" s="196"/>
      <c r="I32" s="208"/>
      <c r="J32" s="209"/>
      <c r="K32" s="210"/>
      <c r="L32" s="211"/>
      <c r="M32" s="212"/>
      <c r="N32" s="213"/>
      <c r="O32" s="213"/>
      <c r="P32" s="213"/>
      <c r="Q32" s="213"/>
      <c r="R32" s="214"/>
      <c r="S32" s="213"/>
      <c r="T32" s="215"/>
      <c r="U32" s="213"/>
      <c r="V32" s="213"/>
      <c r="W32" s="213"/>
      <c r="X32" s="212"/>
      <c r="Y32" s="212"/>
      <c r="Z32" s="216"/>
      <c r="AA32" s="212"/>
      <c r="AB32" s="212"/>
    </row>
    <row r="33" spans="1:35" s="4" customFormat="1" ht="49.5" customHeight="1" x14ac:dyDescent="0.25">
      <c r="A33" s="239"/>
      <c r="B33" s="111" t="s">
        <v>93</v>
      </c>
      <c r="C33" s="111" t="s">
        <v>114</v>
      </c>
      <c r="D33" s="175" t="s">
        <v>113</v>
      </c>
      <c r="E33" s="175" t="s">
        <v>94</v>
      </c>
      <c r="F33" s="175" t="s">
        <v>206</v>
      </c>
      <c r="G33" s="148" t="s">
        <v>255</v>
      </c>
      <c r="H33" s="175" t="s">
        <v>61</v>
      </c>
      <c r="I33" s="175"/>
      <c r="J33" s="175"/>
      <c r="K33" s="176">
        <f>SUM(K34:K34)</f>
        <v>7290.5</v>
      </c>
      <c r="L33" s="176">
        <f>SUM(L34:L34)</f>
        <v>0</v>
      </c>
      <c r="M33" s="176">
        <f>SUM(M34:M34)</f>
        <v>7290.5</v>
      </c>
      <c r="N33" s="175"/>
      <c r="O33" s="175"/>
      <c r="P33" s="175"/>
      <c r="Q33" s="175"/>
      <c r="R33" s="175"/>
      <c r="S33" s="175"/>
      <c r="T33" s="178"/>
      <c r="U33" s="175"/>
      <c r="V33" s="175"/>
      <c r="W33" s="175"/>
      <c r="X33" s="176">
        <f>SUM(X34:X34)</f>
        <v>0</v>
      </c>
      <c r="Y33" s="176">
        <f>SUM(Y34:Y34)</f>
        <v>672.32</v>
      </c>
      <c r="Z33" s="176">
        <f>SUM(Z34:Z34)</f>
        <v>0</v>
      </c>
      <c r="AA33" s="176">
        <f>SUM(AA34:AA34)</f>
        <v>672.32</v>
      </c>
      <c r="AB33" s="176">
        <f>SUM(AB34:AB34)</f>
        <v>6618.18</v>
      </c>
      <c r="AC33" s="96"/>
    </row>
    <row r="34" spans="1:35" s="4" customFormat="1" ht="186.75" customHeight="1" x14ac:dyDescent="0.2">
      <c r="A34" s="239"/>
      <c r="B34" s="279" t="s">
        <v>155</v>
      </c>
      <c r="C34" s="273" t="s">
        <v>108</v>
      </c>
      <c r="D34" s="258" t="s">
        <v>147</v>
      </c>
      <c r="E34" s="259" t="s">
        <v>152</v>
      </c>
      <c r="F34" s="259" t="s">
        <v>224</v>
      </c>
      <c r="G34" s="260">
        <v>43512</v>
      </c>
      <c r="H34" s="261" t="s">
        <v>492</v>
      </c>
      <c r="I34" s="262">
        <v>15</v>
      </c>
      <c r="J34" s="263">
        <f>K34/I34</f>
        <v>486.03333333333336</v>
      </c>
      <c r="K34" s="264">
        <v>7290.5</v>
      </c>
      <c r="L34" s="265">
        <v>0</v>
      </c>
      <c r="M34" s="266">
        <f>SUM(K34:L34)</f>
        <v>7290.5</v>
      </c>
      <c r="N34" s="288">
        <f>IF(K34/15&lt;=SMG,0,L34/2)</f>
        <v>0</v>
      </c>
      <c r="O34" s="304">
        <f>(K34+N34)/I34*30.4</f>
        <v>14775.413333333334</v>
      </c>
      <c r="P34" s="304">
        <f>VLOOKUP(O34,Tarifa,1)</f>
        <v>14644.65</v>
      </c>
      <c r="Q34" s="288">
        <f>O34-P34</f>
        <v>130.76333333333423</v>
      </c>
      <c r="R34" s="289">
        <f>VLOOKUP(O34,Tarifa,3)</f>
        <v>0.1792</v>
      </c>
      <c r="S34" s="288">
        <f>Q34*R34</f>
        <v>23.432789333333496</v>
      </c>
      <c r="T34" s="290">
        <f>VLOOKUP(O34,Tarifa,2)</f>
        <v>1339.14</v>
      </c>
      <c r="U34" s="288">
        <f>S34+T34</f>
        <v>1362.5727893333335</v>
      </c>
      <c r="V34" s="288">
        <f>VLOOKUP(O34,Credito,2)</f>
        <v>0</v>
      </c>
      <c r="W34" s="288">
        <f>ROUND((U34-V34)/30.4*I34,2)</f>
        <v>672.32</v>
      </c>
      <c r="X34" s="266">
        <f>-IF(W34&gt;0,0,0)</f>
        <v>0</v>
      </c>
      <c r="Y34" s="266">
        <f>IF(K34/15&lt;=SMG,0,IF(W34&lt;0,0,W34))</f>
        <v>672.32</v>
      </c>
      <c r="Z34" s="267">
        <v>0</v>
      </c>
      <c r="AA34" s="266">
        <f>SUM(Y34:Z34)</f>
        <v>672.32</v>
      </c>
      <c r="AB34" s="266">
        <f>M34+X34-AA34</f>
        <v>6618.18</v>
      </c>
      <c r="AC34" s="323"/>
    </row>
    <row r="35" spans="1:35" s="4" customFormat="1" ht="48.75" customHeight="1" x14ac:dyDescent="0.25">
      <c r="A35" s="44"/>
      <c r="B35" s="111" t="s">
        <v>93</v>
      </c>
      <c r="C35" s="111" t="s">
        <v>114</v>
      </c>
      <c r="D35" s="175" t="s">
        <v>69</v>
      </c>
      <c r="E35" s="175" t="s">
        <v>94</v>
      </c>
      <c r="F35" s="175" t="s">
        <v>206</v>
      </c>
      <c r="G35" s="148" t="s">
        <v>255</v>
      </c>
      <c r="H35" s="175" t="s">
        <v>61</v>
      </c>
      <c r="I35" s="175"/>
      <c r="J35" s="175"/>
      <c r="K35" s="176">
        <f>SUM(K36:K37)</f>
        <v>13754</v>
      </c>
      <c r="L35" s="176">
        <f>SUM(L36:L37)</f>
        <v>0</v>
      </c>
      <c r="M35" s="176">
        <f>SUM(M36:M37)</f>
        <v>13754</v>
      </c>
      <c r="N35" s="175"/>
      <c r="O35" s="175"/>
      <c r="P35" s="175"/>
      <c r="Q35" s="175"/>
      <c r="R35" s="175"/>
      <c r="S35" s="175"/>
      <c r="T35" s="178"/>
      <c r="U35" s="175"/>
      <c r="V35" s="175"/>
      <c r="W35" s="175"/>
      <c r="X35" s="176">
        <f>SUM(X36:X37)</f>
        <v>0</v>
      </c>
      <c r="Y35" s="176">
        <f>SUM(Y36:Y37)</f>
        <v>994.77</v>
      </c>
      <c r="Z35" s="176">
        <f>SUM(Z36:Z37)</f>
        <v>0</v>
      </c>
      <c r="AA35" s="176">
        <f>SUM(AA36:AA37)</f>
        <v>994.77</v>
      </c>
      <c r="AB35" s="176">
        <f>SUM(AB36:AB37)</f>
        <v>12759.23</v>
      </c>
      <c r="AC35" s="96"/>
    </row>
    <row r="36" spans="1:35" s="324" customFormat="1" ht="186.75" customHeight="1" x14ac:dyDescent="0.2">
      <c r="A36" s="322"/>
      <c r="B36" s="279" t="s">
        <v>185</v>
      </c>
      <c r="C36" s="273" t="s">
        <v>108</v>
      </c>
      <c r="D36" s="258" t="s">
        <v>190</v>
      </c>
      <c r="E36" s="259" t="s">
        <v>191</v>
      </c>
      <c r="F36" s="259" t="s">
        <v>231</v>
      </c>
      <c r="G36" s="260">
        <v>44470</v>
      </c>
      <c r="H36" s="310" t="s">
        <v>71</v>
      </c>
      <c r="I36" s="262">
        <v>15</v>
      </c>
      <c r="J36" s="263">
        <f>K36/I36</f>
        <v>543.73333333333335</v>
      </c>
      <c r="K36" s="264">
        <v>8156</v>
      </c>
      <c r="L36" s="265">
        <v>0</v>
      </c>
      <c r="M36" s="266">
        <f t="shared" ref="M36" si="57">SUM(K36:L36)</f>
        <v>8156</v>
      </c>
      <c r="N36" s="288">
        <f>IF(K36/15&lt;=SMG,0,L36/2)</f>
        <v>0</v>
      </c>
      <c r="O36" s="304">
        <f>(K36+N36)/I36*30.4</f>
        <v>16529.493333333332</v>
      </c>
      <c r="P36" s="304">
        <f>VLOOKUP(O36,Tarifa,1)</f>
        <v>14644.65</v>
      </c>
      <c r="Q36" s="288">
        <f>O36-P36</f>
        <v>1884.8433333333323</v>
      </c>
      <c r="R36" s="289">
        <f>VLOOKUP(O36,Tarifa,3)</f>
        <v>0.1792</v>
      </c>
      <c r="S36" s="288">
        <f>Q36*R36</f>
        <v>337.76392533333313</v>
      </c>
      <c r="T36" s="290">
        <f>VLOOKUP(O36,Tarifa,2)</f>
        <v>1339.14</v>
      </c>
      <c r="U36" s="288">
        <f>S36+T36</f>
        <v>1676.9039253333333</v>
      </c>
      <c r="V36" s="288">
        <f>VLOOKUP(O36,Credito,2)</f>
        <v>0</v>
      </c>
      <c r="W36" s="288">
        <f>ROUND((U36-V36)/30.4*I36,2)</f>
        <v>827.42</v>
      </c>
      <c r="X36" s="266">
        <f t="shared" si="1"/>
        <v>0</v>
      </c>
      <c r="Y36" s="266">
        <f t="shared" ref="Y36" si="58">IF(K36/15&lt;=SMG,0,IF(W36&lt;0,0,W36))</f>
        <v>827.42</v>
      </c>
      <c r="Z36" s="267">
        <v>0</v>
      </c>
      <c r="AA36" s="266">
        <f t="shared" ref="AA36" si="59">SUM(Y36:Z36)</f>
        <v>827.42</v>
      </c>
      <c r="AB36" s="266">
        <f t="shared" ref="AB36" si="60">M36+X36-AA36</f>
        <v>7328.58</v>
      </c>
      <c r="AC36" s="323"/>
    </row>
    <row r="37" spans="1:35" s="324" customFormat="1" ht="186.75" customHeight="1" x14ac:dyDescent="0.2">
      <c r="A37" s="322"/>
      <c r="B37" s="279" t="s">
        <v>289</v>
      </c>
      <c r="C37" s="273" t="s">
        <v>108</v>
      </c>
      <c r="D37" s="258" t="s">
        <v>290</v>
      </c>
      <c r="E37" s="259" t="s">
        <v>291</v>
      </c>
      <c r="F37" s="259" t="s">
        <v>292</v>
      </c>
      <c r="G37" s="260">
        <v>45173</v>
      </c>
      <c r="H37" s="261" t="s">
        <v>148</v>
      </c>
      <c r="I37" s="262">
        <v>15</v>
      </c>
      <c r="J37" s="263">
        <f>K37/I37</f>
        <v>373.2</v>
      </c>
      <c r="K37" s="264">
        <v>5598</v>
      </c>
      <c r="L37" s="265">
        <v>0</v>
      </c>
      <c r="M37" s="266">
        <f>SUM(K37:L37)</f>
        <v>5598</v>
      </c>
      <c r="N37" s="288">
        <f>IF(K37/15&lt;=SMG,0,L37/2)</f>
        <v>0</v>
      </c>
      <c r="O37" s="304">
        <f>(K37+N37)/I37*30.4</f>
        <v>11345.279999999999</v>
      </c>
      <c r="P37" s="304">
        <f>VLOOKUP(O37,Tarifa,1)</f>
        <v>7168.52</v>
      </c>
      <c r="Q37" s="288">
        <f>O37-P37</f>
        <v>4176.7599999999984</v>
      </c>
      <c r="R37" s="289">
        <f>VLOOKUP(O37,Tarifa,3)</f>
        <v>0.10879999999999999</v>
      </c>
      <c r="S37" s="288">
        <f>Q37*R37</f>
        <v>454.43148799999977</v>
      </c>
      <c r="T37" s="290">
        <f>VLOOKUP(O37,Tarifa,2)</f>
        <v>420.95</v>
      </c>
      <c r="U37" s="288">
        <f>S37+T37</f>
        <v>875.38148799999976</v>
      </c>
      <c r="V37" s="288">
        <f>VLOOKUP(O37,Credito,2)</f>
        <v>536.21</v>
      </c>
      <c r="W37" s="288">
        <f>ROUND((U37-V37)/30.4*I37,2)</f>
        <v>167.35</v>
      </c>
      <c r="X37" s="266">
        <f t="shared" si="1"/>
        <v>0</v>
      </c>
      <c r="Y37" s="266">
        <f t="shared" ref="Y37" si="61">IF(K37/15&lt;=SMG,0,IF(W37&lt;0,0,W37))</f>
        <v>167.35</v>
      </c>
      <c r="Z37" s="267">
        <v>0</v>
      </c>
      <c r="AA37" s="266">
        <f>SUM(Y37:Z37)</f>
        <v>167.35</v>
      </c>
      <c r="AB37" s="266">
        <f>M37+X37-AA37</f>
        <v>5430.65</v>
      </c>
      <c r="AC37" s="323"/>
    </row>
    <row r="38" spans="1:35" s="4" customFormat="1" ht="50.25" customHeight="1" x14ac:dyDescent="0.25">
      <c r="A38" s="106"/>
      <c r="B38" s="111" t="s">
        <v>93</v>
      </c>
      <c r="C38" s="111" t="s">
        <v>114</v>
      </c>
      <c r="D38" s="175" t="s">
        <v>113</v>
      </c>
      <c r="E38" s="175" t="s">
        <v>94</v>
      </c>
      <c r="F38" s="175" t="s">
        <v>206</v>
      </c>
      <c r="G38" s="148" t="s">
        <v>255</v>
      </c>
      <c r="H38" s="175" t="s">
        <v>61</v>
      </c>
      <c r="I38" s="175"/>
      <c r="J38" s="175"/>
      <c r="K38" s="176">
        <f>SUM(K39:K39)</f>
        <v>7031.5</v>
      </c>
      <c r="L38" s="176">
        <f>SUM(L39:L39)</f>
        <v>0</v>
      </c>
      <c r="M38" s="176">
        <f>SUM(M39:M39)</f>
        <v>7031.5</v>
      </c>
      <c r="N38" s="175"/>
      <c r="O38" s="175"/>
      <c r="P38" s="175"/>
      <c r="Q38" s="175"/>
      <c r="R38" s="175"/>
      <c r="S38" s="175"/>
      <c r="T38" s="178"/>
      <c r="U38" s="175"/>
      <c r="V38" s="175"/>
      <c r="W38" s="175"/>
      <c r="X38" s="176">
        <f>SUM(X39:X39)</f>
        <v>0</v>
      </c>
      <c r="Y38" s="176">
        <f>SUM(Y39:Y39)</f>
        <v>629.64</v>
      </c>
      <c r="Z38" s="176">
        <f>SUM(Z39:Z39)</f>
        <v>0</v>
      </c>
      <c r="AA38" s="176">
        <f>SUM(AA39:AA39)</f>
        <v>629.64</v>
      </c>
      <c r="AB38" s="176">
        <f>SUM(AB39:AB39)</f>
        <v>6401.86</v>
      </c>
      <c r="AC38" s="96"/>
    </row>
    <row r="39" spans="1:35" s="324" customFormat="1" ht="186.75" customHeight="1" x14ac:dyDescent="0.2">
      <c r="A39" s="255" t="s">
        <v>82</v>
      </c>
      <c r="B39" s="279" t="s">
        <v>141</v>
      </c>
      <c r="C39" s="273" t="s">
        <v>108</v>
      </c>
      <c r="D39" s="258" t="s">
        <v>130</v>
      </c>
      <c r="E39" s="259" t="s">
        <v>137</v>
      </c>
      <c r="F39" s="259" t="s">
        <v>216</v>
      </c>
      <c r="G39" s="260">
        <v>43374</v>
      </c>
      <c r="H39" s="261" t="s">
        <v>129</v>
      </c>
      <c r="I39" s="262">
        <v>15</v>
      </c>
      <c r="J39" s="263">
        <f>K39/I39</f>
        <v>468.76666666666665</v>
      </c>
      <c r="K39" s="264">
        <v>7031.5</v>
      </c>
      <c r="L39" s="265">
        <v>0</v>
      </c>
      <c r="M39" s="266">
        <f>SUM(K39:L39)</f>
        <v>7031.5</v>
      </c>
      <c r="N39" s="288">
        <f>IF(K39/15&lt;=SMG,0,L39/2)</f>
        <v>0</v>
      </c>
      <c r="O39" s="304">
        <f>(K39+N39)/I39*30.4</f>
        <v>14250.506666666666</v>
      </c>
      <c r="P39" s="304">
        <f>VLOOKUP(O39,Tarifa,1)</f>
        <v>12598.03</v>
      </c>
      <c r="Q39" s="288">
        <f>O39-P39</f>
        <v>1652.4766666666656</v>
      </c>
      <c r="R39" s="289">
        <f>VLOOKUP(O39,Tarifa,3)</f>
        <v>0.16</v>
      </c>
      <c r="S39" s="288">
        <f>Q39*R39</f>
        <v>264.39626666666652</v>
      </c>
      <c r="T39" s="290">
        <f>VLOOKUP(O39,Tarifa,2)</f>
        <v>1011.68</v>
      </c>
      <c r="U39" s="288">
        <f>S39+T39</f>
        <v>1276.0762666666665</v>
      </c>
      <c r="V39" s="288">
        <f>VLOOKUP(O39,Credito,2)</f>
        <v>0</v>
      </c>
      <c r="W39" s="288">
        <f>ROUND((U39-V39)/30.4*I39,2)</f>
        <v>629.64</v>
      </c>
      <c r="X39" s="266">
        <f>-IF(W39&gt;0,0,0)</f>
        <v>0</v>
      </c>
      <c r="Y39" s="266">
        <f>IF(K39/15&lt;=SMG,0,IF(W39&lt;0,0,W39))</f>
        <v>629.64</v>
      </c>
      <c r="Z39" s="267">
        <v>0</v>
      </c>
      <c r="AA39" s="266">
        <f>SUM(Y39:Z39)</f>
        <v>629.64</v>
      </c>
      <c r="AB39" s="266">
        <f>M39+X39-AA39</f>
        <v>6401.86</v>
      </c>
      <c r="AC39" s="323"/>
      <c r="AI39" s="336"/>
    </row>
    <row r="40" spans="1:35" s="4" customFormat="1" ht="27.75" customHeight="1" x14ac:dyDescent="0.25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44"/>
      <c r="L40" s="144"/>
      <c r="M40" s="144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</row>
    <row r="41" spans="1:35" s="4" customFormat="1" ht="39.75" customHeight="1" thickBot="1" x14ac:dyDescent="0.35">
      <c r="A41" s="445" t="s">
        <v>44</v>
      </c>
      <c r="B41" s="446"/>
      <c r="C41" s="446"/>
      <c r="D41" s="446"/>
      <c r="E41" s="446"/>
      <c r="F41" s="446"/>
      <c r="G41" s="446"/>
      <c r="H41" s="446"/>
      <c r="I41" s="446"/>
      <c r="J41" s="447"/>
      <c r="K41" s="198">
        <f>K8+K35+K38+K33</f>
        <v>87112.5</v>
      </c>
      <c r="L41" s="198">
        <f>L8+L35+L38+L33</f>
        <v>0</v>
      </c>
      <c r="M41" s="198">
        <f>M8+M35+M38+M33</f>
        <v>87112.5</v>
      </c>
      <c r="N41" s="199">
        <f t="shared" ref="N41:W41" si="62">SUM(N9:N40)</f>
        <v>0</v>
      </c>
      <c r="O41" s="199">
        <f t="shared" si="62"/>
        <v>188233.75999999998</v>
      </c>
      <c r="P41" s="199">
        <f t="shared" si="62"/>
        <v>140507.60000000003</v>
      </c>
      <c r="Q41" s="199">
        <f t="shared" si="62"/>
        <v>47726.159999999989</v>
      </c>
      <c r="R41" s="199">
        <f t="shared" si="62"/>
        <v>1.984</v>
      </c>
      <c r="S41" s="199">
        <f t="shared" si="62"/>
        <v>5482.4985173333316</v>
      </c>
      <c r="T41" s="199">
        <f t="shared" si="62"/>
        <v>9753.0400000000009</v>
      </c>
      <c r="U41" s="199">
        <f t="shared" si="62"/>
        <v>15235.538517333332</v>
      </c>
      <c r="V41" s="199">
        <f t="shared" si="62"/>
        <v>4825.8900000000003</v>
      </c>
      <c r="W41" s="199">
        <f t="shared" si="62"/>
        <v>5136.3100000000004</v>
      </c>
      <c r="X41" s="198">
        <f>X8+X35+X38+X33</f>
        <v>0</v>
      </c>
      <c r="Y41" s="198">
        <f>Y8+Y35+Y38+Y33</f>
        <v>4555.4299999999994</v>
      </c>
      <c r="Z41" s="198">
        <f>Z8+Z35+Z38+Z33</f>
        <v>0</v>
      </c>
      <c r="AA41" s="198">
        <f>AA8+AA35+AA38+AA33</f>
        <v>4555.4299999999994</v>
      </c>
      <c r="AB41" s="198">
        <f>AB8+AB35+AB38+AB33</f>
        <v>82557.070000000007</v>
      </c>
    </row>
    <row r="42" spans="1:35" s="4" customFormat="1" ht="18" customHeight="1" thickTop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35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ht="18" customHeight="1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1"/>
      <c r="L47" s="131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1"/>
      <c r="Y47" s="131"/>
      <c r="Z47" s="131"/>
      <c r="AA47" s="131"/>
      <c r="AB47" s="131"/>
    </row>
    <row r="48" spans="1:35" s="4" customFormat="1" ht="18" customHeight="1" x14ac:dyDescent="0.25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1"/>
      <c r="L48" s="131"/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1"/>
      <c r="Y48" s="131"/>
      <c r="Z48" s="131"/>
      <c r="AA48" s="131"/>
      <c r="AB48" s="131"/>
    </row>
    <row r="49" spans="4:41" s="4" customFormat="1" x14ac:dyDescent="0.2"/>
    <row r="50" spans="4:41" s="4" customFormat="1" ht="20.25" x14ac:dyDescent="0.3">
      <c r="D50" s="201" t="s">
        <v>454</v>
      </c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1" t="s">
        <v>629</v>
      </c>
      <c r="Z50" s="202"/>
      <c r="AA50" s="201"/>
      <c r="AB50" s="202"/>
      <c r="AC50" s="202"/>
    </row>
    <row r="51" spans="4:41" s="4" customFormat="1" ht="20.25" x14ac:dyDescent="0.3">
      <c r="D51" s="201" t="s">
        <v>469</v>
      </c>
      <c r="E51" s="201"/>
      <c r="F51" s="201"/>
      <c r="G51" s="201"/>
      <c r="H51" s="201"/>
      <c r="I51" s="201"/>
      <c r="J51" s="201"/>
      <c r="K51" s="201"/>
      <c r="L51" s="201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1" t="s">
        <v>196</v>
      </c>
      <c r="Z51" s="202"/>
      <c r="AA51" s="201"/>
      <c r="AB51" s="201"/>
      <c r="AC51" s="201"/>
      <c r="AD51" s="42"/>
      <c r="AE51" s="42"/>
      <c r="AF51" s="42"/>
      <c r="AG51" s="42"/>
      <c r="AH51" s="42"/>
      <c r="AI51" s="42"/>
      <c r="AJ51" s="42"/>
      <c r="AK51" s="42"/>
      <c r="AN51" s="42"/>
      <c r="AO51" s="42"/>
    </row>
    <row r="52" spans="4:41" s="4" customFormat="1" ht="20.25" x14ac:dyDescent="0.3"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</row>
    <row r="53" spans="4:41" s="4" customFormat="1" x14ac:dyDescent="0.2"/>
    <row r="54" spans="4:41" s="4" customFormat="1" x14ac:dyDescent="0.2"/>
  </sheetData>
  <mergeCells count="13">
    <mergeCell ref="A41:J41"/>
    <mergeCell ref="A1:AC1"/>
    <mergeCell ref="A2:AC2"/>
    <mergeCell ref="A3:AC3"/>
    <mergeCell ref="K5:M5"/>
    <mergeCell ref="P5:U5"/>
    <mergeCell ref="Y5:AA5"/>
    <mergeCell ref="B17:AD17"/>
    <mergeCell ref="B18:AD18"/>
    <mergeCell ref="B19:AC19"/>
    <mergeCell ref="B29:AD29"/>
    <mergeCell ref="B30:AD30"/>
    <mergeCell ref="B31:AD31"/>
  </mergeCells>
  <pageMargins left="0.27559055118110237" right="0.19685039370078741" top="0.74803149606299213" bottom="0.35433070866141736" header="0.31496062992125984" footer="0.31496062992125984"/>
  <pageSetup scale="41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6"/>
  <sheetViews>
    <sheetView tabSelected="1" topLeftCell="B14" zoomScale="55" zoomScaleNormal="55" workbookViewId="0">
      <selection activeCell="H16" sqref="H16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79" customWidth="1"/>
  </cols>
  <sheetData>
    <row r="1" spans="1:33" ht="19.5" x14ac:dyDescent="0.25">
      <c r="A1" s="448" t="s">
        <v>76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</row>
    <row r="2" spans="1:33" ht="19.5" x14ac:dyDescent="0.25">
      <c r="A2" s="448" t="s">
        <v>64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</row>
    <row r="3" spans="1:33" ht="19.5" x14ac:dyDescent="0.25">
      <c r="A3" s="449" t="str">
        <f>PRESIDENCIA!A3</f>
        <v>SUELDO  DEL 01 AL 15 DE ENERO DE 2026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84" t="s">
        <v>114</v>
      </c>
      <c r="D5" s="48"/>
      <c r="E5" s="48"/>
      <c r="F5" s="48"/>
      <c r="G5" s="48"/>
      <c r="H5" s="48"/>
      <c r="I5" s="49" t="s">
        <v>22</v>
      </c>
      <c r="J5" s="49" t="s">
        <v>5</v>
      </c>
      <c r="K5" s="450" t="s">
        <v>1</v>
      </c>
      <c r="L5" s="451"/>
      <c r="M5" s="452"/>
      <c r="N5" s="116" t="s">
        <v>25</v>
      </c>
      <c r="O5" s="117"/>
      <c r="P5" s="453" t="s">
        <v>8</v>
      </c>
      <c r="Q5" s="454"/>
      <c r="R5" s="454"/>
      <c r="S5" s="454"/>
      <c r="T5" s="454"/>
      <c r="U5" s="455"/>
      <c r="V5" s="116" t="s">
        <v>29</v>
      </c>
      <c r="W5" s="116" t="s">
        <v>9</v>
      </c>
      <c r="X5" s="115" t="s">
        <v>52</v>
      </c>
      <c r="Y5" s="456" t="s">
        <v>2</v>
      </c>
      <c r="Z5" s="457"/>
      <c r="AA5" s="458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93</v>
      </c>
      <c r="C6" s="485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249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86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2" t="s">
        <v>14</v>
      </c>
      <c r="U7" s="116" t="s">
        <v>38</v>
      </c>
      <c r="V7" s="120" t="s">
        <v>18</v>
      </c>
      <c r="W7" s="124" t="s">
        <v>182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93</v>
      </c>
      <c r="C8" s="148" t="s">
        <v>114</v>
      </c>
      <c r="D8" s="217" t="s">
        <v>132</v>
      </c>
      <c r="E8" s="218" t="s">
        <v>94</v>
      </c>
      <c r="F8" s="218" t="s">
        <v>206</v>
      </c>
      <c r="G8" s="217" t="s">
        <v>255</v>
      </c>
      <c r="H8" s="218" t="s">
        <v>61</v>
      </c>
      <c r="I8" s="218"/>
      <c r="J8" s="218"/>
      <c r="K8" s="219">
        <f>SUM(K9:K10)</f>
        <v>13560</v>
      </c>
      <c r="L8" s="219">
        <f>SUM(L9:L10)</f>
        <v>0</v>
      </c>
      <c r="M8" s="219">
        <f>SUM(M9:M10)</f>
        <v>13560</v>
      </c>
      <c r="N8" s="219">
        <f t="shared" ref="N8:W8" si="0">SUM(N9:N10)</f>
        <v>0</v>
      </c>
      <c r="O8" s="219">
        <f t="shared" si="0"/>
        <v>27481.599999999999</v>
      </c>
      <c r="P8" s="219">
        <f t="shared" si="0"/>
        <v>21813.17</v>
      </c>
      <c r="Q8" s="219">
        <f t="shared" si="0"/>
        <v>5668.4299999999967</v>
      </c>
      <c r="R8" s="219">
        <f t="shared" si="0"/>
        <v>0.28799999999999998</v>
      </c>
      <c r="S8" s="219">
        <f t="shared" si="0"/>
        <v>721.73875199999952</v>
      </c>
      <c r="T8" s="219">
        <f t="shared" si="0"/>
        <v>1760.0900000000001</v>
      </c>
      <c r="U8" s="219">
        <f t="shared" si="0"/>
        <v>2481.8287519999994</v>
      </c>
      <c r="V8" s="219">
        <f t="shared" si="0"/>
        <v>536.21</v>
      </c>
      <c r="W8" s="219">
        <f t="shared" si="0"/>
        <v>960</v>
      </c>
      <c r="X8" s="219">
        <f>SUM(X9:X10)</f>
        <v>0</v>
      </c>
      <c r="Y8" s="219">
        <f>SUM(Y9:Y10)</f>
        <v>960</v>
      </c>
      <c r="Z8" s="219">
        <f>SUM(Z9:Z10)</f>
        <v>0</v>
      </c>
      <c r="AA8" s="219">
        <f>SUM(AA9:AA10)</f>
        <v>960</v>
      </c>
      <c r="AB8" s="219">
        <f>SUM(AB9:AB10)</f>
        <v>12600</v>
      </c>
      <c r="AC8" s="97"/>
    </row>
    <row r="9" spans="1:33" s="293" customFormat="1" ht="199.5" customHeight="1" x14ac:dyDescent="0.2">
      <c r="A9" s="337"/>
      <c r="B9" s="338">
        <v>377</v>
      </c>
      <c r="C9" s="339" t="s">
        <v>108</v>
      </c>
      <c r="D9" s="340" t="s">
        <v>382</v>
      </c>
      <c r="E9" s="341" t="s">
        <v>383</v>
      </c>
      <c r="F9" s="341" t="s">
        <v>384</v>
      </c>
      <c r="G9" s="342">
        <v>45566</v>
      </c>
      <c r="H9" s="343" t="s">
        <v>655</v>
      </c>
      <c r="I9" s="262">
        <v>15</v>
      </c>
      <c r="J9" s="263">
        <f>K9/I9</f>
        <v>530.79999999999995</v>
      </c>
      <c r="K9" s="264">
        <v>7962</v>
      </c>
      <c r="L9" s="265">
        <v>0</v>
      </c>
      <c r="M9" s="266">
        <f>SUM(K9:L9)</f>
        <v>7962</v>
      </c>
      <c r="N9" s="288">
        <f>IF(K9/15&lt;=SMG,0,L9/2)</f>
        <v>0</v>
      </c>
      <c r="O9" s="304">
        <f>(K9+N9)/I9*30.4</f>
        <v>16136.319999999998</v>
      </c>
      <c r="P9" s="304">
        <f>VLOOKUP(O9,Tarifa,1)</f>
        <v>14644.65</v>
      </c>
      <c r="Q9" s="288">
        <f>O9-P9</f>
        <v>1491.6699999999983</v>
      </c>
      <c r="R9" s="289">
        <f>VLOOKUP(O9,Tarifa,3)</f>
        <v>0.1792</v>
      </c>
      <c r="S9" s="288">
        <f>Q9*R9</f>
        <v>267.30726399999969</v>
      </c>
      <c r="T9" s="290">
        <f>VLOOKUP(O9,Tarifa,2)</f>
        <v>1339.14</v>
      </c>
      <c r="U9" s="288">
        <f>S9+T9</f>
        <v>1606.4472639999999</v>
      </c>
      <c r="V9" s="288">
        <f>VLOOKUP(O9,Credito,2)</f>
        <v>0</v>
      </c>
      <c r="W9" s="288">
        <f>ROUND((U9-V9)/30.4*I9,2)</f>
        <v>792.65</v>
      </c>
      <c r="X9" s="266">
        <f>-IF(W9&gt;0,0,0)</f>
        <v>0</v>
      </c>
      <c r="Y9" s="266">
        <f>IF(K9/15&lt;=SMG,0,IF(W9&lt;0,0,W9))</f>
        <v>792.65</v>
      </c>
      <c r="Z9" s="267">
        <v>0</v>
      </c>
      <c r="AA9" s="266">
        <f>SUM(Y9:Z9)</f>
        <v>792.65</v>
      </c>
      <c r="AB9" s="266">
        <f>M9+X9-AA9</f>
        <v>7169.35</v>
      </c>
      <c r="AC9" s="344"/>
    </row>
    <row r="10" spans="1:33" s="293" customFormat="1" ht="199.5" customHeight="1" x14ac:dyDescent="0.2">
      <c r="A10" s="337"/>
      <c r="B10" s="279" t="s">
        <v>387</v>
      </c>
      <c r="C10" s="273" t="s">
        <v>108</v>
      </c>
      <c r="D10" s="254" t="s">
        <v>385</v>
      </c>
      <c r="E10" s="135" t="s">
        <v>453</v>
      </c>
      <c r="F10" s="283" t="s">
        <v>386</v>
      </c>
      <c r="G10" s="260">
        <v>45566</v>
      </c>
      <c r="H10" s="261" t="s">
        <v>654</v>
      </c>
      <c r="I10" s="262">
        <v>15</v>
      </c>
      <c r="J10" s="263">
        <f>K10/I10</f>
        <v>373.2</v>
      </c>
      <c r="K10" s="264">
        <v>5598</v>
      </c>
      <c r="L10" s="265">
        <v>0</v>
      </c>
      <c r="M10" s="266">
        <f>SUM(K10:L10)</f>
        <v>5598</v>
      </c>
      <c r="N10" s="288">
        <f>IF(K10/15&lt;=SMG,0,L10/2)</f>
        <v>0</v>
      </c>
      <c r="O10" s="304">
        <f>(K10+N10)/I10*30.4</f>
        <v>11345.279999999999</v>
      </c>
      <c r="P10" s="304">
        <f>VLOOKUP(O10,Tarifa,1)</f>
        <v>7168.52</v>
      </c>
      <c r="Q10" s="288">
        <f>O10-P10</f>
        <v>4176.7599999999984</v>
      </c>
      <c r="R10" s="289">
        <f>VLOOKUP(O10,Tarifa,3)</f>
        <v>0.10879999999999999</v>
      </c>
      <c r="S10" s="288">
        <f>Q10*R10</f>
        <v>454.43148799999977</v>
      </c>
      <c r="T10" s="290">
        <f>VLOOKUP(O10,Tarifa,2)</f>
        <v>420.95</v>
      </c>
      <c r="U10" s="288">
        <f>S10+T10</f>
        <v>875.38148799999976</v>
      </c>
      <c r="V10" s="288">
        <f>VLOOKUP(O10,Credito,2)</f>
        <v>536.21</v>
      </c>
      <c r="W10" s="288">
        <f>ROUND((U10-V10)/30.4*I10,2)</f>
        <v>167.35</v>
      </c>
      <c r="X10" s="266">
        <f>-IF(W10&gt;0,0,0)</f>
        <v>0</v>
      </c>
      <c r="Y10" s="266">
        <f>IF(K10/15&lt;=SMG,0,IF(W10&lt;0,0,W10))</f>
        <v>167.35</v>
      </c>
      <c r="Z10" s="267">
        <v>0</v>
      </c>
      <c r="AA10" s="266">
        <f>SUM(Y10:Z10)</f>
        <v>167.35</v>
      </c>
      <c r="AB10" s="266">
        <f>M10+X10-AA10</f>
        <v>5430.65</v>
      </c>
      <c r="AC10" s="344"/>
    </row>
    <row r="11" spans="1:33" s="52" customFormat="1" ht="53.25" customHeight="1" x14ac:dyDescent="0.3">
      <c r="A11" s="46"/>
      <c r="B11" s="148" t="s">
        <v>93</v>
      </c>
      <c r="C11" s="148" t="s">
        <v>114</v>
      </c>
      <c r="D11" s="218" t="s">
        <v>116</v>
      </c>
      <c r="E11" s="218" t="s">
        <v>94</v>
      </c>
      <c r="F11" s="218" t="s">
        <v>206</v>
      </c>
      <c r="G11" s="217" t="s">
        <v>255</v>
      </c>
      <c r="H11" s="218" t="s">
        <v>61</v>
      </c>
      <c r="I11" s="218"/>
      <c r="J11" s="218"/>
      <c r="K11" s="219">
        <f>SUM(K12:K13)</f>
        <v>12206</v>
      </c>
      <c r="L11" s="219">
        <f>SUM(L12:L13)</f>
        <v>0</v>
      </c>
      <c r="M11" s="219">
        <f>SUM(M12:M13)</f>
        <v>12206</v>
      </c>
      <c r="N11" s="218"/>
      <c r="O11" s="218"/>
      <c r="P11" s="218"/>
      <c r="Q11" s="218"/>
      <c r="R11" s="218"/>
      <c r="S11" s="218"/>
      <c r="T11" s="220"/>
      <c r="U11" s="218"/>
      <c r="V11" s="218"/>
      <c r="W11" s="218"/>
      <c r="X11" s="219">
        <f>SUM(X12:X13)</f>
        <v>0</v>
      </c>
      <c r="Y11" s="219">
        <f>SUM(Y12:Y13)</f>
        <v>792.65</v>
      </c>
      <c r="Z11" s="219">
        <f>SUM(Z12:Z13)</f>
        <v>0</v>
      </c>
      <c r="AA11" s="219">
        <f>SUM(AA12:AA13)</f>
        <v>792.65</v>
      </c>
      <c r="AB11" s="219">
        <f>SUM(AB12:AB13)</f>
        <v>11413.35</v>
      </c>
      <c r="AC11" s="97"/>
      <c r="AG11" s="60"/>
    </row>
    <row r="12" spans="1:33" s="293" customFormat="1" ht="198" customHeight="1" x14ac:dyDescent="0.2">
      <c r="A12" s="345" t="s">
        <v>85</v>
      </c>
      <c r="B12" s="273" t="s">
        <v>571</v>
      </c>
      <c r="C12" s="273" t="s">
        <v>108</v>
      </c>
      <c r="D12" s="254" t="s">
        <v>572</v>
      </c>
      <c r="E12" s="135" t="s">
        <v>573</v>
      </c>
      <c r="F12" s="135" t="s">
        <v>574</v>
      </c>
      <c r="G12" s="157">
        <v>45839</v>
      </c>
      <c r="H12" s="276" t="s">
        <v>91</v>
      </c>
      <c r="I12" s="262">
        <v>15</v>
      </c>
      <c r="J12" s="263">
        <f>K12/I12</f>
        <v>530.79999999999995</v>
      </c>
      <c r="K12" s="264">
        <v>7962</v>
      </c>
      <c r="L12" s="265">
        <v>0</v>
      </c>
      <c r="M12" s="266">
        <f>SUM(K12:L12)</f>
        <v>7962</v>
      </c>
      <c r="N12" s="288">
        <f>IF(K12/15&lt;=SMG,0,L12/2)</f>
        <v>0</v>
      </c>
      <c r="O12" s="304">
        <f>(K12+N12)/I12*30.4</f>
        <v>16136.319999999998</v>
      </c>
      <c r="P12" s="304">
        <f>VLOOKUP(O12,Tarifa,1)</f>
        <v>14644.65</v>
      </c>
      <c r="Q12" s="288">
        <f>O12-P12</f>
        <v>1491.6699999999983</v>
      </c>
      <c r="R12" s="289">
        <f>VLOOKUP(O12,Tarifa,3)</f>
        <v>0.1792</v>
      </c>
      <c r="S12" s="288">
        <f>Q12*R12</f>
        <v>267.30726399999969</v>
      </c>
      <c r="T12" s="290">
        <f>VLOOKUP(O12,Tarifa,2)</f>
        <v>1339.14</v>
      </c>
      <c r="U12" s="288">
        <f>S12+T12</f>
        <v>1606.4472639999999</v>
      </c>
      <c r="V12" s="288">
        <f>VLOOKUP(O12,Credito,2)</f>
        <v>0</v>
      </c>
      <c r="W12" s="288">
        <f>ROUND((U12-V12)/30.4*I12,2)</f>
        <v>792.65</v>
      </c>
      <c r="X12" s="266">
        <f>-IF(W12&gt;0,0,0)</f>
        <v>0</v>
      </c>
      <c r="Y12" s="266">
        <f>IF(K12/15&lt;=SMG,0,IF(W12&lt;0,0,W12))</f>
        <v>792.65</v>
      </c>
      <c r="Z12" s="267">
        <v>0</v>
      </c>
      <c r="AA12" s="266">
        <f>SUM(Y12:Z12)</f>
        <v>792.65</v>
      </c>
      <c r="AB12" s="266">
        <f>M12+X12-AA12</f>
        <v>7169.35</v>
      </c>
      <c r="AC12" s="278"/>
      <c r="AG12" s="346"/>
    </row>
    <row r="13" spans="1:33" s="293" customFormat="1" ht="198" customHeight="1" x14ac:dyDescent="0.2">
      <c r="A13" s="347"/>
      <c r="B13" s="273" t="s">
        <v>601</v>
      </c>
      <c r="C13" s="273" t="s">
        <v>108</v>
      </c>
      <c r="D13" s="254" t="s">
        <v>602</v>
      </c>
      <c r="E13" s="135" t="s">
        <v>603</v>
      </c>
      <c r="F13" s="135" t="s">
        <v>604</v>
      </c>
      <c r="G13" s="157">
        <v>45459</v>
      </c>
      <c r="H13" s="276" t="s">
        <v>356</v>
      </c>
      <c r="I13" s="262">
        <v>15</v>
      </c>
      <c r="J13" s="263">
        <f>K13/I13</f>
        <v>282.93333333333334</v>
      </c>
      <c r="K13" s="264">
        <v>4244</v>
      </c>
      <c r="L13" s="265">
        <v>0</v>
      </c>
      <c r="M13" s="266">
        <f>SUM(K13:L13)</f>
        <v>4244</v>
      </c>
      <c r="N13" s="288">
        <f>IF(K13/15&lt;=SMG,0,L13/2)</f>
        <v>0</v>
      </c>
      <c r="O13" s="304">
        <f>(K13+N13)/I13*30.4</f>
        <v>8601.1733333333323</v>
      </c>
      <c r="P13" s="304">
        <f>VLOOKUP(O13,Tarifa,1)</f>
        <v>7168.52</v>
      </c>
      <c r="Q13" s="288">
        <f>O13-P13</f>
        <v>1432.6533333333318</v>
      </c>
      <c r="R13" s="289">
        <f>VLOOKUP(O13,Tarifa,3)</f>
        <v>0.10879999999999999</v>
      </c>
      <c r="S13" s="288">
        <f>Q13*R13</f>
        <v>155.87268266666649</v>
      </c>
      <c r="T13" s="290">
        <f>VLOOKUP(O13,Tarifa,2)</f>
        <v>420.95</v>
      </c>
      <c r="U13" s="288">
        <f>S13+T13</f>
        <v>576.82268266666642</v>
      </c>
      <c r="V13" s="288">
        <f>VLOOKUP(O13,Credito,2)</f>
        <v>536.21</v>
      </c>
      <c r="W13" s="288">
        <f>ROUND((U13-V13)/30.4*I13,2)</f>
        <v>20.04</v>
      </c>
      <c r="X13" s="266">
        <f>-IF(W13&gt;0,0,0)</f>
        <v>0</v>
      </c>
      <c r="Y13" s="266">
        <f>IF(K13/15&lt;=SMG,0,IF(W13&lt;0,0,W13))</f>
        <v>0</v>
      </c>
      <c r="Z13" s="267">
        <v>0</v>
      </c>
      <c r="AA13" s="266">
        <f>SUM(Y13:Z13)</f>
        <v>0</v>
      </c>
      <c r="AB13" s="266">
        <f>M13+X13-AA13</f>
        <v>4244</v>
      </c>
      <c r="AC13" s="278"/>
      <c r="AG13" s="346"/>
    </row>
    <row r="14" spans="1:33" s="52" customFormat="1" ht="57.75" customHeight="1" x14ac:dyDescent="0.3">
      <c r="A14" s="153"/>
      <c r="B14" s="148" t="s">
        <v>93</v>
      </c>
      <c r="C14" s="148" t="s">
        <v>114</v>
      </c>
      <c r="D14" s="218" t="s">
        <v>248</v>
      </c>
      <c r="E14" s="218" t="s">
        <v>94</v>
      </c>
      <c r="F14" s="218" t="s">
        <v>206</v>
      </c>
      <c r="G14" s="217" t="s">
        <v>255</v>
      </c>
      <c r="H14" s="218" t="s">
        <v>61</v>
      </c>
      <c r="I14" s="218"/>
      <c r="J14" s="218"/>
      <c r="K14" s="219">
        <f>SUM(K16:K22)</f>
        <v>8387</v>
      </c>
      <c r="L14" s="219">
        <f>SUM(L16:L22)</f>
        <v>0</v>
      </c>
      <c r="M14" s="219">
        <f>SUM(M16:M22)</f>
        <v>8387</v>
      </c>
      <c r="N14" s="219">
        <f t="shared" ref="N14:W14" si="1">SUM(N16)</f>
        <v>0</v>
      </c>
      <c r="O14" s="219">
        <f t="shared" si="1"/>
        <v>7983.04</v>
      </c>
      <c r="P14" s="219">
        <f t="shared" si="1"/>
        <v>7168.52</v>
      </c>
      <c r="Q14" s="219">
        <f t="shared" si="1"/>
        <v>814.51999999999953</v>
      </c>
      <c r="R14" s="219">
        <f t="shared" si="1"/>
        <v>0.10879999999999999</v>
      </c>
      <c r="S14" s="219">
        <f t="shared" si="1"/>
        <v>88.619775999999945</v>
      </c>
      <c r="T14" s="219">
        <f t="shared" si="1"/>
        <v>420.95</v>
      </c>
      <c r="U14" s="219">
        <f t="shared" si="1"/>
        <v>509.56977599999993</v>
      </c>
      <c r="V14" s="219">
        <f t="shared" si="1"/>
        <v>536.21</v>
      </c>
      <c r="W14" s="219">
        <f t="shared" si="1"/>
        <v>-13.14</v>
      </c>
      <c r="X14" s="219">
        <f>SUM(X16:X22)</f>
        <v>0</v>
      </c>
      <c r="Y14" s="219">
        <f>SUM(Y16:Y22)</f>
        <v>0</v>
      </c>
      <c r="Z14" s="219">
        <f>SUM(Z16:Z22)</f>
        <v>0</v>
      </c>
      <c r="AA14" s="219">
        <f>SUM(AA16:AA22)</f>
        <v>0</v>
      </c>
      <c r="AB14" s="219">
        <f>SUM(AB16:AB22)</f>
        <v>8387</v>
      </c>
      <c r="AC14" s="97"/>
      <c r="AG14" s="66"/>
    </row>
    <row r="15" spans="1:33" s="52" customFormat="1" ht="210.75" customHeight="1" x14ac:dyDescent="0.2">
      <c r="A15" s="153"/>
      <c r="B15" s="273" t="s">
        <v>565</v>
      </c>
      <c r="C15" s="273" t="s">
        <v>108</v>
      </c>
      <c r="D15" s="254" t="s">
        <v>564</v>
      </c>
      <c r="E15" s="135" t="s">
        <v>566</v>
      </c>
      <c r="F15" s="135" t="s">
        <v>567</v>
      </c>
      <c r="G15" s="157">
        <v>45778</v>
      </c>
      <c r="H15" s="276" t="s">
        <v>563</v>
      </c>
      <c r="I15" s="262">
        <v>15</v>
      </c>
      <c r="J15" s="263">
        <f>K15/I15</f>
        <v>844.9666666666667</v>
      </c>
      <c r="K15" s="264">
        <v>12674.5</v>
      </c>
      <c r="L15" s="265">
        <v>0</v>
      </c>
      <c r="M15" s="266">
        <f>SUM(K15:L15)</f>
        <v>12674.5</v>
      </c>
      <c r="N15" s="288">
        <f t="shared" ref="N15" si="2">IF(K15/15&lt;=SMG,0,L15/2)</f>
        <v>0</v>
      </c>
      <c r="O15" s="304">
        <f t="shared" ref="O15" si="3">(K15+N15)/I15*30.4</f>
        <v>25686.986666666668</v>
      </c>
      <c r="P15" s="304">
        <f t="shared" ref="P15" si="4">VLOOKUP(O15,Tarifa,1)</f>
        <v>17533.650000000001</v>
      </c>
      <c r="Q15" s="288">
        <f t="shared" ref="Q15" si="5">O15-P15</f>
        <v>8153.3366666666661</v>
      </c>
      <c r="R15" s="289">
        <f t="shared" ref="R15" si="6">VLOOKUP(O15,Tarifa,3)</f>
        <v>0.21360000000000001</v>
      </c>
      <c r="S15" s="288">
        <f t="shared" ref="S15" si="7">Q15*R15</f>
        <v>1741.5527119999999</v>
      </c>
      <c r="T15" s="290">
        <f t="shared" ref="T15" si="8">VLOOKUP(O15,Tarifa,2)</f>
        <v>1856.84</v>
      </c>
      <c r="U15" s="288">
        <f t="shared" ref="U15" si="9">S15+T15</f>
        <v>3598.3927119999998</v>
      </c>
      <c r="V15" s="288">
        <f t="shared" ref="V15" si="10">VLOOKUP(O15,Credito,2)</f>
        <v>0</v>
      </c>
      <c r="W15" s="288">
        <f t="shared" ref="W15" si="11">ROUND((U15-V15)/30.4*I15,2)</f>
        <v>1775.52</v>
      </c>
      <c r="X15" s="266">
        <f>-IF(W15&gt;0,0,0)</f>
        <v>0</v>
      </c>
      <c r="Y15" s="266">
        <f t="shared" ref="Y15" si="12">IF(K15/15&lt;=SMG,0,IF(W15&lt;0,0,W15))</f>
        <v>1775.52</v>
      </c>
      <c r="Z15" s="267">
        <v>0</v>
      </c>
      <c r="AA15" s="266">
        <f t="shared" ref="AA15" si="13">SUM(Y15:Z15)</f>
        <v>1775.52</v>
      </c>
      <c r="AB15" s="266">
        <f t="shared" ref="AB15" si="14">M15+X15-AA15</f>
        <v>10898.98</v>
      </c>
      <c r="AC15" s="402"/>
      <c r="AG15" s="66"/>
    </row>
    <row r="16" spans="1:33" s="293" customFormat="1" ht="210.75" customHeight="1" x14ac:dyDescent="0.2">
      <c r="A16" s="347"/>
      <c r="B16" s="279" t="s">
        <v>293</v>
      </c>
      <c r="C16" s="273" t="s">
        <v>108</v>
      </c>
      <c r="D16" s="258" t="s">
        <v>294</v>
      </c>
      <c r="E16" s="259" t="s">
        <v>295</v>
      </c>
      <c r="F16" s="259" t="s">
        <v>296</v>
      </c>
      <c r="G16" s="260">
        <v>45154</v>
      </c>
      <c r="H16" s="261" t="s">
        <v>667</v>
      </c>
      <c r="I16" s="262">
        <v>15</v>
      </c>
      <c r="J16" s="263">
        <f>K16/I16</f>
        <v>262.60000000000002</v>
      </c>
      <c r="K16" s="264">
        <v>3939</v>
      </c>
      <c r="L16" s="265">
        <v>0</v>
      </c>
      <c r="M16" s="266">
        <f t="shared" ref="M16" si="15">SUM(K16:L16)</f>
        <v>3939</v>
      </c>
      <c r="N16" s="288">
        <f>IF(K16/15&lt;=SMG,0,L16/2)</f>
        <v>0</v>
      </c>
      <c r="O16" s="304">
        <f>(K16+N16)/I16*30.4</f>
        <v>7983.04</v>
      </c>
      <c r="P16" s="304">
        <f>VLOOKUP(O16,Tarifa,1)</f>
        <v>7168.52</v>
      </c>
      <c r="Q16" s="288">
        <f>O16-P16</f>
        <v>814.51999999999953</v>
      </c>
      <c r="R16" s="289">
        <f>VLOOKUP(O16,Tarifa,3)</f>
        <v>0.10879999999999999</v>
      </c>
      <c r="S16" s="288">
        <f>Q16*R16</f>
        <v>88.619775999999945</v>
      </c>
      <c r="T16" s="290">
        <f>VLOOKUP(O16,Tarifa,2)</f>
        <v>420.95</v>
      </c>
      <c r="U16" s="288">
        <f>S16+T16</f>
        <v>509.56977599999993</v>
      </c>
      <c r="V16" s="288">
        <f>VLOOKUP(O16,Credito,2)</f>
        <v>536.21</v>
      </c>
      <c r="W16" s="288">
        <f>ROUND((U16-V16)/30.4*I16,2)</f>
        <v>-13.14</v>
      </c>
      <c r="X16" s="266">
        <f>-IF(W16&gt;0,0,0)</f>
        <v>0</v>
      </c>
      <c r="Y16" s="266">
        <f t="shared" ref="Y16" si="16">IF(K16/15&lt;=SMG,0,IF(W16&lt;0,0,W16))</f>
        <v>0</v>
      </c>
      <c r="Z16" s="267">
        <v>0</v>
      </c>
      <c r="AA16" s="266">
        <f t="shared" ref="AA16" si="17">SUM(Y16:Z16)</f>
        <v>0</v>
      </c>
      <c r="AB16" s="266">
        <f t="shared" ref="AB16" si="18">M16+X16-AA16</f>
        <v>3939</v>
      </c>
      <c r="AC16" s="278"/>
      <c r="AG16" s="346"/>
    </row>
    <row r="17" spans="1:33" s="52" customFormat="1" ht="24.75" customHeight="1" x14ac:dyDescent="0.3">
      <c r="A17" s="153"/>
      <c r="B17" s="234"/>
      <c r="C17" s="204"/>
      <c r="D17" s="205"/>
      <c r="E17" s="206"/>
      <c r="F17" s="206"/>
      <c r="G17" s="207"/>
      <c r="H17" s="196"/>
      <c r="I17" s="208"/>
      <c r="J17" s="209"/>
      <c r="K17" s="210"/>
      <c r="L17" s="211"/>
      <c r="M17" s="212"/>
      <c r="N17" s="213"/>
      <c r="O17" s="213"/>
      <c r="P17" s="213"/>
      <c r="Q17" s="213"/>
      <c r="R17" s="214"/>
      <c r="S17" s="213"/>
      <c r="T17" s="215"/>
      <c r="U17" s="213"/>
      <c r="V17" s="213"/>
      <c r="W17" s="213"/>
      <c r="X17" s="212"/>
      <c r="Y17" s="212"/>
      <c r="Z17" s="216"/>
      <c r="AA17" s="212"/>
      <c r="AB17" s="212"/>
      <c r="AC17" s="91"/>
      <c r="AG17" s="66"/>
    </row>
    <row r="18" spans="1:33" s="52" customFormat="1" ht="34.5" customHeight="1" x14ac:dyDescent="0.25">
      <c r="A18" s="153"/>
      <c r="B18" s="448" t="s">
        <v>76</v>
      </c>
      <c r="C18" s="448"/>
      <c r="D18" s="448"/>
      <c r="E18" s="448"/>
      <c r="F18" s="448"/>
      <c r="G18" s="448"/>
      <c r="H18" s="448"/>
      <c r="I18" s="448"/>
      <c r="J18" s="448"/>
      <c r="K18" s="448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  <c r="X18" s="448"/>
      <c r="Y18" s="448"/>
      <c r="Z18" s="448"/>
      <c r="AA18" s="448"/>
      <c r="AB18" s="448"/>
      <c r="AC18" s="448"/>
      <c r="AD18" s="448"/>
      <c r="AG18" s="66"/>
    </row>
    <row r="19" spans="1:33" s="52" customFormat="1" ht="36.75" customHeight="1" x14ac:dyDescent="0.25">
      <c r="A19" s="153"/>
      <c r="B19" s="448" t="s">
        <v>64</v>
      </c>
      <c r="C19" s="448"/>
      <c r="D19" s="448"/>
      <c r="E19" s="448"/>
      <c r="F19" s="448"/>
      <c r="G19" s="448"/>
      <c r="H19" s="448"/>
      <c r="I19" s="448"/>
      <c r="J19" s="448"/>
      <c r="K19" s="448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48"/>
      <c r="AD19" s="448"/>
      <c r="AG19" s="66"/>
    </row>
    <row r="20" spans="1:33" s="52" customFormat="1" ht="31.5" customHeight="1" x14ac:dyDescent="0.25">
      <c r="A20" s="153"/>
      <c r="B20" s="449" t="str">
        <f>PRESIDENCIA!A3</f>
        <v>SUELDO  DEL 01 AL 15 DE ENERO DE 2026</v>
      </c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49"/>
      <c r="N20" s="449"/>
      <c r="O20" s="449"/>
      <c r="P20" s="449"/>
      <c r="Q20" s="449"/>
      <c r="R20" s="449"/>
      <c r="S20" s="449"/>
      <c r="T20" s="449"/>
      <c r="U20" s="449"/>
      <c r="V20" s="449"/>
      <c r="W20" s="449"/>
      <c r="X20" s="449"/>
      <c r="Y20" s="449"/>
      <c r="Z20" s="449"/>
      <c r="AA20" s="449"/>
      <c r="AB20" s="449"/>
      <c r="AC20" s="449"/>
      <c r="AD20" s="449"/>
      <c r="AG20" s="66"/>
    </row>
    <row r="21" spans="1:33" s="52" customFormat="1" ht="26.25" customHeight="1" x14ac:dyDescent="0.3">
      <c r="A21" s="153"/>
      <c r="B21" s="234"/>
      <c r="C21" s="204"/>
      <c r="D21" s="205"/>
      <c r="E21" s="206"/>
      <c r="F21" s="206"/>
      <c r="G21" s="207"/>
      <c r="H21" s="196"/>
      <c r="I21" s="208"/>
      <c r="J21" s="209"/>
      <c r="K21" s="210"/>
      <c r="L21" s="211"/>
      <c r="M21" s="212"/>
      <c r="N21" s="213"/>
      <c r="O21" s="213"/>
      <c r="P21" s="213"/>
      <c r="Q21" s="213"/>
      <c r="R21" s="214"/>
      <c r="S21" s="213"/>
      <c r="T21" s="215"/>
      <c r="U21" s="213"/>
      <c r="V21" s="213"/>
      <c r="W21" s="213"/>
      <c r="X21" s="212"/>
      <c r="Y21" s="212"/>
      <c r="Z21" s="216"/>
      <c r="AA21" s="212"/>
      <c r="AB21" s="212"/>
      <c r="AC21" s="91"/>
      <c r="AG21" s="66"/>
    </row>
    <row r="22" spans="1:33" s="293" customFormat="1" ht="234" customHeight="1" x14ac:dyDescent="0.2">
      <c r="A22" s="347"/>
      <c r="B22" s="279" t="s">
        <v>618</v>
      </c>
      <c r="C22" s="273" t="s">
        <v>108</v>
      </c>
      <c r="D22" s="280" t="s">
        <v>619</v>
      </c>
      <c r="E22" s="281" t="s">
        <v>620</v>
      </c>
      <c r="F22" s="281" t="s">
        <v>621</v>
      </c>
      <c r="G22" s="321">
        <v>45945</v>
      </c>
      <c r="H22" s="261" t="s">
        <v>381</v>
      </c>
      <c r="I22" s="262">
        <v>15</v>
      </c>
      <c r="J22" s="263">
        <f>K22/I22</f>
        <v>296.53333333333336</v>
      </c>
      <c r="K22" s="264">
        <v>4448</v>
      </c>
      <c r="L22" s="265">
        <v>0</v>
      </c>
      <c r="M22" s="266">
        <f t="shared" ref="M22" si="19">SUM(K22:L22)</f>
        <v>4448</v>
      </c>
      <c r="N22" s="288">
        <f>IF(K22/15&lt;=SMG,0,L22/2)</f>
        <v>0</v>
      </c>
      <c r="O22" s="304">
        <f>(K22+N22)/I22*30.4</f>
        <v>9014.6133333333346</v>
      </c>
      <c r="P22" s="304">
        <f>VLOOKUP(O22,Tarifa,1)</f>
        <v>7168.52</v>
      </c>
      <c r="Q22" s="288">
        <f>O22-P22</f>
        <v>1846.0933333333342</v>
      </c>
      <c r="R22" s="289">
        <f>VLOOKUP(O22,Tarifa,3)</f>
        <v>0.10879999999999999</v>
      </c>
      <c r="S22" s="288">
        <f>Q22*R22</f>
        <v>200.85495466666674</v>
      </c>
      <c r="T22" s="290">
        <f>VLOOKUP(O22,Tarifa,2)</f>
        <v>420.95</v>
      </c>
      <c r="U22" s="288">
        <f>S22+T22</f>
        <v>621.80495466666673</v>
      </c>
      <c r="V22" s="288">
        <f>VLOOKUP(O22,Credito,2)</f>
        <v>536.21</v>
      </c>
      <c r="W22" s="288">
        <f>ROUND((U22-V22)/30.4*I22,2)</f>
        <v>42.23</v>
      </c>
      <c r="X22" s="266">
        <f>-IF(W22&gt;0,0,0)</f>
        <v>0</v>
      </c>
      <c r="Y22" s="266">
        <f t="shared" ref="Y22" si="20">IF(K22/15&lt;=SMG,0,IF(W22&lt;0,0,W22))</f>
        <v>0</v>
      </c>
      <c r="Z22" s="267">
        <v>0</v>
      </c>
      <c r="AA22" s="266">
        <f t="shared" ref="AA22" si="21">SUM(Y22:Z22)</f>
        <v>0</v>
      </c>
      <c r="AB22" s="266">
        <f t="shared" ref="AB22" si="22">M22+X22-AA22</f>
        <v>4448</v>
      </c>
      <c r="AC22" s="278"/>
      <c r="AG22" s="346"/>
    </row>
    <row r="23" spans="1:33" s="52" customFormat="1" ht="60.75" customHeight="1" x14ac:dyDescent="0.3">
      <c r="A23" s="153"/>
      <c r="B23" s="148" t="s">
        <v>93</v>
      </c>
      <c r="C23" s="148" t="s">
        <v>114</v>
      </c>
      <c r="D23" s="218" t="s">
        <v>276</v>
      </c>
      <c r="E23" s="218" t="s">
        <v>94</v>
      </c>
      <c r="F23" s="218" t="s">
        <v>206</v>
      </c>
      <c r="G23" s="217" t="s">
        <v>255</v>
      </c>
      <c r="H23" s="218" t="s">
        <v>61</v>
      </c>
      <c r="I23" s="218"/>
      <c r="J23" s="218"/>
      <c r="K23" s="219">
        <f>SUM(K24:K25)</f>
        <v>13527.5</v>
      </c>
      <c r="L23" s="219">
        <f>SUM(L24:L25)</f>
        <v>0</v>
      </c>
      <c r="M23" s="219">
        <f>SUM(M24:M25)</f>
        <v>13527.5</v>
      </c>
      <c r="N23" s="219" t="e">
        <f>#REF!+N24+N25</f>
        <v>#REF!</v>
      </c>
      <c r="O23" s="219" t="e">
        <f>#REF!+O24+O25</f>
        <v>#REF!</v>
      </c>
      <c r="P23" s="219" t="e">
        <f>#REF!+P24+P25</f>
        <v>#REF!</v>
      </c>
      <c r="Q23" s="219" t="e">
        <f>#REF!+Q24+Q25</f>
        <v>#REF!</v>
      </c>
      <c r="R23" s="219" t="e">
        <f>#REF!+R24+R25</f>
        <v>#REF!</v>
      </c>
      <c r="S23" s="219" t="e">
        <f>#REF!+S24+S25</f>
        <v>#REF!</v>
      </c>
      <c r="T23" s="219" t="e">
        <f>#REF!+T24+T25</f>
        <v>#REF!</v>
      </c>
      <c r="U23" s="219" t="e">
        <f>#REF!+U24+U25</f>
        <v>#REF!</v>
      </c>
      <c r="V23" s="219" t="e">
        <f>#REF!+V24+V25</f>
        <v>#REF!</v>
      </c>
      <c r="W23" s="219" t="e">
        <f>#REF!+W24+W25</f>
        <v>#REF!</v>
      </c>
      <c r="X23" s="219">
        <f>SUM(X24:X25)</f>
        <v>0</v>
      </c>
      <c r="Y23" s="219">
        <f>SUM(Y24:Y25)</f>
        <v>1049.92</v>
      </c>
      <c r="Z23" s="219">
        <f>SUM(Z24:Z25)</f>
        <v>0</v>
      </c>
      <c r="AA23" s="219">
        <f>SUM(AA24:AA25)</f>
        <v>1049.92</v>
      </c>
      <c r="AB23" s="219">
        <f>SUM(AB24:AB25)</f>
        <v>12477.58</v>
      </c>
      <c r="AC23" s="97"/>
      <c r="AG23" s="66"/>
    </row>
    <row r="24" spans="1:33" s="293" customFormat="1" ht="227.25" customHeight="1" x14ac:dyDescent="0.2">
      <c r="A24" s="347"/>
      <c r="B24" s="279" t="s">
        <v>288</v>
      </c>
      <c r="C24" s="273" t="s">
        <v>108</v>
      </c>
      <c r="D24" s="280" t="s">
        <v>277</v>
      </c>
      <c r="E24" s="281" t="s">
        <v>278</v>
      </c>
      <c r="F24" s="281" t="s">
        <v>279</v>
      </c>
      <c r="G24" s="321">
        <v>45108</v>
      </c>
      <c r="H24" s="261" t="s">
        <v>656</v>
      </c>
      <c r="I24" s="262">
        <v>15</v>
      </c>
      <c r="J24" s="263">
        <f>K24/I24</f>
        <v>618.5</v>
      </c>
      <c r="K24" s="264">
        <v>9277.5</v>
      </c>
      <c r="L24" s="265">
        <v>0</v>
      </c>
      <c r="M24" s="266">
        <f t="shared" ref="M24" si="23">SUM(K24:L24)</f>
        <v>9277.5</v>
      </c>
      <c r="N24" s="288">
        <f>IF(K24/15&lt;=SMG,0,L24/2)</f>
        <v>0</v>
      </c>
      <c r="O24" s="304">
        <f>(K24+N24)/I24*30.4</f>
        <v>18802.399999999998</v>
      </c>
      <c r="P24" s="304">
        <f>VLOOKUP(O24,Tarifa,1)</f>
        <v>17533.650000000001</v>
      </c>
      <c r="Q24" s="288">
        <f>O24-P24</f>
        <v>1268.7499999999964</v>
      </c>
      <c r="R24" s="289">
        <f>VLOOKUP(O24,Tarifa,3)</f>
        <v>0.21360000000000001</v>
      </c>
      <c r="S24" s="288">
        <f>Q24*R24</f>
        <v>271.00499999999926</v>
      </c>
      <c r="T24" s="290">
        <f>VLOOKUP(O24,Tarifa,2)</f>
        <v>1856.84</v>
      </c>
      <c r="U24" s="288">
        <f>S24+T24</f>
        <v>2127.8449999999993</v>
      </c>
      <c r="V24" s="288">
        <f>VLOOKUP(O24,Credito,2)</f>
        <v>0</v>
      </c>
      <c r="W24" s="288">
        <f>ROUND((U24-V24)/30.4*I24,2)</f>
        <v>1049.92</v>
      </c>
      <c r="X24" s="266">
        <f>-IF(W24&gt;0,0,0)</f>
        <v>0</v>
      </c>
      <c r="Y24" s="266">
        <f t="shared" ref="Y24" si="24">IF(K24/15&lt;=SMG,0,IF(W24&lt;0,0,W24))</f>
        <v>1049.92</v>
      </c>
      <c r="Z24" s="267">
        <v>0</v>
      </c>
      <c r="AA24" s="266">
        <f t="shared" ref="AA24" si="25">SUM(Y24:Z24)</f>
        <v>1049.92</v>
      </c>
      <c r="AB24" s="266">
        <f t="shared" ref="AB24" si="26">M24+X24-AA24</f>
        <v>8227.58</v>
      </c>
      <c r="AC24" s="278"/>
      <c r="AG24" s="346"/>
    </row>
    <row r="25" spans="1:33" s="293" customFormat="1" ht="227.25" customHeight="1" x14ac:dyDescent="0.2">
      <c r="A25" s="347"/>
      <c r="B25" s="279" t="s">
        <v>297</v>
      </c>
      <c r="C25" s="273" t="s">
        <v>108</v>
      </c>
      <c r="D25" s="280" t="s">
        <v>301</v>
      </c>
      <c r="E25" s="281" t="s">
        <v>302</v>
      </c>
      <c r="F25" s="281" t="s">
        <v>303</v>
      </c>
      <c r="G25" s="321">
        <v>45200</v>
      </c>
      <c r="H25" s="261" t="s">
        <v>657</v>
      </c>
      <c r="I25" s="262">
        <v>15</v>
      </c>
      <c r="J25" s="263">
        <f>K25/I25</f>
        <v>283.33333333333331</v>
      </c>
      <c r="K25" s="264">
        <v>4250</v>
      </c>
      <c r="L25" s="265">
        <v>0</v>
      </c>
      <c r="M25" s="266">
        <f>SUM(K25:L25)</f>
        <v>4250</v>
      </c>
      <c r="N25" s="288">
        <f>IF(K25/15&lt;=SMG,0,L25/2)</f>
        <v>0</v>
      </c>
      <c r="O25" s="304">
        <f>(K25+N25)/I25*30.4</f>
        <v>8613.3333333333321</v>
      </c>
      <c r="P25" s="304">
        <f>VLOOKUP(O25,Tarifa,1)</f>
        <v>7168.52</v>
      </c>
      <c r="Q25" s="288">
        <f>O25-P25</f>
        <v>1444.8133333333317</v>
      </c>
      <c r="R25" s="289">
        <f>VLOOKUP(O25,Tarifa,3)</f>
        <v>0.10879999999999999</v>
      </c>
      <c r="S25" s="288">
        <f>Q25*R25</f>
        <v>157.19569066666648</v>
      </c>
      <c r="T25" s="290">
        <f>VLOOKUP(O25,Tarifa,2)</f>
        <v>420.95</v>
      </c>
      <c r="U25" s="288">
        <f>S25+T25</f>
        <v>578.1456906666665</v>
      </c>
      <c r="V25" s="288">
        <f>VLOOKUP(O25,Credito,2)</f>
        <v>536.21</v>
      </c>
      <c r="W25" s="288">
        <f>ROUND((U25-V25)/30.4*I25,2)</f>
        <v>20.69</v>
      </c>
      <c r="X25" s="266">
        <f>-IF(W25&gt;0,0,0)</f>
        <v>0</v>
      </c>
      <c r="Y25" s="266">
        <f>IF(K25/15&lt;=SMG,0,IF(W25&lt;0,0,W25))</f>
        <v>0</v>
      </c>
      <c r="Z25" s="267">
        <v>0</v>
      </c>
      <c r="AA25" s="266">
        <f>SUM(Y25:Z25)</f>
        <v>0</v>
      </c>
      <c r="AB25" s="266">
        <f>M25+X25-AA25</f>
        <v>4250</v>
      </c>
      <c r="AC25" s="278"/>
      <c r="AG25" s="346"/>
    </row>
    <row r="26" spans="1:33" s="52" customFormat="1" ht="47.25" customHeight="1" x14ac:dyDescent="0.25">
      <c r="A26" s="153"/>
      <c r="B26" s="195" t="s">
        <v>93</v>
      </c>
      <c r="C26" s="195" t="s">
        <v>114</v>
      </c>
      <c r="D26" s="195" t="s">
        <v>402</v>
      </c>
      <c r="E26" s="240" t="s">
        <v>94</v>
      </c>
      <c r="F26" s="240" t="s">
        <v>206</v>
      </c>
      <c r="G26" s="195" t="s">
        <v>255</v>
      </c>
      <c r="H26" s="240" t="s">
        <v>61</v>
      </c>
      <c r="I26" s="240"/>
      <c r="J26" s="240"/>
      <c r="K26" s="241">
        <f>SUM(K27)</f>
        <v>6393.5</v>
      </c>
      <c r="L26" s="241">
        <f>SUM(L27)</f>
        <v>0</v>
      </c>
      <c r="M26" s="241">
        <f>SUM(M27)</f>
        <v>6393.5</v>
      </c>
      <c r="N26" s="240"/>
      <c r="O26" s="240"/>
      <c r="P26" s="240"/>
      <c r="Q26" s="240"/>
      <c r="R26" s="240"/>
      <c r="S26" s="240"/>
      <c r="T26" s="242"/>
      <c r="U26" s="240"/>
      <c r="V26" s="240"/>
      <c r="W26" s="240"/>
      <c r="X26" s="241">
        <f>SUM(X27)</f>
        <v>0</v>
      </c>
      <c r="Y26" s="241">
        <f>SUM(Y27)</f>
        <v>527.55999999999995</v>
      </c>
      <c r="Z26" s="241">
        <f>SUM(Z27)</f>
        <v>0</v>
      </c>
      <c r="AA26" s="241">
        <f>SUM(AA27)</f>
        <v>527.55999999999995</v>
      </c>
      <c r="AB26" s="241">
        <f>SUM(AB27)</f>
        <v>5865.9400000000005</v>
      </c>
      <c r="AC26" s="177"/>
      <c r="AG26" s="66"/>
    </row>
    <row r="27" spans="1:33" s="293" customFormat="1" ht="240.75" customHeight="1" x14ac:dyDescent="0.2">
      <c r="A27" s="347"/>
      <c r="B27" s="279" t="s">
        <v>403</v>
      </c>
      <c r="C27" s="273" t="s">
        <v>108</v>
      </c>
      <c r="D27" s="258" t="s">
        <v>404</v>
      </c>
      <c r="E27" s="259" t="s">
        <v>405</v>
      </c>
      <c r="F27" s="259" t="s">
        <v>406</v>
      </c>
      <c r="G27" s="260">
        <v>45566</v>
      </c>
      <c r="H27" s="261" t="s">
        <v>658</v>
      </c>
      <c r="I27" s="262">
        <v>15</v>
      </c>
      <c r="J27" s="263">
        <f>K27/I27</f>
        <v>426.23333333333335</v>
      </c>
      <c r="K27" s="264">
        <v>6393.5</v>
      </c>
      <c r="L27" s="265">
        <v>0</v>
      </c>
      <c r="M27" s="266">
        <f>SUM(K27:L27)</f>
        <v>6393.5</v>
      </c>
      <c r="N27" s="288">
        <f>IF(K27/15&lt;=SMG,0,L27/2)</f>
        <v>0</v>
      </c>
      <c r="O27" s="304">
        <f>(K27+N27)/I27*30.4</f>
        <v>12957.493333333334</v>
      </c>
      <c r="P27" s="304">
        <f>VLOOKUP(O27,Tarifa,1)</f>
        <v>12598.03</v>
      </c>
      <c r="Q27" s="288">
        <f>O27-P27</f>
        <v>359.46333333333314</v>
      </c>
      <c r="R27" s="289">
        <f>VLOOKUP(O27,Tarifa,3)</f>
        <v>0.16</v>
      </c>
      <c r="S27" s="288">
        <f>Q27*R27</f>
        <v>57.514133333333305</v>
      </c>
      <c r="T27" s="290">
        <f>VLOOKUP(O27,Tarifa,2)</f>
        <v>1011.68</v>
      </c>
      <c r="U27" s="288">
        <f>S27+T27</f>
        <v>1069.1941333333332</v>
      </c>
      <c r="V27" s="288">
        <f>VLOOKUP(O27,Credito,2)</f>
        <v>0</v>
      </c>
      <c r="W27" s="288">
        <f>ROUND((U27-V27)/30.4*I27,2)</f>
        <v>527.55999999999995</v>
      </c>
      <c r="X27" s="266">
        <f>-IF(W27&gt;0,0,0)</f>
        <v>0</v>
      </c>
      <c r="Y27" s="266">
        <f>IF(K27/15&lt;=SMG,0,IF(W27&lt;0,0,W27))</f>
        <v>527.55999999999995</v>
      </c>
      <c r="Z27" s="267">
        <v>0</v>
      </c>
      <c r="AA27" s="266">
        <f>SUM(Y27:Z27)</f>
        <v>527.55999999999995</v>
      </c>
      <c r="AB27" s="266">
        <f>M27+X27-AA27</f>
        <v>5865.9400000000005</v>
      </c>
      <c r="AC27" s="268"/>
      <c r="AG27" s="346"/>
    </row>
    <row r="28" spans="1:33" s="293" customFormat="1" ht="118.5" customHeight="1" x14ac:dyDescent="0.3">
      <c r="A28" s="347"/>
      <c r="B28" s="195" t="s">
        <v>93</v>
      </c>
      <c r="C28" s="195" t="s">
        <v>114</v>
      </c>
      <c r="D28" s="221" t="s">
        <v>117</v>
      </c>
      <c r="E28" s="222" t="s">
        <v>94</v>
      </c>
      <c r="F28" s="222" t="s">
        <v>206</v>
      </c>
      <c r="G28" s="221" t="s">
        <v>255</v>
      </c>
      <c r="H28" s="222" t="s">
        <v>61</v>
      </c>
      <c r="I28" s="222"/>
      <c r="J28" s="222"/>
      <c r="K28" s="223">
        <f>SUM(K29)</f>
        <v>7962</v>
      </c>
      <c r="L28" s="223">
        <f>SUM(L29)</f>
        <v>0</v>
      </c>
      <c r="M28" s="223">
        <f>SUM(M29)</f>
        <v>7962</v>
      </c>
      <c r="N28" s="222"/>
      <c r="O28" s="222"/>
      <c r="P28" s="222"/>
      <c r="Q28" s="222"/>
      <c r="R28" s="222"/>
      <c r="S28" s="222"/>
      <c r="T28" s="224"/>
      <c r="U28" s="222"/>
      <c r="V28" s="222"/>
      <c r="W28" s="222"/>
      <c r="X28" s="223">
        <f>SUM(X29)</f>
        <v>0</v>
      </c>
      <c r="Y28" s="223">
        <f>SUM(Y29)</f>
        <v>792.65</v>
      </c>
      <c r="Z28" s="223">
        <f>SUM(Z29)</f>
        <v>0</v>
      </c>
      <c r="AA28" s="223">
        <f>SUM(AA29)</f>
        <v>792.65</v>
      </c>
      <c r="AB28" s="223">
        <f>SUM(AB29)</f>
        <v>7169.35</v>
      </c>
      <c r="AC28" s="177"/>
      <c r="AG28" s="346"/>
    </row>
    <row r="29" spans="1:33" s="293" customFormat="1" ht="241.5" customHeight="1" x14ac:dyDescent="0.2">
      <c r="A29" s="347"/>
      <c r="B29" s="279" t="s">
        <v>394</v>
      </c>
      <c r="C29" s="273" t="s">
        <v>108</v>
      </c>
      <c r="D29" s="258" t="s">
        <v>391</v>
      </c>
      <c r="E29" s="259" t="s">
        <v>392</v>
      </c>
      <c r="F29" s="259" t="s">
        <v>393</v>
      </c>
      <c r="G29" s="260">
        <v>45566</v>
      </c>
      <c r="H29" s="261" t="s">
        <v>92</v>
      </c>
      <c r="I29" s="262">
        <v>15</v>
      </c>
      <c r="J29" s="263">
        <f>K29/I29</f>
        <v>530.79999999999995</v>
      </c>
      <c r="K29" s="264">
        <v>7962</v>
      </c>
      <c r="L29" s="265">
        <v>0</v>
      </c>
      <c r="M29" s="266">
        <f>SUM(K29:L29)</f>
        <v>7962</v>
      </c>
      <c r="N29" s="288">
        <f>IF(K29/15&lt;=SMG,0,L29/2)</f>
        <v>0</v>
      </c>
      <c r="O29" s="304">
        <f>(K29+N29)/I29*30.4</f>
        <v>16136.319999999998</v>
      </c>
      <c r="P29" s="304">
        <f>VLOOKUP(O29,Tarifa,1)</f>
        <v>14644.65</v>
      </c>
      <c r="Q29" s="288">
        <f>O29-P29</f>
        <v>1491.6699999999983</v>
      </c>
      <c r="R29" s="289">
        <f>VLOOKUP(O29,Tarifa,3)</f>
        <v>0.1792</v>
      </c>
      <c r="S29" s="288">
        <f>Q29*R29</f>
        <v>267.30726399999969</v>
      </c>
      <c r="T29" s="290">
        <f>VLOOKUP(O29,Tarifa,2)</f>
        <v>1339.14</v>
      </c>
      <c r="U29" s="288">
        <f>S29+T29</f>
        <v>1606.4472639999999</v>
      </c>
      <c r="V29" s="288">
        <f>VLOOKUP(O29,Credito,2)</f>
        <v>0</v>
      </c>
      <c r="W29" s="288">
        <f>ROUND((U29-V29)/30.4*I29,2)</f>
        <v>792.65</v>
      </c>
      <c r="X29" s="266">
        <f>-IF(W29&gt;0,0,0)</f>
        <v>0</v>
      </c>
      <c r="Y29" s="266">
        <f>IF(K29/15&lt;=SMG,0,IF(W29&lt;0,0,W29))</f>
        <v>792.65</v>
      </c>
      <c r="Z29" s="267">
        <v>0</v>
      </c>
      <c r="AA29" s="266">
        <f>SUM(Y29:Z29)</f>
        <v>792.65</v>
      </c>
      <c r="AB29" s="266">
        <f>M29+X29-AA29</f>
        <v>7169.35</v>
      </c>
      <c r="AC29" s="268"/>
      <c r="AG29" s="346"/>
    </row>
    <row r="30" spans="1:33" s="293" customFormat="1" ht="35.25" customHeight="1" x14ac:dyDescent="0.2">
      <c r="A30" s="347"/>
      <c r="B30" s="382"/>
      <c r="C30" s="383"/>
      <c r="D30" s="384"/>
      <c r="E30" s="385"/>
      <c r="F30" s="385"/>
      <c r="G30" s="386"/>
      <c r="H30" s="387"/>
      <c r="I30" s="388"/>
      <c r="J30" s="389"/>
      <c r="K30" s="390"/>
      <c r="L30" s="391"/>
      <c r="M30" s="392"/>
      <c r="N30" s="374"/>
      <c r="O30" s="375"/>
      <c r="P30" s="375"/>
      <c r="Q30" s="374"/>
      <c r="R30" s="376"/>
      <c r="S30" s="374"/>
      <c r="T30" s="377"/>
      <c r="U30" s="374"/>
      <c r="V30" s="374"/>
      <c r="W30" s="374"/>
      <c r="X30" s="392"/>
      <c r="Y30" s="392"/>
      <c r="Z30" s="393"/>
      <c r="AA30" s="392"/>
      <c r="AB30" s="392"/>
      <c r="AC30" s="394"/>
      <c r="AG30" s="346"/>
    </row>
    <row r="31" spans="1:33" s="52" customFormat="1" ht="39.75" customHeight="1" x14ac:dyDescent="0.25">
      <c r="A31" s="153"/>
      <c r="B31" s="448" t="s">
        <v>76</v>
      </c>
      <c r="C31" s="448"/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448"/>
      <c r="U31" s="448"/>
      <c r="V31" s="448"/>
      <c r="W31" s="448"/>
      <c r="X31" s="448"/>
      <c r="Y31" s="448"/>
      <c r="Z31" s="448"/>
      <c r="AA31" s="448"/>
      <c r="AB31" s="448"/>
      <c r="AC31" s="448"/>
      <c r="AG31" s="66"/>
    </row>
    <row r="32" spans="1:33" s="52" customFormat="1" ht="27" customHeight="1" x14ac:dyDescent="0.25">
      <c r="A32" s="153"/>
      <c r="B32" s="448" t="s">
        <v>64</v>
      </c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8"/>
      <c r="S32" s="448"/>
      <c r="T32" s="448"/>
      <c r="U32" s="448"/>
      <c r="V32" s="448"/>
      <c r="W32" s="448"/>
      <c r="X32" s="448"/>
      <c r="Y32" s="448"/>
      <c r="Z32" s="448"/>
      <c r="AA32" s="448"/>
      <c r="AB32" s="448"/>
      <c r="AC32" s="448"/>
      <c r="AG32" s="66"/>
    </row>
    <row r="33" spans="1:33" s="52" customFormat="1" ht="32.25" customHeight="1" x14ac:dyDescent="0.25">
      <c r="A33" s="153"/>
      <c r="B33" s="487" t="str">
        <f>PRESIDENCIA!A3</f>
        <v>SUELDO  DEL 01 AL 15 DE ENERO DE 2026</v>
      </c>
      <c r="C33" s="449"/>
      <c r="D33" s="449"/>
      <c r="E33" s="449"/>
      <c r="F33" s="449"/>
      <c r="G33" s="449"/>
      <c r="H33" s="449"/>
      <c r="I33" s="449"/>
      <c r="J33" s="449"/>
      <c r="K33" s="449"/>
      <c r="L33" s="449"/>
      <c r="M33" s="449"/>
      <c r="N33" s="449"/>
      <c r="O33" s="449"/>
      <c r="P33" s="449"/>
      <c r="Q33" s="449"/>
      <c r="R33" s="449"/>
      <c r="S33" s="449"/>
      <c r="T33" s="449"/>
      <c r="U33" s="449"/>
      <c r="V33" s="449"/>
      <c r="W33" s="449"/>
      <c r="X33" s="449"/>
      <c r="Y33" s="449"/>
      <c r="Z33" s="449"/>
      <c r="AA33" s="449"/>
      <c r="AB33" s="449"/>
      <c r="AC33" s="449"/>
      <c r="AG33" s="66"/>
    </row>
    <row r="34" spans="1:33" s="52" customFormat="1" ht="25.5" customHeight="1" x14ac:dyDescent="0.3">
      <c r="A34" s="153"/>
      <c r="B34" s="234"/>
      <c r="C34" s="204"/>
      <c r="D34" s="205"/>
      <c r="E34" s="206"/>
      <c r="F34" s="206"/>
      <c r="G34" s="207"/>
      <c r="H34" s="196"/>
      <c r="I34" s="208"/>
      <c r="J34" s="209"/>
      <c r="K34" s="210"/>
      <c r="L34" s="211"/>
      <c r="M34" s="212"/>
      <c r="N34" s="213"/>
      <c r="O34" s="213"/>
      <c r="P34" s="213"/>
      <c r="Q34" s="213"/>
      <c r="R34" s="214"/>
      <c r="S34" s="213"/>
      <c r="T34" s="215"/>
      <c r="U34" s="213"/>
      <c r="V34" s="213"/>
      <c r="W34" s="213"/>
      <c r="X34" s="212"/>
      <c r="Y34" s="212"/>
      <c r="Z34" s="216"/>
      <c r="AA34" s="212"/>
      <c r="AB34" s="212"/>
      <c r="AC34" s="91"/>
      <c r="AG34" s="66"/>
    </row>
    <row r="35" spans="1:33" s="108" customFormat="1" ht="57.75" customHeight="1" x14ac:dyDescent="0.3">
      <c r="A35" s="158"/>
      <c r="B35" s="148" t="s">
        <v>93</v>
      </c>
      <c r="C35" s="148" t="s">
        <v>114</v>
      </c>
      <c r="D35" s="218" t="s">
        <v>131</v>
      </c>
      <c r="E35" s="218" t="s">
        <v>94</v>
      </c>
      <c r="F35" s="218" t="s">
        <v>206</v>
      </c>
      <c r="G35" s="217" t="s">
        <v>255</v>
      </c>
      <c r="H35" s="218" t="s">
        <v>61</v>
      </c>
      <c r="I35" s="218"/>
      <c r="J35" s="218"/>
      <c r="K35" s="219">
        <f>SUM(K36:K51)</f>
        <v>92540</v>
      </c>
      <c r="L35" s="219">
        <f>SUM(L36:L51)</f>
        <v>0</v>
      </c>
      <c r="M35" s="219">
        <f>SUM(M36:M51)</f>
        <v>92540</v>
      </c>
      <c r="N35" s="218"/>
      <c r="O35" s="218"/>
      <c r="P35" s="218"/>
      <c r="Q35" s="218"/>
      <c r="R35" s="218"/>
      <c r="S35" s="218"/>
      <c r="T35" s="220"/>
      <c r="U35" s="218"/>
      <c r="V35" s="218"/>
      <c r="W35" s="218"/>
      <c r="X35" s="219">
        <f>SUM(X36:X51)</f>
        <v>0</v>
      </c>
      <c r="Y35" s="219">
        <f>SUM(Y36:Y51)</f>
        <v>8980.0300000000007</v>
      </c>
      <c r="Z35" s="219">
        <f>SUM(Z36:Z51)</f>
        <v>0</v>
      </c>
      <c r="AA35" s="219">
        <f>SUM(AA36:AA51)</f>
        <v>8980.0300000000007</v>
      </c>
      <c r="AB35" s="219">
        <f>SUM(AB36:AB51)</f>
        <v>83559.97</v>
      </c>
      <c r="AC35" s="179"/>
    </row>
    <row r="36" spans="1:33" s="348" customFormat="1" ht="225" customHeight="1" x14ac:dyDescent="0.2">
      <c r="A36" s="349"/>
      <c r="B36" s="279" t="s">
        <v>142</v>
      </c>
      <c r="C36" s="273" t="s">
        <v>108</v>
      </c>
      <c r="D36" s="258" t="s">
        <v>133</v>
      </c>
      <c r="E36" s="281" t="s">
        <v>138</v>
      </c>
      <c r="F36" s="281" t="s">
        <v>218</v>
      </c>
      <c r="G36" s="321">
        <v>43101</v>
      </c>
      <c r="H36" s="261" t="s">
        <v>390</v>
      </c>
      <c r="I36" s="262">
        <v>15</v>
      </c>
      <c r="J36" s="263">
        <f>K36/I36</f>
        <v>583.06666666666672</v>
      </c>
      <c r="K36" s="285">
        <v>8746</v>
      </c>
      <c r="L36" s="286">
        <v>0</v>
      </c>
      <c r="M36" s="287">
        <f t="shared" ref="M36" si="27">SUM(K36:L36)</f>
        <v>8746</v>
      </c>
      <c r="N36" s="288">
        <f>IF(K36/15&lt;=SMG,0,L36/2)</f>
        <v>0</v>
      </c>
      <c r="O36" s="304">
        <f>(K36+N36)/I36*30.4</f>
        <v>17725.226666666669</v>
      </c>
      <c r="P36" s="304">
        <f>VLOOKUP(O36,Tarifa,1)</f>
        <v>17533.650000000001</v>
      </c>
      <c r="Q36" s="288">
        <f>O36-P36</f>
        <v>191.57666666666773</v>
      </c>
      <c r="R36" s="289">
        <f>VLOOKUP(O36,Tarifa,3)</f>
        <v>0.21360000000000001</v>
      </c>
      <c r="S36" s="288">
        <f>Q36*R36</f>
        <v>40.920776000000231</v>
      </c>
      <c r="T36" s="290">
        <f>VLOOKUP(O36,Tarifa,2)</f>
        <v>1856.84</v>
      </c>
      <c r="U36" s="288">
        <f>S36+T36</f>
        <v>1897.7607760000001</v>
      </c>
      <c r="V36" s="288">
        <f>VLOOKUP(O36,Credito,2)</f>
        <v>0</v>
      </c>
      <c r="W36" s="288">
        <f>ROUND((U36-V36)/30.4*I36,2)</f>
        <v>936.4</v>
      </c>
      <c r="X36" s="287">
        <f>-IF(W36&gt;0,0,0)</f>
        <v>0</v>
      </c>
      <c r="Y36" s="287">
        <f t="shared" ref="Y36" si="28">IF(K36/15&lt;=SMG,0,IF(W36&lt;0,0,W36))</f>
        <v>936.4</v>
      </c>
      <c r="Z36" s="291">
        <v>0</v>
      </c>
      <c r="AA36" s="287">
        <f t="shared" ref="AA36" si="29">SUM(Y36:Z36)</f>
        <v>936.4</v>
      </c>
      <c r="AB36" s="287">
        <f t="shared" ref="AB36" si="30">M36+X36-AA36</f>
        <v>7809.6</v>
      </c>
      <c r="AC36" s="350"/>
    </row>
    <row r="37" spans="1:33" s="348" customFormat="1" ht="225" customHeight="1" x14ac:dyDescent="0.2">
      <c r="A37" s="349"/>
      <c r="B37" s="279" t="s">
        <v>396</v>
      </c>
      <c r="C37" s="273" t="s">
        <v>108</v>
      </c>
      <c r="D37" s="258" t="s">
        <v>395</v>
      </c>
      <c r="E37" s="281" t="s">
        <v>397</v>
      </c>
      <c r="F37" s="281" t="s">
        <v>398</v>
      </c>
      <c r="G37" s="321">
        <v>45292</v>
      </c>
      <c r="H37" s="261" t="s">
        <v>134</v>
      </c>
      <c r="I37" s="262">
        <v>15</v>
      </c>
      <c r="J37" s="263">
        <f>K37/I37</f>
        <v>530.79999999999995</v>
      </c>
      <c r="K37" s="264">
        <v>7962</v>
      </c>
      <c r="L37" s="265">
        <v>0</v>
      </c>
      <c r="M37" s="266">
        <f>SUM(K37:L37)</f>
        <v>7962</v>
      </c>
      <c r="N37" s="288">
        <f>IF(K37/15&lt;=SMG,0,L37/2)</f>
        <v>0</v>
      </c>
      <c r="O37" s="304">
        <f>(K37+N37)/I37*30.4</f>
        <v>16136.319999999998</v>
      </c>
      <c r="P37" s="304">
        <f>VLOOKUP(O37,Tarifa,1)</f>
        <v>14644.65</v>
      </c>
      <c r="Q37" s="288">
        <f>O37-P37</f>
        <v>1491.6699999999983</v>
      </c>
      <c r="R37" s="289">
        <f>VLOOKUP(O37,Tarifa,3)</f>
        <v>0.1792</v>
      </c>
      <c r="S37" s="288">
        <f>Q37*R37</f>
        <v>267.30726399999969</v>
      </c>
      <c r="T37" s="290">
        <f>VLOOKUP(O37,Tarifa,2)</f>
        <v>1339.14</v>
      </c>
      <c r="U37" s="288">
        <f>S37+T37</f>
        <v>1606.4472639999999</v>
      </c>
      <c r="V37" s="288">
        <f>VLOOKUP(O37,Credito,2)</f>
        <v>0</v>
      </c>
      <c r="W37" s="288">
        <f>ROUND((U37-V37)/30.4*I37,2)</f>
        <v>792.65</v>
      </c>
      <c r="X37" s="266">
        <f>-IF(W37&gt;0,0,0)</f>
        <v>0</v>
      </c>
      <c r="Y37" s="266">
        <f>IF(K37/15&lt;=SMG,0,IF(W37&lt;0,0,W37))</f>
        <v>792.65</v>
      </c>
      <c r="Z37" s="267">
        <v>0</v>
      </c>
      <c r="AA37" s="266">
        <f>SUM(Y37:Z37)</f>
        <v>792.65</v>
      </c>
      <c r="AB37" s="266">
        <f>M37+X37-AA37</f>
        <v>7169.35</v>
      </c>
      <c r="AC37" s="350"/>
    </row>
    <row r="38" spans="1:33" s="348" customFormat="1" ht="225" customHeight="1" x14ac:dyDescent="0.2">
      <c r="A38" s="349"/>
      <c r="B38" s="279" t="s">
        <v>527</v>
      </c>
      <c r="C38" s="273" t="s">
        <v>108</v>
      </c>
      <c r="D38" s="258" t="s">
        <v>529</v>
      </c>
      <c r="E38" s="281" t="s">
        <v>530</v>
      </c>
      <c r="F38" s="281" t="s">
        <v>531</v>
      </c>
      <c r="G38" s="321">
        <v>45732</v>
      </c>
      <c r="H38" s="276" t="s">
        <v>622</v>
      </c>
      <c r="I38" s="277">
        <v>15</v>
      </c>
      <c r="J38" s="307">
        <f>ROUND(K38/I38,2)</f>
        <v>583.07000000000005</v>
      </c>
      <c r="K38" s="285">
        <v>8746</v>
      </c>
      <c r="L38" s="286">
        <v>0</v>
      </c>
      <c r="M38" s="287">
        <f t="shared" ref="M38" si="31">SUM(K38:L38)</f>
        <v>8746</v>
      </c>
      <c r="N38" s="288">
        <f>IF(K38/15&lt;=SMG,0,L38/2)</f>
        <v>0</v>
      </c>
      <c r="O38" s="304">
        <f>(K38+N38)/I38*30.4</f>
        <v>17725.226666666669</v>
      </c>
      <c r="P38" s="304">
        <f>VLOOKUP(O38,Tarifa,1)</f>
        <v>17533.650000000001</v>
      </c>
      <c r="Q38" s="288">
        <f>O38-P38</f>
        <v>191.57666666666773</v>
      </c>
      <c r="R38" s="289">
        <f>VLOOKUP(O38,Tarifa,3)</f>
        <v>0.21360000000000001</v>
      </c>
      <c r="S38" s="288">
        <f>Q38*R38</f>
        <v>40.920776000000231</v>
      </c>
      <c r="T38" s="290">
        <f>VLOOKUP(O38,Tarifa,2)</f>
        <v>1856.84</v>
      </c>
      <c r="U38" s="288">
        <f>S38+T38</f>
        <v>1897.7607760000001</v>
      </c>
      <c r="V38" s="288">
        <f>VLOOKUP(O38,Credito,2)</f>
        <v>0</v>
      </c>
      <c r="W38" s="288">
        <f>ROUND((U38-V38)/30.4*I38,2)</f>
        <v>936.4</v>
      </c>
      <c r="X38" s="287">
        <f>-IF(W38&gt;0,0,0)</f>
        <v>0</v>
      </c>
      <c r="Y38" s="287">
        <f t="shared" ref="Y38" si="32">IF(K38/15&lt;=SMG,0,IF(W38&lt;0,0,W38))</f>
        <v>936.4</v>
      </c>
      <c r="Z38" s="291">
        <v>0</v>
      </c>
      <c r="AA38" s="287">
        <f t="shared" ref="AA38" si="33">SUM(Y38:Z38)</f>
        <v>936.4</v>
      </c>
      <c r="AB38" s="287">
        <f t="shared" ref="AB38" si="34">M38+X38-AA38</f>
        <v>7809.6</v>
      </c>
      <c r="AC38" s="350"/>
    </row>
    <row r="39" spans="1:33" s="348" customFormat="1" ht="225" customHeight="1" x14ac:dyDescent="0.2">
      <c r="A39" s="349"/>
      <c r="B39" s="279" t="s">
        <v>528</v>
      </c>
      <c r="C39" s="273" t="s">
        <v>108</v>
      </c>
      <c r="D39" s="258" t="s">
        <v>532</v>
      </c>
      <c r="E39" s="281" t="s">
        <v>533</v>
      </c>
      <c r="F39" s="281" t="s">
        <v>534</v>
      </c>
      <c r="G39" s="321">
        <v>45732</v>
      </c>
      <c r="H39" s="276" t="s">
        <v>588</v>
      </c>
      <c r="I39" s="262">
        <v>15</v>
      </c>
      <c r="J39" s="263">
        <f>K39/I39</f>
        <v>496.93333333333334</v>
      </c>
      <c r="K39" s="264">
        <v>7454</v>
      </c>
      <c r="L39" s="265">
        <v>0</v>
      </c>
      <c r="M39" s="266">
        <f>SUM(K39:L39)</f>
        <v>7454</v>
      </c>
      <c r="N39" s="288">
        <f>IF(K39/15&lt;=SMG,0,L39/2)</f>
        <v>0</v>
      </c>
      <c r="O39" s="304">
        <f>(K39+N39)/I39*30.4</f>
        <v>15106.773333333333</v>
      </c>
      <c r="P39" s="304">
        <f>VLOOKUP(O39,Tarifa,1)</f>
        <v>14644.65</v>
      </c>
      <c r="Q39" s="288">
        <f>O39-P39</f>
        <v>462.12333333333299</v>
      </c>
      <c r="R39" s="289">
        <f>VLOOKUP(O39,Tarifa,3)</f>
        <v>0.1792</v>
      </c>
      <c r="S39" s="288">
        <f>Q39*R39</f>
        <v>82.812501333333273</v>
      </c>
      <c r="T39" s="290">
        <f>VLOOKUP(O39,Tarifa,2)</f>
        <v>1339.14</v>
      </c>
      <c r="U39" s="288">
        <f>S39+T39</f>
        <v>1421.9525013333334</v>
      </c>
      <c r="V39" s="288">
        <f>VLOOKUP(O39,Credito,2)</f>
        <v>0</v>
      </c>
      <c r="W39" s="288">
        <f>ROUND((U39-V39)/30.4*I39,2)</f>
        <v>701.62</v>
      </c>
      <c r="X39" s="266">
        <f>-IF(W39&gt;0,0,0)</f>
        <v>0</v>
      </c>
      <c r="Y39" s="266">
        <f>IF(K39/15&lt;=SMG,0,IF(W39&lt;0,0,W39))</f>
        <v>701.62</v>
      </c>
      <c r="Z39" s="267">
        <v>0</v>
      </c>
      <c r="AA39" s="266">
        <f>SUM(Y39:Z39)</f>
        <v>701.62</v>
      </c>
      <c r="AB39" s="266">
        <f>M39+X39-AA39</f>
        <v>6752.38</v>
      </c>
      <c r="AC39" s="350"/>
    </row>
    <row r="40" spans="1:33" s="348" customFormat="1" ht="225" customHeight="1" x14ac:dyDescent="0.2">
      <c r="A40" s="397"/>
      <c r="B40" s="279" t="s">
        <v>539</v>
      </c>
      <c r="C40" s="273" t="s">
        <v>452</v>
      </c>
      <c r="D40" s="258" t="s">
        <v>540</v>
      </c>
      <c r="E40" s="281" t="s">
        <v>541</v>
      </c>
      <c r="F40" s="281" t="s">
        <v>542</v>
      </c>
      <c r="G40" s="321">
        <v>45732</v>
      </c>
      <c r="H40" s="276" t="s">
        <v>588</v>
      </c>
      <c r="I40" s="262">
        <v>15</v>
      </c>
      <c r="J40" s="263">
        <f t="shared" ref="J40" si="35">K40/I40</f>
        <v>496.93333333333334</v>
      </c>
      <c r="K40" s="264">
        <v>7454</v>
      </c>
      <c r="L40" s="265">
        <v>0</v>
      </c>
      <c r="M40" s="266">
        <f t="shared" ref="M40" si="36">SUM(K40:L40)</f>
        <v>7454</v>
      </c>
      <c r="N40" s="288">
        <f t="shared" ref="N40" si="37">IF(K40/15&lt;=SMG,0,L40/2)</f>
        <v>0</v>
      </c>
      <c r="O40" s="304">
        <f t="shared" ref="O40" si="38">(K40+N40)/I40*30.4</f>
        <v>15106.773333333333</v>
      </c>
      <c r="P40" s="304">
        <f t="shared" ref="P40" si="39">VLOOKUP(O40,Tarifa,1)</f>
        <v>14644.65</v>
      </c>
      <c r="Q40" s="288">
        <f t="shared" ref="Q40" si="40">O40-P40</f>
        <v>462.12333333333299</v>
      </c>
      <c r="R40" s="289">
        <f t="shared" ref="R40" si="41">VLOOKUP(O40,Tarifa,3)</f>
        <v>0.1792</v>
      </c>
      <c r="S40" s="288">
        <f t="shared" ref="S40" si="42">Q40*R40</f>
        <v>82.812501333333273</v>
      </c>
      <c r="T40" s="290">
        <f t="shared" ref="T40" si="43">VLOOKUP(O40,Tarifa,2)</f>
        <v>1339.14</v>
      </c>
      <c r="U40" s="288">
        <f t="shared" ref="U40" si="44">S40+T40</f>
        <v>1421.9525013333334</v>
      </c>
      <c r="V40" s="288">
        <f t="shared" ref="V40" si="45">VLOOKUP(O40,Credito,2)</f>
        <v>0</v>
      </c>
      <c r="W40" s="288">
        <f t="shared" ref="W40" si="46">ROUND((U40-V40)/30.4*I40,2)</f>
        <v>701.62</v>
      </c>
      <c r="X40" s="266">
        <f t="shared" ref="X40" si="47">-IF(W40&gt;0,0,0)</f>
        <v>0</v>
      </c>
      <c r="Y40" s="266">
        <f t="shared" ref="Y40" si="48">IF(K40/15&lt;=SMG,0,IF(W40&lt;0,0,W40))</f>
        <v>701.62</v>
      </c>
      <c r="Z40" s="267">
        <v>0</v>
      </c>
      <c r="AA40" s="266">
        <f t="shared" ref="AA40" si="49">SUM(Y40:Z40)</f>
        <v>701.62</v>
      </c>
      <c r="AB40" s="266">
        <f t="shared" ref="AB40" si="50">M40+X40-AA40</f>
        <v>6752.38</v>
      </c>
      <c r="AC40" s="350"/>
    </row>
    <row r="41" spans="1:33" s="348" customFormat="1" ht="225" customHeight="1" x14ac:dyDescent="0.2">
      <c r="A41" s="397"/>
      <c r="B41" s="279" t="s">
        <v>535</v>
      </c>
      <c r="C41" s="273" t="s">
        <v>452</v>
      </c>
      <c r="D41" s="258" t="s">
        <v>536</v>
      </c>
      <c r="E41" s="281" t="s">
        <v>537</v>
      </c>
      <c r="F41" s="281" t="s">
        <v>538</v>
      </c>
      <c r="G41" s="321">
        <v>45732</v>
      </c>
      <c r="H41" s="276" t="s">
        <v>588</v>
      </c>
      <c r="I41" s="262">
        <v>15</v>
      </c>
      <c r="J41" s="263">
        <f t="shared" ref="J41" si="51">K41/I41</f>
        <v>496.93333333333334</v>
      </c>
      <c r="K41" s="264">
        <v>7454</v>
      </c>
      <c r="L41" s="265">
        <v>0</v>
      </c>
      <c r="M41" s="266">
        <f t="shared" ref="M41" si="52">SUM(K41:L41)</f>
        <v>7454</v>
      </c>
      <c r="N41" s="288">
        <f t="shared" ref="N41" si="53">IF(K41/15&lt;=SMG,0,L41/2)</f>
        <v>0</v>
      </c>
      <c r="O41" s="304">
        <f t="shared" ref="O41" si="54">(K41+N41)/I41*30.4</f>
        <v>15106.773333333333</v>
      </c>
      <c r="P41" s="304">
        <f t="shared" ref="P41" si="55">VLOOKUP(O41,Tarifa,1)</f>
        <v>14644.65</v>
      </c>
      <c r="Q41" s="288">
        <f t="shared" ref="Q41" si="56">O41-P41</f>
        <v>462.12333333333299</v>
      </c>
      <c r="R41" s="289">
        <f t="shared" ref="R41" si="57">VLOOKUP(O41,Tarifa,3)</f>
        <v>0.1792</v>
      </c>
      <c r="S41" s="288">
        <f t="shared" ref="S41" si="58">Q41*R41</f>
        <v>82.812501333333273</v>
      </c>
      <c r="T41" s="290">
        <f t="shared" ref="T41" si="59">VLOOKUP(O41,Tarifa,2)</f>
        <v>1339.14</v>
      </c>
      <c r="U41" s="288">
        <f t="shared" ref="U41" si="60">S41+T41</f>
        <v>1421.9525013333334</v>
      </c>
      <c r="V41" s="288">
        <f t="shared" ref="V41" si="61">VLOOKUP(O41,Credito,2)</f>
        <v>0</v>
      </c>
      <c r="W41" s="288">
        <f t="shared" ref="W41" si="62">ROUND((U41-V41)/30.4*I41,2)</f>
        <v>701.62</v>
      </c>
      <c r="X41" s="266">
        <f t="shared" ref="X41" si="63">-IF(W41&gt;0,0,0)</f>
        <v>0</v>
      </c>
      <c r="Y41" s="266">
        <f t="shared" ref="Y41" si="64">IF(K41/15&lt;=SMG,0,IF(W41&lt;0,0,W41))</f>
        <v>701.62</v>
      </c>
      <c r="Z41" s="267">
        <v>0</v>
      </c>
      <c r="AA41" s="266">
        <f t="shared" ref="AA41" si="65">SUM(Y41:Z41)</f>
        <v>701.62</v>
      </c>
      <c r="AB41" s="266">
        <f t="shared" ref="AB41" si="66">M41+X41-AA41</f>
        <v>6752.38</v>
      </c>
      <c r="AC41" s="350"/>
    </row>
    <row r="42" spans="1:33" s="348" customFormat="1" ht="42" customHeight="1" x14ac:dyDescent="0.25">
      <c r="A42" s="397"/>
      <c r="B42" s="448" t="s">
        <v>76</v>
      </c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8"/>
      <c r="P42" s="448"/>
      <c r="Q42" s="448"/>
      <c r="R42" s="448"/>
      <c r="S42" s="448"/>
      <c r="T42" s="448"/>
      <c r="U42" s="448"/>
      <c r="V42" s="448"/>
      <c r="W42" s="448"/>
      <c r="X42" s="448"/>
      <c r="Y42" s="448"/>
      <c r="Z42" s="448"/>
      <c r="AA42" s="448"/>
      <c r="AB42" s="448"/>
      <c r="AC42" s="448"/>
    </row>
    <row r="43" spans="1:33" s="348" customFormat="1" ht="30.75" customHeight="1" x14ac:dyDescent="0.25">
      <c r="A43" s="397"/>
      <c r="B43" s="448" t="s">
        <v>64</v>
      </c>
      <c r="C43" s="448"/>
      <c r="D43" s="448"/>
      <c r="E43" s="448"/>
      <c r="F43" s="448"/>
      <c r="G43" s="448"/>
      <c r="H43" s="448"/>
      <c r="I43" s="448"/>
      <c r="J43" s="448"/>
      <c r="K43" s="448"/>
      <c r="L43" s="448"/>
      <c r="M43" s="448"/>
      <c r="N43" s="448"/>
      <c r="O43" s="448"/>
      <c r="P43" s="448"/>
      <c r="Q43" s="448"/>
      <c r="R43" s="448"/>
      <c r="S43" s="448"/>
      <c r="T43" s="448"/>
      <c r="U43" s="448"/>
      <c r="V43" s="448"/>
      <c r="W43" s="448"/>
      <c r="X43" s="448"/>
      <c r="Y43" s="448"/>
      <c r="Z43" s="448"/>
      <c r="AA43" s="448"/>
      <c r="AB43" s="448"/>
      <c r="AC43" s="448"/>
    </row>
    <row r="44" spans="1:33" s="348" customFormat="1" ht="42" customHeight="1" x14ac:dyDescent="0.2">
      <c r="A44" s="397"/>
      <c r="B44" s="489" t="str">
        <f>PRESIDENCIA!A3</f>
        <v>SUELDO  DEL 01 AL 15 DE ENERO DE 2026</v>
      </c>
      <c r="C44" s="489"/>
      <c r="D44" s="489"/>
      <c r="E44" s="489"/>
      <c r="F44" s="489"/>
      <c r="G44" s="489"/>
      <c r="H44" s="489"/>
      <c r="I44" s="489"/>
      <c r="J44" s="489"/>
      <c r="K44" s="489"/>
      <c r="L44" s="489"/>
      <c r="M44" s="489"/>
      <c r="N44" s="489"/>
      <c r="O44" s="489"/>
      <c r="P44" s="489"/>
      <c r="Q44" s="489"/>
      <c r="R44" s="489"/>
      <c r="S44" s="489"/>
      <c r="T44" s="489"/>
      <c r="U44" s="489"/>
      <c r="V44" s="489"/>
      <c r="W44" s="489"/>
      <c r="X44" s="489"/>
      <c r="Y44" s="489"/>
      <c r="Z44" s="489"/>
      <c r="AA44" s="489"/>
      <c r="AB44" s="489"/>
      <c r="AC44" s="489"/>
    </row>
    <row r="45" spans="1:33" s="348" customFormat="1" ht="19.5" customHeight="1" x14ac:dyDescent="0.2">
      <c r="A45" s="397"/>
      <c r="B45" s="382"/>
      <c r="C45" s="383"/>
      <c r="D45" s="384"/>
      <c r="E45" s="398"/>
      <c r="F45" s="398"/>
      <c r="G45" s="399"/>
      <c r="H45" s="400"/>
      <c r="I45" s="388"/>
      <c r="J45" s="389"/>
      <c r="K45" s="390"/>
      <c r="L45" s="391"/>
      <c r="M45" s="392"/>
      <c r="N45" s="374"/>
      <c r="O45" s="375"/>
      <c r="P45" s="375"/>
      <c r="Q45" s="374"/>
      <c r="R45" s="376"/>
      <c r="S45" s="374"/>
      <c r="T45" s="377"/>
      <c r="U45" s="374"/>
      <c r="V45" s="374"/>
      <c r="W45" s="374"/>
      <c r="X45" s="392"/>
      <c r="Y45" s="392"/>
      <c r="Z45" s="393"/>
      <c r="AA45" s="392"/>
      <c r="AB45" s="392"/>
      <c r="AC45" s="401"/>
    </row>
    <row r="46" spans="1:33" s="348" customFormat="1" ht="164.25" customHeight="1" x14ac:dyDescent="0.2">
      <c r="A46" s="349"/>
      <c r="B46" s="279" t="s">
        <v>543</v>
      </c>
      <c r="C46" s="273" t="s">
        <v>452</v>
      </c>
      <c r="D46" s="258" t="s">
        <v>546</v>
      </c>
      <c r="E46" s="281" t="s">
        <v>547</v>
      </c>
      <c r="F46" s="281" t="s">
        <v>548</v>
      </c>
      <c r="G46" s="321">
        <v>45732</v>
      </c>
      <c r="H46" s="276" t="s">
        <v>588</v>
      </c>
      <c r="I46" s="262">
        <v>15</v>
      </c>
      <c r="J46" s="263">
        <f t="shared" ref="J46:J48" si="67">K46/I46</f>
        <v>496.93333333333334</v>
      </c>
      <c r="K46" s="264">
        <v>7454</v>
      </c>
      <c r="L46" s="265">
        <v>0</v>
      </c>
      <c r="M46" s="266">
        <f t="shared" ref="M46:M48" si="68">SUM(K46:L46)</f>
        <v>7454</v>
      </c>
      <c r="N46" s="288">
        <f t="shared" ref="N46:N48" si="69">IF(K46/15&lt;=SMG,0,L46/2)</f>
        <v>0</v>
      </c>
      <c r="O46" s="304">
        <f t="shared" ref="O46:O48" si="70">(K46+N46)/I46*30.4</f>
        <v>15106.773333333333</v>
      </c>
      <c r="P46" s="304">
        <f t="shared" ref="P46:P48" si="71">VLOOKUP(O46,Tarifa,1)</f>
        <v>14644.65</v>
      </c>
      <c r="Q46" s="288">
        <f t="shared" ref="Q46:Q48" si="72">O46-P46</f>
        <v>462.12333333333299</v>
      </c>
      <c r="R46" s="289">
        <f t="shared" ref="R46:R48" si="73">VLOOKUP(O46,Tarifa,3)</f>
        <v>0.1792</v>
      </c>
      <c r="S46" s="288">
        <f t="shared" ref="S46:S48" si="74">Q46*R46</f>
        <v>82.812501333333273</v>
      </c>
      <c r="T46" s="290">
        <f t="shared" ref="T46:T48" si="75">VLOOKUP(O46,Tarifa,2)</f>
        <v>1339.14</v>
      </c>
      <c r="U46" s="288">
        <f t="shared" ref="U46:U48" si="76">S46+T46</f>
        <v>1421.9525013333334</v>
      </c>
      <c r="V46" s="288">
        <f t="shared" ref="V46:V48" si="77">VLOOKUP(O46,Credito,2)</f>
        <v>0</v>
      </c>
      <c r="W46" s="288">
        <f t="shared" ref="W46:W48" si="78">ROUND((U46-V46)/30.4*I46,2)</f>
        <v>701.62</v>
      </c>
      <c r="X46" s="266">
        <f t="shared" ref="X46:X48" si="79">-IF(W46&gt;0,0,0)</f>
        <v>0</v>
      </c>
      <c r="Y46" s="266">
        <f t="shared" ref="Y46:Y48" si="80">IF(K46/15&lt;=SMG,0,IF(W46&lt;0,0,W46))</f>
        <v>701.62</v>
      </c>
      <c r="Z46" s="267">
        <v>0</v>
      </c>
      <c r="AA46" s="266">
        <f t="shared" ref="AA46:AA48" si="81">SUM(Y46:Z46)</f>
        <v>701.62</v>
      </c>
      <c r="AB46" s="266">
        <f t="shared" ref="AB46:AB48" si="82">M46+X46-AA46</f>
        <v>6752.38</v>
      </c>
      <c r="AC46" s="350"/>
    </row>
    <row r="47" spans="1:33" s="348" customFormat="1" ht="164.25" customHeight="1" x14ac:dyDescent="0.2">
      <c r="A47" s="349"/>
      <c r="B47" s="279" t="s">
        <v>544</v>
      </c>
      <c r="C47" s="273" t="s">
        <v>452</v>
      </c>
      <c r="D47" s="258" t="s">
        <v>549</v>
      </c>
      <c r="E47" s="281" t="s">
        <v>550</v>
      </c>
      <c r="F47" s="281" t="s">
        <v>551</v>
      </c>
      <c r="G47" s="321">
        <v>45732</v>
      </c>
      <c r="H47" s="276" t="s">
        <v>588</v>
      </c>
      <c r="I47" s="262">
        <v>15</v>
      </c>
      <c r="J47" s="263">
        <f t="shared" si="67"/>
        <v>496.93333333333334</v>
      </c>
      <c r="K47" s="264">
        <v>7454</v>
      </c>
      <c r="L47" s="265">
        <v>0</v>
      </c>
      <c r="M47" s="266">
        <f t="shared" si="68"/>
        <v>7454</v>
      </c>
      <c r="N47" s="288">
        <f t="shared" si="69"/>
        <v>0</v>
      </c>
      <c r="O47" s="304">
        <f t="shared" si="70"/>
        <v>15106.773333333333</v>
      </c>
      <c r="P47" s="304">
        <f t="shared" si="71"/>
        <v>14644.65</v>
      </c>
      <c r="Q47" s="288">
        <f t="shared" si="72"/>
        <v>462.12333333333299</v>
      </c>
      <c r="R47" s="289">
        <f t="shared" si="73"/>
        <v>0.1792</v>
      </c>
      <c r="S47" s="288">
        <f t="shared" si="74"/>
        <v>82.812501333333273</v>
      </c>
      <c r="T47" s="290">
        <f t="shared" si="75"/>
        <v>1339.14</v>
      </c>
      <c r="U47" s="288">
        <f t="shared" si="76"/>
        <v>1421.9525013333334</v>
      </c>
      <c r="V47" s="288">
        <f t="shared" si="77"/>
        <v>0</v>
      </c>
      <c r="W47" s="288">
        <f t="shared" si="78"/>
        <v>701.62</v>
      </c>
      <c r="X47" s="266">
        <f t="shared" si="79"/>
        <v>0</v>
      </c>
      <c r="Y47" s="266">
        <f t="shared" si="80"/>
        <v>701.62</v>
      </c>
      <c r="Z47" s="267">
        <v>0</v>
      </c>
      <c r="AA47" s="266">
        <f t="shared" si="81"/>
        <v>701.62</v>
      </c>
      <c r="AB47" s="266">
        <f t="shared" si="82"/>
        <v>6752.38</v>
      </c>
      <c r="AC47" s="350"/>
    </row>
    <row r="48" spans="1:33" s="348" customFormat="1" ht="164.25" customHeight="1" x14ac:dyDescent="0.2">
      <c r="A48" s="349"/>
      <c r="B48" s="279" t="s">
        <v>545</v>
      </c>
      <c r="C48" s="273" t="s">
        <v>452</v>
      </c>
      <c r="D48" s="258" t="s">
        <v>552</v>
      </c>
      <c r="E48" s="281" t="s">
        <v>553</v>
      </c>
      <c r="F48" s="281" t="s">
        <v>554</v>
      </c>
      <c r="G48" s="321">
        <v>45732</v>
      </c>
      <c r="H48" s="276" t="s">
        <v>588</v>
      </c>
      <c r="I48" s="262">
        <v>15</v>
      </c>
      <c r="J48" s="263">
        <f t="shared" si="67"/>
        <v>496.93333333333334</v>
      </c>
      <c r="K48" s="264">
        <v>7454</v>
      </c>
      <c r="L48" s="265">
        <v>0</v>
      </c>
      <c r="M48" s="266">
        <f t="shared" si="68"/>
        <v>7454</v>
      </c>
      <c r="N48" s="288">
        <f t="shared" si="69"/>
        <v>0</v>
      </c>
      <c r="O48" s="304">
        <f t="shared" si="70"/>
        <v>15106.773333333333</v>
      </c>
      <c r="P48" s="304">
        <f t="shared" si="71"/>
        <v>14644.65</v>
      </c>
      <c r="Q48" s="288">
        <f t="shared" si="72"/>
        <v>462.12333333333299</v>
      </c>
      <c r="R48" s="289">
        <f t="shared" si="73"/>
        <v>0.1792</v>
      </c>
      <c r="S48" s="288">
        <f t="shared" si="74"/>
        <v>82.812501333333273</v>
      </c>
      <c r="T48" s="290">
        <f t="shared" si="75"/>
        <v>1339.14</v>
      </c>
      <c r="U48" s="288">
        <f t="shared" si="76"/>
        <v>1421.9525013333334</v>
      </c>
      <c r="V48" s="288">
        <f t="shared" si="77"/>
        <v>0</v>
      </c>
      <c r="W48" s="288">
        <f t="shared" si="78"/>
        <v>701.62</v>
      </c>
      <c r="X48" s="266">
        <f t="shared" si="79"/>
        <v>0</v>
      </c>
      <c r="Y48" s="266">
        <f t="shared" si="80"/>
        <v>701.62</v>
      </c>
      <c r="Z48" s="267">
        <v>0</v>
      </c>
      <c r="AA48" s="266">
        <f t="shared" si="81"/>
        <v>701.62</v>
      </c>
      <c r="AB48" s="266">
        <f t="shared" si="82"/>
        <v>6752.38</v>
      </c>
      <c r="AC48" s="350"/>
    </row>
    <row r="49" spans="1:29" s="348" customFormat="1" ht="164.25" customHeight="1" x14ac:dyDescent="0.2">
      <c r="A49" s="349"/>
      <c r="B49" s="279" t="s">
        <v>555</v>
      </c>
      <c r="C49" s="273" t="s">
        <v>452</v>
      </c>
      <c r="D49" s="258" t="s">
        <v>556</v>
      </c>
      <c r="E49" s="281" t="s">
        <v>557</v>
      </c>
      <c r="F49" s="281" t="s">
        <v>558</v>
      </c>
      <c r="G49" s="321">
        <v>45732</v>
      </c>
      <c r="H49" s="276" t="s">
        <v>588</v>
      </c>
      <c r="I49" s="262">
        <v>15</v>
      </c>
      <c r="J49" s="263">
        <f t="shared" ref="J49" si="83">K49/I49</f>
        <v>496.93333333333334</v>
      </c>
      <c r="K49" s="264">
        <v>7454</v>
      </c>
      <c r="L49" s="265">
        <v>0</v>
      </c>
      <c r="M49" s="266">
        <f t="shared" ref="M49:M50" si="84">SUM(K49:L49)</f>
        <v>7454</v>
      </c>
      <c r="N49" s="288">
        <f t="shared" ref="N49:N50" si="85">IF(K49/15&lt;=SMG,0,L49/2)</f>
        <v>0</v>
      </c>
      <c r="O49" s="304">
        <f t="shared" ref="O49:O50" si="86">(K49+N49)/I49*30.4</f>
        <v>15106.773333333333</v>
      </c>
      <c r="P49" s="304">
        <f t="shared" ref="P49:P50" si="87">VLOOKUP(O49,Tarifa,1)</f>
        <v>14644.65</v>
      </c>
      <c r="Q49" s="288">
        <f t="shared" ref="Q49:Q50" si="88">O49-P49</f>
        <v>462.12333333333299</v>
      </c>
      <c r="R49" s="289">
        <f t="shared" ref="R49:R50" si="89">VLOOKUP(O49,Tarifa,3)</f>
        <v>0.1792</v>
      </c>
      <c r="S49" s="288">
        <f t="shared" ref="S49:S50" si="90">Q49*R49</f>
        <v>82.812501333333273</v>
      </c>
      <c r="T49" s="290">
        <f t="shared" ref="T49:T50" si="91">VLOOKUP(O49,Tarifa,2)</f>
        <v>1339.14</v>
      </c>
      <c r="U49" s="288">
        <f t="shared" ref="U49:U50" si="92">S49+T49</f>
        <v>1421.9525013333334</v>
      </c>
      <c r="V49" s="288">
        <f t="shared" ref="V49:V50" si="93">VLOOKUP(O49,Credito,2)</f>
        <v>0</v>
      </c>
      <c r="W49" s="288">
        <f t="shared" ref="W49:W50" si="94">ROUND((U49-V49)/30.4*I49,2)</f>
        <v>701.62</v>
      </c>
      <c r="X49" s="266">
        <f t="shared" ref="X49:X50" si="95">-IF(W49&gt;0,0,0)</f>
        <v>0</v>
      </c>
      <c r="Y49" s="266">
        <f t="shared" ref="Y49:Y50" si="96">IF(K49/15&lt;=SMG,0,IF(W49&lt;0,0,W49))</f>
        <v>701.62</v>
      </c>
      <c r="Z49" s="267">
        <v>0</v>
      </c>
      <c r="AA49" s="266">
        <f t="shared" ref="AA49:AA50" si="97">SUM(Y49:Z49)</f>
        <v>701.62</v>
      </c>
      <c r="AB49" s="266">
        <f t="shared" ref="AB49:AB50" si="98">M49+X49-AA49</f>
        <v>6752.38</v>
      </c>
      <c r="AC49" s="350"/>
    </row>
    <row r="50" spans="1:29" s="348" customFormat="1" ht="164.25" customHeight="1" x14ac:dyDescent="0.2">
      <c r="A50" s="349"/>
      <c r="B50" s="273" t="s">
        <v>104</v>
      </c>
      <c r="C50" s="273" t="s">
        <v>108</v>
      </c>
      <c r="D50" s="254" t="s">
        <v>90</v>
      </c>
      <c r="E50" s="135" t="s">
        <v>105</v>
      </c>
      <c r="F50" s="135" t="s">
        <v>211</v>
      </c>
      <c r="G50" s="157">
        <v>42278</v>
      </c>
      <c r="H50" s="276" t="s">
        <v>588</v>
      </c>
      <c r="I50" s="262">
        <v>15</v>
      </c>
      <c r="J50" s="263">
        <f>K50/I50</f>
        <v>496.93333333333334</v>
      </c>
      <c r="K50" s="264">
        <v>7454</v>
      </c>
      <c r="L50" s="265">
        <v>0</v>
      </c>
      <c r="M50" s="266">
        <f t="shared" si="84"/>
        <v>7454</v>
      </c>
      <c r="N50" s="288">
        <f t="shared" si="85"/>
        <v>0</v>
      </c>
      <c r="O50" s="304">
        <f t="shared" si="86"/>
        <v>15106.773333333333</v>
      </c>
      <c r="P50" s="304">
        <f t="shared" si="87"/>
        <v>14644.65</v>
      </c>
      <c r="Q50" s="288">
        <f t="shared" si="88"/>
        <v>462.12333333333299</v>
      </c>
      <c r="R50" s="289">
        <f t="shared" si="89"/>
        <v>0.1792</v>
      </c>
      <c r="S50" s="288">
        <f t="shared" si="90"/>
        <v>82.812501333333273</v>
      </c>
      <c r="T50" s="290">
        <f t="shared" si="91"/>
        <v>1339.14</v>
      </c>
      <c r="U50" s="288">
        <f t="shared" si="92"/>
        <v>1421.9525013333334</v>
      </c>
      <c r="V50" s="288">
        <f t="shared" si="93"/>
        <v>0</v>
      </c>
      <c r="W50" s="288">
        <f t="shared" si="94"/>
        <v>701.62</v>
      </c>
      <c r="X50" s="266">
        <f t="shared" si="95"/>
        <v>0</v>
      </c>
      <c r="Y50" s="266">
        <f t="shared" si="96"/>
        <v>701.62</v>
      </c>
      <c r="Z50" s="267">
        <v>0</v>
      </c>
      <c r="AA50" s="266">
        <f t="shared" si="97"/>
        <v>701.62</v>
      </c>
      <c r="AB50" s="266">
        <f t="shared" si="98"/>
        <v>6752.38</v>
      </c>
      <c r="AC50" s="350"/>
    </row>
    <row r="51" spans="1:29" s="348" customFormat="1" ht="164.25" customHeight="1" x14ac:dyDescent="0.2">
      <c r="A51" s="349"/>
      <c r="B51" s="273" t="s">
        <v>584</v>
      </c>
      <c r="C51" s="273" t="s">
        <v>108</v>
      </c>
      <c r="D51" s="254" t="s">
        <v>585</v>
      </c>
      <c r="E51" s="135" t="s">
        <v>586</v>
      </c>
      <c r="F51" s="135" t="s">
        <v>587</v>
      </c>
      <c r="G51" s="157">
        <v>45870</v>
      </c>
      <c r="H51" s="276" t="s">
        <v>588</v>
      </c>
      <c r="I51" s="262">
        <v>15</v>
      </c>
      <c r="J51" s="263">
        <f>K51/I51</f>
        <v>496.93333333333334</v>
      </c>
      <c r="K51" s="264">
        <v>7454</v>
      </c>
      <c r="L51" s="265">
        <v>0</v>
      </c>
      <c r="M51" s="266">
        <f t="shared" ref="M51" si="99">SUM(K51:L51)</f>
        <v>7454</v>
      </c>
      <c r="N51" s="288">
        <f t="shared" ref="N51" si="100">IF(K51/15&lt;=SMG,0,L51/2)</f>
        <v>0</v>
      </c>
      <c r="O51" s="304">
        <f t="shared" ref="O51" si="101">(K51+N51)/I51*30.4</f>
        <v>15106.773333333333</v>
      </c>
      <c r="P51" s="304">
        <f t="shared" ref="P51" si="102">VLOOKUP(O51,Tarifa,1)</f>
        <v>14644.65</v>
      </c>
      <c r="Q51" s="288">
        <f t="shared" ref="Q51" si="103">O51-P51</f>
        <v>462.12333333333299</v>
      </c>
      <c r="R51" s="289">
        <f t="shared" ref="R51" si="104">VLOOKUP(O51,Tarifa,3)</f>
        <v>0.1792</v>
      </c>
      <c r="S51" s="288">
        <f t="shared" ref="S51" si="105">Q51*R51</f>
        <v>82.812501333333273</v>
      </c>
      <c r="T51" s="290">
        <f t="shared" ref="T51" si="106">VLOOKUP(O51,Tarifa,2)</f>
        <v>1339.14</v>
      </c>
      <c r="U51" s="288">
        <f t="shared" ref="U51" si="107">S51+T51</f>
        <v>1421.9525013333334</v>
      </c>
      <c r="V51" s="288">
        <f t="shared" ref="V51" si="108">VLOOKUP(O51,Credito,2)</f>
        <v>0</v>
      </c>
      <c r="W51" s="288">
        <f t="shared" ref="W51" si="109">ROUND((U51-V51)/30.4*I51,2)</f>
        <v>701.62</v>
      </c>
      <c r="X51" s="266">
        <f t="shared" ref="X51" si="110">-IF(W51&gt;0,0,0)</f>
        <v>0</v>
      </c>
      <c r="Y51" s="266">
        <f t="shared" ref="Y51" si="111">IF(K51/15&lt;=SMG,0,IF(W51&lt;0,0,W51))</f>
        <v>701.62</v>
      </c>
      <c r="Z51" s="267">
        <v>0</v>
      </c>
      <c r="AA51" s="266">
        <f t="shared" ref="AA51" si="112">SUM(Y51:Z51)</f>
        <v>701.62</v>
      </c>
      <c r="AB51" s="266">
        <f t="shared" ref="AB51" si="113">M51+X51-AA51</f>
        <v>6752.38</v>
      </c>
      <c r="AC51" s="291"/>
    </row>
    <row r="52" spans="1:29" s="108" customFormat="1" ht="18" x14ac:dyDescent="0.2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80"/>
      <c r="L52" s="180"/>
      <c r="M52" s="180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07"/>
    </row>
    <row r="53" spans="1:29" s="108" customFormat="1" ht="39" customHeight="1" x14ac:dyDescent="0.3">
      <c r="A53" s="488" t="s">
        <v>44</v>
      </c>
      <c r="B53" s="488"/>
      <c r="C53" s="488"/>
      <c r="D53" s="488"/>
      <c r="E53" s="488"/>
      <c r="F53" s="488"/>
      <c r="G53" s="488"/>
      <c r="H53" s="488"/>
      <c r="I53" s="488"/>
      <c r="J53" s="488"/>
      <c r="K53" s="225">
        <f>K8+K11+K14+K23+K26+K28+K35</f>
        <v>154576</v>
      </c>
      <c r="L53" s="225">
        <f>L8+L11+L14+L23+L26+L28+L35</f>
        <v>0</v>
      </c>
      <c r="M53" s="225">
        <f>M8+M11+M14+M23+M26+M28+M35</f>
        <v>154576</v>
      </c>
      <c r="N53" s="225" t="e">
        <f>N8+N11+N14+N23+N26+#REF!+N35</f>
        <v>#REF!</v>
      </c>
      <c r="O53" s="225" t="e">
        <f>O8+O11+O14+O23+O26+#REF!+O35</f>
        <v>#REF!</v>
      </c>
      <c r="P53" s="225" t="e">
        <f>P8+P11+P14+P23+P26+#REF!+P35</f>
        <v>#REF!</v>
      </c>
      <c r="Q53" s="225" t="e">
        <f>Q8+Q11+Q14+Q23+Q26+#REF!+Q35</f>
        <v>#REF!</v>
      </c>
      <c r="R53" s="225" t="e">
        <f>R8+R11+R14+R23+R26+#REF!+R35</f>
        <v>#REF!</v>
      </c>
      <c r="S53" s="225" t="e">
        <f>S8+S11+S14+S23+S26+#REF!+S35</f>
        <v>#REF!</v>
      </c>
      <c r="T53" s="225" t="e">
        <f>T8+T11+T14+T23+T26+#REF!+T35</f>
        <v>#REF!</v>
      </c>
      <c r="U53" s="225" t="e">
        <f>U8+U11+U14+U23+U26+#REF!+U35</f>
        <v>#REF!</v>
      </c>
      <c r="V53" s="225" t="e">
        <f>V8+V11+V14+V23+V26+#REF!+V35</f>
        <v>#REF!</v>
      </c>
      <c r="W53" s="225" t="e">
        <f>W8+W11+W14+W23+W26+#REF!+W35</f>
        <v>#REF!</v>
      </c>
      <c r="X53" s="225">
        <f>X8+X11+X14+X23+X26+X28+X35</f>
        <v>0</v>
      </c>
      <c r="Y53" s="225">
        <f>Y8+Y11+Y14+Y23+Y26+Y28+Y35</f>
        <v>13102.810000000001</v>
      </c>
      <c r="Z53" s="225">
        <f>Z8+Z11+Z14+Z23+Z26+Z28+Z35</f>
        <v>0</v>
      </c>
      <c r="AA53" s="225">
        <f>AA8+AA11+AA14+AA23+AA26+AA28+AA35</f>
        <v>13102.810000000001</v>
      </c>
      <c r="AB53" s="225">
        <f>AB8+AB11+AB14+AB23+AB26+AB28+AB35</f>
        <v>141473.19</v>
      </c>
      <c r="AC53" s="107"/>
    </row>
    <row r="54" spans="1:29" s="52" customFormat="1" ht="12" x14ac:dyDescent="0.2"/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2" x14ac:dyDescent="0.2"/>
    <row r="62" spans="1:29" s="52" customFormat="1" ht="12" x14ac:dyDescent="0.2"/>
    <row r="63" spans="1:29" s="52" customFormat="1" ht="17.25" customHeight="1" x14ac:dyDescent="0.2"/>
    <row r="64" spans="1:29" s="52" customFormat="1" ht="12" x14ac:dyDescent="0.2"/>
    <row r="65" spans="4:39" s="52" customFormat="1" ht="12" x14ac:dyDescent="0.2"/>
    <row r="66" spans="4:39" s="52" customFormat="1" ht="12" x14ac:dyDescent="0.2"/>
    <row r="67" spans="4:39" s="52" customFormat="1" ht="13.5" customHeight="1" x14ac:dyDescent="0.2"/>
    <row r="68" spans="4:39" s="52" customFormat="1" ht="12" x14ac:dyDescent="0.2"/>
    <row r="69" spans="4:39" s="52" customFormat="1" ht="12" x14ac:dyDescent="0.2"/>
    <row r="70" spans="4:39" s="52" customFormat="1" ht="12" x14ac:dyDescent="0.2"/>
    <row r="71" spans="4:39" s="52" customFormat="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4:39" s="52" customFormat="1" ht="20.25" x14ac:dyDescent="0.3">
      <c r="D72" s="203" t="s">
        <v>454</v>
      </c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201" t="s">
        <v>629</v>
      </c>
      <c r="Z72" s="108"/>
      <c r="AA72" s="108"/>
      <c r="AB72" s="108"/>
    </row>
    <row r="73" spans="4:39" s="52" customFormat="1" ht="18" x14ac:dyDescent="0.25">
      <c r="D73" s="203" t="s">
        <v>469</v>
      </c>
      <c r="E73" s="203"/>
      <c r="F73" s="203"/>
      <c r="G73" s="203"/>
      <c r="H73" s="203"/>
      <c r="I73" s="203"/>
      <c r="J73" s="203"/>
      <c r="K73" s="203"/>
      <c r="L73" s="203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203" t="s">
        <v>196</v>
      </c>
      <c r="Z73" s="108"/>
      <c r="AA73" s="203"/>
      <c r="AB73" s="203"/>
      <c r="AC73" s="61"/>
      <c r="AD73" s="61"/>
      <c r="AE73" s="61"/>
      <c r="AF73" s="61"/>
      <c r="AG73" s="61"/>
      <c r="AH73" s="61"/>
      <c r="AI73" s="61"/>
      <c r="AL73" s="61"/>
      <c r="AM73" s="61"/>
    </row>
    <row r="74" spans="4:39" s="52" customFormat="1" ht="18" x14ac:dyDescent="0.25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4:39" s="52" customFormat="1" ht="18" x14ac:dyDescent="0.25"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4:39" s="52" customFormat="1" ht="12" x14ac:dyDescent="0.2"/>
  </sheetData>
  <mergeCells count="17">
    <mergeCell ref="B20:AD20"/>
    <mergeCell ref="B31:AC31"/>
    <mergeCell ref="B32:AC32"/>
    <mergeCell ref="B33:AC33"/>
    <mergeCell ref="A53:J53"/>
    <mergeCell ref="B42:AC42"/>
    <mergeCell ref="B43:AC43"/>
    <mergeCell ref="B44:AC44"/>
    <mergeCell ref="B18:AD18"/>
    <mergeCell ref="B19:AD19"/>
    <mergeCell ref="A1:AC1"/>
    <mergeCell ref="A2:AC2"/>
    <mergeCell ref="A3:AC3"/>
    <mergeCell ref="K5:M5"/>
    <mergeCell ref="P5:U5"/>
    <mergeCell ref="Y5:AA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50:G51 D15:G15 D12:G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1" zoomScale="57" zoomScaleNormal="57" workbookViewId="0">
      <selection activeCell="H13" sqref="H13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5.85546875" hidden="1" customWidth="1"/>
    <col min="18" max="19" width="13.140625" hidden="1" customWidth="1"/>
    <col min="20" max="20" width="12.85546875" hidden="1" customWidth="1"/>
    <col min="21" max="21" width="14.8554687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59" t="s">
        <v>76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59"/>
      <c r="AB1" s="459"/>
      <c r="AC1" s="459"/>
    </row>
    <row r="2" spans="1:29" ht="18" x14ac:dyDescent="0.25">
      <c r="A2" s="459" t="s">
        <v>64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  <c r="X2" s="459"/>
      <c r="Y2" s="459"/>
      <c r="Z2" s="459"/>
      <c r="AA2" s="459"/>
      <c r="AB2" s="459"/>
      <c r="AC2" s="459"/>
    </row>
    <row r="3" spans="1:29" ht="19.5" x14ac:dyDescent="0.25">
      <c r="A3" s="449" t="str">
        <f>PRESIDENCIA!A3</f>
        <v>SUELDO  DEL 01 AL 15 DE ENERO DE 2026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74" t="s">
        <v>1</v>
      </c>
      <c r="L6" s="475"/>
      <c r="M6" s="476"/>
      <c r="N6" s="50" t="s">
        <v>25</v>
      </c>
      <c r="O6" s="51"/>
      <c r="P6" s="477" t="s">
        <v>8</v>
      </c>
      <c r="Q6" s="478"/>
      <c r="R6" s="478"/>
      <c r="S6" s="478"/>
      <c r="T6" s="478"/>
      <c r="U6" s="479"/>
      <c r="V6" s="50" t="s">
        <v>29</v>
      </c>
      <c r="W6" s="50" t="s">
        <v>9</v>
      </c>
      <c r="X6" s="49" t="s">
        <v>52</v>
      </c>
      <c r="Y6" s="480" t="s">
        <v>2</v>
      </c>
      <c r="Z6" s="481"/>
      <c r="AA6" s="482"/>
      <c r="AB6" s="49" t="s">
        <v>0</v>
      </c>
      <c r="AC6" s="33"/>
    </row>
    <row r="7" spans="1:29" ht="24" x14ac:dyDescent="0.2">
      <c r="A7" s="26" t="s">
        <v>20</v>
      </c>
      <c r="B7" s="47" t="s">
        <v>93</v>
      </c>
      <c r="C7" s="47" t="s">
        <v>109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249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115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90" t="s">
        <v>103</v>
      </c>
      <c r="C9" s="491"/>
      <c r="D9" s="492"/>
      <c r="E9" s="127" t="s">
        <v>94</v>
      </c>
      <c r="F9" s="127" t="s">
        <v>206</v>
      </c>
      <c r="G9" s="125" t="s">
        <v>255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26"/>
      <c r="X9" s="64"/>
      <c r="Y9" s="64"/>
      <c r="Z9" s="64"/>
      <c r="AA9" s="64"/>
      <c r="AB9" s="64"/>
      <c r="AC9" s="99"/>
    </row>
    <row r="10" spans="1:29" s="324" customFormat="1" ht="216.75" customHeight="1" x14ac:dyDescent="0.2">
      <c r="A10" s="255" t="s">
        <v>81</v>
      </c>
      <c r="B10" s="273" t="s">
        <v>625</v>
      </c>
      <c r="C10" s="273" t="s">
        <v>108</v>
      </c>
      <c r="D10" s="258" t="s">
        <v>626</v>
      </c>
      <c r="E10" s="259" t="s">
        <v>627</v>
      </c>
      <c r="F10" s="259" t="s">
        <v>628</v>
      </c>
      <c r="G10" s="351">
        <v>46024</v>
      </c>
      <c r="H10" s="261" t="s">
        <v>183</v>
      </c>
      <c r="I10" s="262">
        <v>15</v>
      </c>
      <c r="J10" s="263">
        <f>K10/I10</f>
        <v>1372.8</v>
      </c>
      <c r="K10" s="264">
        <v>20592</v>
      </c>
      <c r="L10" s="265">
        <v>0</v>
      </c>
      <c r="M10" s="266">
        <f>SUM(K10:L10)</f>
        <v>20592</v>
      </c>
      <c r="N10" s="288">
        <f>IF(K10/15&lt;=SMG,0,L10/2)</f>
        <v>0</v>
      </c>
      <c r="O10" s="304">
        <f>(K10+N10)/I10*30.4</f>
        <v>41733.119999999995</v>
      </c>
      <c r="P10" s="304">
        <f>VLOOKUP(O10,Tarifa,1)</f>
        <v>35362.839999999997</v>
      </c>
      <c r="Q10" s="304">
        <f>O10-P10</f>
        <v>6370.2799999999988</v>
      </c>
      <c r="R10" s="289">
        <f>VLOOKUP(O10,Tarifa,3)</f>
        <v>0.23519999999999999</v>
      </c>
      <c r="S10" s="288">
        <f>Q10*R10</f>
        <v>1498.2898559999996</v>
      </c>
      <c r="T10" s="290">
        <f>VLOOKUP(O10,Tarifa,2)</f>
        <v>5665.16</v>
      </c>
      <c r="U10" s="357">
        <f>S10+T10</f>
        <v>7163.4498559999993</v>
      </c>
      <c r="V10" s="357">
        <f>VLOOKUP(O10,Credito,2)</f>
        <v>0</v>
      </c>
      <c r="W10" s="357">
        <f>ROUND((U10-V10)/30.4*I10,2)</f>
        <v>3534.6</v>
      </c>
      <c r="X10" s="266">
        <f>-IF(W10&gt;0,0,0)</f>
        <v>0</v>
      </c>
      <c r="Y10" s="266">
        <f>IF(K10/15&lt;=SMG,0,IF(W10&lt;0,0,W10))</f>
        <v>3534.6</v>
      </c>
      <c r="Z10" s="267">
        <v>0</v>
      </c>
      <c r="AA10" s="266">
        <f>SUM(Y10:Z10)</f>
        <v>3534.6</v>
      </c>
      <c r="AB10" s="266">
        <f>M10+X10-AA10</f>
        <v>17057.400000000001</v>
      </c>
      <c r="AC10" s="323"/>
    </row>
    <row r="11" spans="1:29" s="324" customFormat="1" ht="216.75" customHeight="1" x14ac:dyDescent="0.2">
      <c r="A11" s="255"/>
      <c r="B11" s="273" t="s">
        <v>641</v>
      </c>
      <c r="C11" s="273" t="s">
        <v>108</v>
      </c>
      <c r="D11" s="258" t="s">
        <v>642</v>
      </c>
      <c r="E11" s="259" t="s">
        <v>643</v>
      </c>
      <c r="F11" s="259" t="s">
        <v>644</v>
      </c>
      <c r="G11" s="351">
        <v>39462</v>
      </c>
      <c r="H11" s="261" t="s">
        <v>645</v>
      </c>
      <c r="I11" s="262">
        <v>15</v>
      </c>
      <c r="J11" s="263">
        <f>K11/I11</f>
        <v>915.33333333333337</v>
      </c>
      <c r="K11" s="264">
        <v>13730</v>
      </c>
      <c r="L11" s="265">
        <v>0</v>
      </c>
      <c r="M11" s="266">
        <f>K11</f>
        <v>13730</v>
      </c>
      <c r="N11" s="288">
        <f>IF(K11/15&lt;=SMG,0,L11/2)</f>
        <v>0</v>
      </c>
      <c r="O11" s="304">
        <f>(K11+N11)/I11*30.4</f>
        <v>27826.133333333331</v>
      </c>
      <c r="P11" s="304">
        <f>VLOOKUP(O11,Tarifa,1)</f>
        <v>17533.650000000001</v>
      </c>
      <c r="Q11" s="288">
        <f>O11-P11</f>
        <v>10292.48333333333</v>
      </c>
      <c r="R11" s="289">
        <f>VLOOKUP(O11,Tarifa,3)</f>
        <v>0.21360000000000001</v>
      </c>
      <c r="S11" s="288">
        <f>Q11*R11</f>
        <v>2198.4744399999995</v>
      </c>
      <c r="T11" s="290">
        <f>VLOOKUP(O11,Tarifa,2)</f>
        <v>1856.84</v>
      </c>
      <c r="U11" s="288">
        <f>S11+T11</f>
        <v>4055.3144399999992</v>
      </c>
      <c r="V11" s="288">
        <f>VLOOKUP(O11,Credito,2)</f>
        <v>0</v>
      </c>
      <c r="W11" s="288">
        <f>ROUND((U11-V11)/30.4*I11,2)</f>
        <v>2000.98</v>
      </c>
      <c r="X11" s="266">
        <f>-IF(W11&gt;0,0,0)</f>
        <v>0</v>
      </c>
      <c r="Y11" s="266">
        <f>IF(K11/15&lt;=SMG,0,IF(W11&lt;0,0,W11))</f>
        <v>2000.98</v>
      </c>
      <c r="Z11" s="267">
        <v>0</v>
      </c>
      <c r="AA11" s="266">
        <f>SUM(Y11:Z11)</f>
        <v>2000.98</v>
      </c>
      <c r="AB11" s="266">
        <f>M11+X11-AA11</f>
        <v>11729.02</v>
      </c>
      <c r="AC11" s="323"/>
    </row>
    <row r="12" spans="1:29" s="324" customFormat="1" ht="216.75" customHeight="1" x14ac:dyDescent="0.2">
      <c r="A12" s="255" t="s">
        <v>83</v>
      </c>
      <c r="B12" s="256" t="s">
        <v>257</v>
      </c>
      <c r="C12" s="257" t="s">
        <v>108</v>
      </c>
      <c r="D12" s="258" t="s">
        <v>258</v>
      </c>
      <c r="E12" s="259" t="s">
        <v>256</v>
      </c>
      <c r="F12" s="283" t="s">
        <v>259</v>
      </c>
      <c r="G12" s="284">
        <v>44991</v>
      </c>
      <c r="H12" s="276" t="s">
        <v>661</v>
      </c>
      <c r="I12" s="277">
        <v>15</v>
      </c>
      <c r="J12" s="294">
        <v>362.4</v>
      </c>
      <c r="K12" s="264">
        <v>7281</v>
      </c>
      <c r="L12" s="265">
        <v>0</v>
      </c>
      <c r="M12" s="266">
        <f>SUM(K12:L12)</f>
        <v>7281</v>
      </c>
      <c r="N12" s="288">
        <f>IF(K12/15&lt;=SMG,0,L12/2)</f>
        <v>0</v>
      </c>
      <c r="O12" s="304">
        <f>(K12+N12)/I12*30.4</f>
        <v>14756.159999999998</v>
      </c>
      <c r="P12" s="304">
        <f>VLOOKUP(O12,Tarifa,1)</f>
        <v>14644.65</v>
      </c>
      <c r="Q12" s="288">
        <f>O12-P12</f>
        <v>111.5099999999984</v>
      </c>
      <c r="R12" s="289">
        <f>VLOOKUP(O12,Tarifa,3)</f>
        <v>0.1792</v>
      </c>
      <c r="S12" s="288">
        <f>Q12*R12</f>
        <v>19.982591999999713</v>
      </c>
      <c r="T12" s="290">
        <f>VLOOKUP(O12,Tarifa,2)</f>
        <v>1339.14</v>
      </c>
      <c r="U12" s="288">
        <f>S12+T12</f>
        <v>1359.1225919999997</v>
      </c>
      <c r="V12" s="288">
        <f>VLOOKUP(O12,Credito,2)</f>
        <v>0</v>
      </c>
      <c r="W12" s="288">
        <f>ROUND((U12-V12)/30.4*I12,2)</f>
        <v>670.62</v>
      </c>
      <c r="X12" s="266">
        <f>-IF(W12&gt;0,0,0)</f>
        <v>0</v>
      </c>
      <c r="Y12" s="266">
        <f>IF(K12/15&lt;=SMG,0,IF(W12&lt;0,0,W12))</f>
        <v>670.62</v>
      </c>
      <c r="Z12" s="267">
        <v>0</v>
      </c>
      <c r="AA12" s="266">
        <f>SUM(Y12:Z12)</f>
        <v>670.62</v>
      </c>
      <c r="AB12" s="266">
        <f>M12+X12-AA12</f>
        <v>6610.38</v>
      </c>
      <c r="AC12" s="323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45" t="s">
        <v>44</v>
      </c>
      <c r="B14" s="446"/>
      <c r="C14" s="446"/>
      <c r="D14" s="446"/>
      <c r="E14" s="446"/>
      <c r="F14" s="446"/>
      <c r="G14" s="446"/>
      <c r="H14" s="446"/>
      <c r="I14" s="446"/>
      <c r="J14" s="447"/>
      <c r="K14" s="198">
        <f t="shared" ref="K14:AA14" si="0">SUM(K10:K13)</f>
        <v>41603</v>
      </c>
      <c r="L14" s="198">
        <f t="shared" si="0"/>
        <v>0</v>
      </c>
      <c r="M14" s="198">
        <f t="shared" si="0"/>
        <v>41603</v>
      </c>
      <c r="N14" s="199">
        <f t="shared" si="0"/>
        <v>0</v>
      </c>
      <c r="O14" s="199">
        <f t="shared" si="0"/>
        <v>84315.41333333333</v>
      </c>
      <c r="P14" s="199">
        <f t="shared" si="0"/>
        <v>67541.14</v>
      </c>
      <c r="Q14" s="199">
        <f t="shared" si="0"/>
        <v>16774.273333333327</v>
      </c>
      <c r="R14" s="199">
        <f t="shared" si="0"/>
        <v>0.628</v>
      </c>
      <c r="S14" s="199">
        <f t="shared" si="0"/>
        <v>3716.7468879999992</v>
      </c>
      <c r="T14" s="199">
        <f t="shared" si="0"/>
        <v>8861.14</v>
      </c>
      <c r="U14" s="199">
        <f t="shared" si="0"/>
        <v>12577.886887999997</v>
      </c>
      <c r="V14" s="199">
        <f t="shared" si="0"/>
        <v>0</v>
      </c>
      <c r="W14" s="199">
        <f t="shared" si="0"/>
        <v>6206.2</v>
      </c>
      <c r="X14" s="198">
        <f t="shared" si="0"/>
        <v>0</v>
      </c>
      <c r="Y14" s="198">
        <f t="shared" si="0"/>
        <v>6206.2</v>
      </c>
      <c r="Z14" s="198">
        <f t="shared" si="0"/>
        <v>0</v>
      </c>
      <c r="AA14" s="198">
        <f t="shared" si="0"/>
        <v>6206.2</v>
      </c>
      <c r="AB14" s="198">
        <f>SUM(AB10:AB12)</f>
        <v>35396.800000000003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03" t="s">
        <v>454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03" t="s">
        <v>636</v>
      </c>
      <c r="Z24" s="203"/>
      <c r="AA24" s="203"/>
      <c r="AB24" s="203"/>
      <c r="AC24" s="108"/>
    </row>
    <row r="25" spans="4:41" ht="18" x14ac:dyDescent="0.25">
      <c r="D25" s="203" t="s">
        <v>469</v>
      </c>
      <c r="E25" s="203"/>
      <c r="F25" s="203"/>
      <c r="G25" s="203"/>
      <c r="H25" s="203"/>
      <c r="I25" s="203"/>
      <c r="J25" s="203"/>
      <c r="K25" s="203"/>
      <c r="L25" s="203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03" t="s">
        <v>232</v>
      </c>
      <c r="Z25" s="203"/>
      <c r="AA25" s="203"/>
      <c r="AB25" s="203"/>
      <c r="AC25" s="203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0"/>
  <sheetViews>
    <sheetView topLeftCell="B19" zoomScale="70" zoomScaleNormal="70" workbookViewId="0">
      <selection activeCell="AG9" sqref="AG9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8.710937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8.42578125" customWidth="1"/>
    <col min="30" max="30" width="0.85546875" customWidth="1"/>
  </cols>
  <sheetData>
    <row r="1" spans="1:30" ht="18" x14ac:dyDescent="0.25">
      <c r="A1" s="459" t="s">
        <v>76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59"/>
      <c r="AB1" s="459"/>
      <c r="AC1" s="459"/>
    </row>
    <row r="2" spans="1:30" ht="18" x14ac:dyDescent="0.25">
      <c r="A2" s="459" t="s">
        <v>64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  <c r="X2" s="459"/>
      <c r="Y2" s="459"/>
      <c r="Z2" s="459"/>
      <c r="AA2" s="459"/>
      <c r="AB2" s="459"/>
      <c r="AC2" s="459"/>
    </row>
    <row r="3" spans="1:30" ht="18" x14ac:dyDescent="0.25">
      <c r="A3" s="493" t="str">
        <f>PRESIDENCIA!A3</f>
        <v>SUELDO  DEL 01 AL 15 DE ENERO DE 2026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493"/>
      <c r="AA3" s="493"/>
      <c r="AB3" s="493"/>
      <c r="AC3" s="493"/>
      <c r="AD3" s="493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60" t="s">
        <v>1</v>
      </c>
      <c r="L5" s="461"/>
      <c r="M5" s="462"/>
      <c r="N5" s="24" t="s">
        <v>25</v>
      </c>
      <c r="O5" s="25"/>
      <c r="P5" s="463" t="s">
        <v>8</v>
      </c>
      <c r="Q5" s="464"/>
      <c r="R5" s="464"/>
      <c r="S5" s="464"/>
      <c r="T5" s="464"/>
      <c r="U5" s="465"/>
      <c r="V5" s="24" t="s">
        <v>29</v>
      </c>
      <c r="W5" s="24" t="s">
        <v>9</v>
      </c>
      <c r="X5" s="23" t="s">
        <v>52</v>
      </c>
      <c r="Y5" s="466" t="s">
        <v>2</v>
      </c>
      <c r="Z5" s="467"/>
      <c r="AA5" s="468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93</v>
      </c>
      <c r="C6" s="45" t="s">
        <v>109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249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94</v>
      </c>
      <c r="F8" s="37" t="s">
        <v>206</v>
      </c>
      <c r="G8" s="191" t="s">
        <v>255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08" customFormat="1" ht="230.25" customHeight="1" x14ac:dyDescent="0.2">
      <c r="A9" s="255" t="s">
        <v>81</v>
      </c>
      <c r="B9" s="279" t="s">
        <v>439</v>
      </c>
      <c r="C9" s="273" t="s">
        <v>108</v>
      </c>
      <c r="D9" s="258" t="s">
        <v>413</v>
      </c>
      <c r="E9" s="259" t="s">
        <v>440</v>
      </c>
      <c r="F9" s="352" t="s">
        <v>441</v>
      </c>
      <c r="G9" s="353">
        <v>45566</v>
      </c>
      <c r="H9" s="259" t="s">
        <v>73</v>
      </c>
      <c r="I9" s="277">
        <v>15</v>
      </c>
      <c r="J9" s="354">
        <f>K9/I9</f>
        <v>657.23333333333335</v>
      </c>
      <c r="K9" s="264">
        <v>9858.5</v>
      </c>
      <c r="L9" s="264"/>
      <c r="M9" s="266">
        <f t="shared" ref="M9:M22" si="0">SUM(K9:K9)</f>
        <v>9858.5</v>
      </c>
      <c r="N9" s="288">
        <f>IF(K9/15&lt;=SMG,0,L9/2)</f>
        <v>0</v>
      </c>
      <c r="O9" s="304">
        <f>(K9+N9)/I9*30.4</f>
        <v>19979.893333333333</v>
      </c>
      <c r="P9" s="304">
        <f>VLOOKUP(O9,Tarifa,1)</f>
        <v>17533.650000000001</v>
      </c>
      <c r="Q9" s="288">
        <f>O9-P9</f>
        <v>2446.243333333332</v>
      </c>
      <c r="R9" s="289">
        <f>VLOOKUP(O9,Tarifa,3)</f>
        <v>0.21360000000000001</v>
      </c>
      <c r="S9" s="288">
        <f>Q9*R9</f>
        <v>522.51757599999974</v>
      </c>
      <c r="T9" s="290">
        <f>VLOOKUP(O9,Tarifa,2)</f>
        <v>1856.84</v>
      </c>
      <c r="U9" s="288">
        <f>S9+T9</f>
        <v>2379.3575759999994</v>
      </c>
      <c r="V9" s="288">
        <f>VLOOKUP(O9,Credito,2)</f>
        <v>0</v>
      </c>
      <c r="W9" s="288">
        <f>ROUND((U9-V9)/30.4*I9,2)</f>
        <v>1174.03</v>
      </c>
      <c r="X9" s="266">
        <f>-IF(W9&gt;0,0,W9)</f>
        <v>0</v>
      </c>
      <c r="Y9" s="266">
        <f>IF(K9/15&lt;=SMG,0,IF(W9&lt;0,0,W9))</f>
        <v>1174.03</v>
      </c>
      <c r="Z9" s="267">
        <v>0</v>
      </c>
      <c r="AA9" s="266">
        <f t="shared" ref="AA9:AA21" si="1">SUM(Y9:Z9)</f>
        <v>1174.03</v>
      </c>
      <c r="AB9" s="266">
        <f t="shared" ref="AB9:AB22" si="2">M9+X9-AA9</f>
        <v>8684.4699999999993</v>
      </c>
      <c r="AC9" s="355"/>
    </row>
    <row r="10" spans="1:30" s="308" customFormat="1" ht="230.25" customHeight="1" x14ac:dyDescent="0.2">
      <c r="A10" s="255" t="s">
        <v>82</v>
      </c>
      <c r="B10" s="279" t="s">
        <v>437</v>
      </c>
      <c r="C10" s="273" t="s">
        <v>108</v>
      </c>
      <c r="D10" s="258" t="s">
        <v>414</v>
      </c>
      <c r="E10" s="259" t="s">
        <v>419</v>
      </c>
      <c r="F10" s="259" t="s">
        <v>420</v>
      </c>
      <c r="G10" s="353">
        <v>45566</v>
      </c>
      <c r="H10" s="259" t="s">
        <v>73</v>
      </c>
      <c r="I10" s="277">
        <v>15</v>
      </c>
      <c r="J10" s="354">
        <f>K10/I10</f>
        <v>657.23333333333335</v>
      </c>
      <c r="K10" s="264">
        <v>9858.5</v>
      </c>
      <c r="L10" s="264"/>
      <c r="M10" s="266">
        <f t="shared" si="0"/>
        <v>9858.5</v>
      </c>
      <c r="N10" s="288">
        <f>IF(K10/15&lt;=SMG,0,L10/2)</f>
        <v>0</v>
      </c>
      <c r="O10" s="304">
        <f>(K10+N10)/I10*30.4</f>
        <v>19979.893333333333</v>
      </c>
      <c r="P10" s="304">
        <f>VLOOKUP(O10,Tarifa,1)</f>
        <v>17533.650000000001</v>
      </c>
      <c r="Q10" s="288">
        <f>O10-P10</f>
        <v>2446.243333333332</v>
      </c>
      <c r="R10" s="289">
        <f>VLOOKUP(O10,Tarifa,3)</f>
        <v>0.21360000000000001</v>
      </c>
      <c r="S10" s="288">
        <f>Q10*R10</f>
        <v>522.51757599999974</v>
      </c>
      <c r="T10" s="290">
        <f>VLOOKUP(O10,Tarifa,2)</f>
        <v>1856.84</v>
      </c>
      <c r="U10" s="288">
        <f>S10+T10</f>
        <v>2379.3575759999994</v>
      </c>
      <c r="V10" s="288">
        <f>VLOOKUP(O10,Credito,2)</f>
        <v>0</v>
      </c>
      <c r="W10" s="288">
        <f>ROUND((U10-V10)/30.4*I10,2)</f>
        <v>1174.03</v>
      </c>
      <c r="X10" s="266">
        <f t="shared" ref="X10:X22" si="3">-IF(W10&gt;0,0,W10)</f>
        <v>0</v>
      </c>
      <c r="Y10" s="266">
        <f t="shared" ref="Y10:Y22" si="4">IF(K10/15&lt;=SMG,0,IF(W10&lt;0,0,W10))</f>
        <v>1174.03</v>
      </c>
      <c r="Z10" s="267">
        <v>0</v>
      </c>
      <c r="AA10" s="266">
        <f t="shared" si="1"/>
        <v>1174.03</v>
      </c>
      <c r="AB10" s="266">
        <f t="shared" si="2"/>
        <v>8684.4699999999993</v>
      </c>
      <c r="AC10" s="355"/>
    </row>
    <row r="11" spans="1:30" s="308" customFormat="1" ht="230.25" customHeight="1" x14ac:dyDescent="0.2">
      <c r="A11" s="255" t="s">
        <v>83</v>
      </c>
      <c r="B11" s="279" t="s">
        <v>438</v>
      </c>
      <c r="C11" s="273" t="s">
        <v>108</v>
      </c>
      <c r="D11" s="258" t="s">
        <v>435</v>
      </c>
      <c r="E11" s="259" t="s">
        <v>450</v>
      </c>
      <c r="F11" s="259" t="s">
        <v>444</v>
      </c>
      <c r="G11" s="353">
        <v>45566</v>
      </c>
      <c r="H11" s="259" t="s">
        <v>73</v>
      </c>
      <c r="I11" s="277">
        <v>15</v>
      </c>
      <c r="J11" s="354">
        <f>K11/I11</f>
        <v>657.23333333333335</v>
      </c>
      <c r="K11" s="264">
        <v>9858.5</v>
      </c>
      <c r="L11" s="264"/>
      <c r="M11" s="266">
        <f t="shared" si="0"/>
        <v>9858.5</v>
      </c>
      <c r="N11" s="288">
        <f>IF(K11/15&lt;=SMG,0,L11/2)</f>
        <v>0</v>
      </c>
      <c r="O11" s="304">
        <f>(K11+N11)/I11*30.4</f>
        <v>19979.893333333333</v>
      </c>
      <c r="P11" s="304">
        <f>VLOOKUP(O11,Tarifa,1)</f>
        <v>17533.650000000001</v>
      </c>
      <c r="Q11" s="288">
        <f>O11-P11</f>
        <v>2446.243333333332</v>
      </c>
      <c r="R11" s="289">
        <f>VLOOKUP(O11,Tarifa,3)</f>
        <v>0.21360000000000001</v>
      </c>
      <c r="S11" s="288">
        <f>Q11*R11</f>
        <v>522.51757599999974</v>
      </c>
      <c r="T11" s="290">
        <f>VLOOKUP(O11,Tarifa,2)</f>
        <v>1856.84</v>
      </c>
      <c r="U11" s="288">
        <f>S11+T11</f>
        <v>2379.3575759999994</v>
      </c>
      <c r="V11" s="288">
        <f>VLOOKUP(O11,Credito,2)</f>
        <v>0</v>
      </c>
      <c r="W11" s="288">
        <f>ROUND((U11-V11)/30.4*I11,2)</f>
        <v>1174.03</v>
      </c>
      <c r="X11" s="266">
        <f t="shared" si="3"/>
        <v>0</v>
      </c>
      <c r="Y11" s="266">
        <f t="shared" si="4"/>
        <v>1174.03</v>
      </c>
      <c r="Z11" s="267">
        <v>0</v>
      </c>
      <c r="AA11" s="266">
        <f t="shared" si="1"/>
        <v>1174.03</v>
      </c>
      <c r="AB11" s="266">
        <f t="shared" si="2"/>
        <v>8684.4699999999993</v>
      </c>
      <c r="AC11" s="356"/>
    </row>
    <row r="12" spans="1:30" s="308" customFormat="1" ht="230.25" customHeight="1" x14ac:dyDescent="0.2">
      <c r="A12" s="255" t="s">
        <v>84</v>
      </c>
      <c r="B12" s="279" t="s">
        <v>436</v>
      </c>
      <c r="C12" s="273" t="s">
        <v>108</v>
      </c>
      <c r="D12" s="258" t="s">
        <v>415</v>
      </c>
      <c r="E12" s="259" t="s">
        <v>417</v>
      </c>
      <c r="F12" s="259" t="s">
        <v>418</v>
      </c>
      <c r="G12" s="353">
        <v>45566</v>
      </c>
      <c r="H12" s="259" t="s">
        <v>73</v>
      </c>
      <c r="I12" s="277">
        <v>15</v>
      </c>
      <c r="J12" s="354">
        <f>K12/I12</f>
        <v>657.23333333333335</v>
      </c>
      <c r="K12" s="264">
        <v>9858.5</v>
      </c>
      <c r="L12" s="264"/>
      <c r="M12" s="266">
        <f t="shared" ref="M12" si="5">SUM(K12:K12)</f>
        <v>9858.5</v>
      </c>
      <c r="N12" s="288">
        <f>IF(K12/15&lt;=SMG,0,L12/2)</f>
        <v>0</v>
      </c>
      <c r="O12" s="304">
        <f>(K12+N12)/I12*30.4</f>
        <v>19979.893333333333</v>
      </c>
      <c r="P12" s="304">
        <f>VLOOKUP(O12,Tarifa,1)</f>
        <v>17533.650000000001</v>
      </c>
      <c r="Q12" s="288">
        <f>O12-P12</f>
        <v>2446.243333333332</v>
      </c>
      <c r="R12" s="289">
        <f>VLOOKUP(O12,Tarifa,3)</f>
        <v>0.21360000000000001</v>
      </c>
      <c r="S12" s="288">
        <f>Q12*R12</f>
        <v>522.51757599999974</v>
      </c>
      <c r="T12" s="290">
        <f>VLOOKUP(O12,Tarifa,2)</f>
        <v>1856.84</v>
      </c>
      <c r="U12" s="288">
        <f>S12+T12</f>
        <v>2379.3575759999994</v>
      </c>
      <c r="V12" s="288">
        <f>VLOOKUP(O12,Credito,2)</f>
        <v>0</v>
      </c>
      <c r="W12" s="288">
        <f>ROUND((U12-V12)/30.4*I12,2)</f>
        <v>1174.03</v>
      </c>
      <c r="X12" s="266">
        <f t="shared" si="3"/>
        <v>0</v>
      </c>
      <c r="Y12" s="266">
        <f t="shared" si="4"/>
        <v>1174.03</v>
      </c>
      <c r="Z12" s="267">
        <v>0</v>
      </c>
      <c r="AA12" s="266">
        <f t="shared" si="1"/>
        <v>1174.03</v>
      </c>
      <c r="AB12" s="266">
        <f t="shared" si="2"/>
        <v>8684.4699999999993</v>
      </c>
      <c r="AC12" s="355"/>
    </row>
    <row r="13" spans="1:30" s="308" customFormat="1" ht="230.25" customHeight="1" x14ac:dyDescent="0.2">
      <c r="A13" s="255" t="s">
        <v>85</v>
      </c>
      <c r="B13" s="279" t="s">
        <v>442</v>
      </c>
      <c r="C13" s="273" t="s">
        <v>108</v>
      </c>
      <c r="D13" s="280" t="s">
        <v>416</v>
      </c>
      <c r="E13" s="281" t="s">
        <v>346</v>
      </c>
      <c r="F13" s="283" t="s">
        <v>347</v>
      </c>
      <c r="G13" s="353">
        <v>45566</v>
      </c>
      <c r="H13" s="281" t="s">
        <v>73</v>
      </c>
      <c r="I13" s="277">
        <v>15</v>
      </c>
      <c r="J13" s="354">
        <f>K13/I13</f>
        <v>657.23333333333335</v>
      </c>
      <c r="K13" s="264">
        <v>9858.5</v>
      </c>
      <c r="L13" s="264"/>
      <c r="M13" s="266">
        <f t="shared" ref="M13" si="6">SUM(K13:K13)</f>
        <v>9858.5</v>
      </c>
      <c r="N13" s="288">
        <f>IF(K13/15&lt;=SMG,0,L13/2)</f>
        <v>0</v>
      </c>
      <c r="O13" s="304">
        <f>(K13+N13)/I13*30.4</f>
        <v>19979.893333333333</v>
      </c>
      <c r="P13" s="304">
        <f>VLOOKUP(O13,Tarifa,1)</f>
        <v>17533.650000000001</v>
      </c>
      <c r="Q13" s="288">
        <f>O13-P13</f>
        <v>2446.243333333332</v>
      </c>
      <c r="R13" s="289">
        <f>VLOOKUP(O13,Tarifa,3)</f>
        <v>0.21360000000000001</v>
      </c>
      <c r="S13" s="288">
        <f>Q13*R13</f>
        <v>522.51757599999974</v>
      </c>
      <c r="T13" s="290">
        <f>VLOOKUP(O13,Tarifa,2)</f>
        <v>1856.84</v>
      </c>
      <c r="U13" s="288">
        <f>S13+T13</f>
        <v>2379.3575759999994</v>
      </c>
      <c r="V13" s="288">
        <f>VLOOKUP(O13,Credito,2)</f>
        <v>0</v>
      </c>
      <c r="W13" s="288">
        <f>ROUND((U13-V13)/30.4*I13,2)</f>
        <v>1174.03</v>
      </c>
      <c r="X13" s="266">
        <f t="shared" ref="X13" si="7">-IF(W13&gt;0,0,W13)</f>
        <v>0</v>
      </c>
      <c r="Y13" s="266">
        <f t="shared" si="4"/>
        <v>1174.03</v>
      </c>
      <c r="Z13" s="267">
        <v>0</v>
      </c>
      <c r="AA13" s="266">
        <f t="shared" ref="AA13" si="8">SUM(Y13:Z13)</f>
        <v>1174.03</v>
      </c>
      <c r="AB13" s="266">
        <f t="shared" ref="AB13" si="9">M13+X13-AA13</f>
        <v>8684.4699999999993</v>
      </c>
      <c r="AC13" s="355"/>
    </row>
    <row r="14" spans="1:30" ht="14.25" customHeight="1" x14ac:dyDescent="0.3">
      <c r="A14" s="143"/>
      <c r="B14" s="234"/>
      <c r="C14" s="204"/>
      <c r="D14" s="205"/>
      <c r="E14" s="206"/>
      <c r="F14" s="232"/>
      <c r="G14" s="244"/>
      <c r="H14" s="206"/>
      <c r="I14" s="235"/>
      <c r="J14" s="245"/>
      <c r="K14" s="210"/>
      <c r="L14" s="210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30" ht="23.25" customHeight="1" x14ac:dyDescent="0.25">
      <c r="A15" s="143"/>
      <c r="B15" s="459" t="s">
        <v>76</v>
      </c>
      <c r="C15" s="459"/>
      <c r="D15" s="459"/>
      <c r="E15" s="459"/>
      <c r="F15" s="459"/>
      <c r="G15" s="459"/>
      <c r="H15" s="459"/>
      <c r="I15" s="459"/>
      <c r="J15" s="459"/>
      <c r="K15" s="459"/>
      <c r="L15" s="459"/>
      <c r="M15" s="459"/>
      <c r="N15" s="459"/>
      <c r="O15" s="459"/>
      <c r="P15" s="459"/>
      <c r="Q15" s="459"/>
      <c r="R15" s="459"/>
      <c r="S15" s="459"/>
      <c r="T15" s="459"/>
      <c r="U15" s="459"/>
      <c r="V15" s="459"/>
      <c r="W15" s="459"/>
      <c r="X15" s="459"/>
      <c r="Y15" s="459"/>
      <c r="Z15" s="459"/>
      <c r="AA15" s="459"/>
      <c r="AB15" s="459"/>
      <c r="AC15" s="459"/>
      <c r="AD15" s="459"/>
    </row>
    <row r="16" spans="1:30" ht="23.25" customHeight="1" x14ac:dyDescent="0.25">
      <c r="A16" s="143"/>
      <c r="B16" s="459" t="s">
        <v>64</v>
      </c>
      <c r="C16" s="459"/>
      <c r="D16" s="459"/>
      <c r="E16" s="459"/>
      <c r="F16" s="459"/>
      <c r="G16" s="459"/>
      <c r="H16" s="459"/>
      <c r="I16" s="459"/>
      <c r="J16" s="459"/>
      <c r="K16" s="459"/>
      <c r="L16" s="459"/>
      <c r="M16" s="459"/>
      <c r="N16" s="459"/>
      <c r="O16" s="459"/>
      <c r="P16" s="459"/>
      <c r="Q16" s="459"/>
      <c r="R16" s="459"/>
      <c r="S16" s="459"/>
      <c r="T16" s="459"/>
      <c r="U16" s="459"/>
      <c r="V16" s="459"/>
      <c r="W16" s="459"/>
      <c r="X16" s="459"/>
      <c r="Y16" s="459"/>
      <c r="Z16" s="459"/>
      <c r="AA16" s="459"/>
      <c r="AB16" s="459"/>
      <c r="AC16" s="459"/>
      <c r="AD16" s="459"/>
    </row>
    <row r="17" spans="1:31" ht="23.25" customHeight="1" x14ac:dyDescent="0.25">
      <c r="A17" s="143"/>
      <c r="B17" s="449" t="str">
        <f>PRESIDENCIA!A3</f>
        <v>SUELDO  DEL 01 AL 15 DE ENERO DE 2026</v>
      </c>
      <c r="C17" s="449"/>
      <c r="D17" s="449"/>
      <c r="E17" s="449"/>
      <c r="F17" s="449"/>
      <c r="G17" s="449"/>
      <c r="H17" s="449"/>
      <c r="I17" s="449"/>
      <c r="J17" s="449"/>
      <c r="K17" s="449"/>
      <c r="L17" s="449"/>
      <c r="M17" s="449"/>
      <c r="N17" s="449"/>
      <c r="O17" s="449"/>
      <c r="P17" s="449"/>
      <c r="Q17" s="449"/>
      <c r="R17" s="449"/>
      <c r="S17" s="449"/>
      <c r="T17" s="449"/>
      <c r="U17" s="449"/>
      <c r="V17" s="449"/>
      <c r="W17" s="449"/>
      <c r="X17" s="449"/>
      <c r="Y17" s="449"/>
      <c r="Z17" s="449"/>
      <c r="AA17" s="449"/>
      <c r="AB17" s="449"/>
      <c r="AC17" s="449"/>
      <c r="AD17" s="449"/>
      <c r="AE17" s="449"/>
    </row>
    <row r="18" spans="1:31" ht="28.5" customHeight="1" x14ac:dyDescent="0.3">
      <c r="A18" s="143"/>
      <c r="B18" s="234"/>
      <c r="C18" s="204"/>
      <c r="D18" s="205"/>
      <c r="E18" s="206"/>
      <c r="F18" s="232"/>
      <c r="G18" s="244"/>
      <c r="H18" s="206"/>
      <c r="I18" s="235"/>
      <c r="J18" s="245"/>
      <c r="K18" s="210"/>
      <c r="L18" s="210"/>
      <c r="M18" s="212"/>
      <c r="N18" s="213"/>
      <c r="O18" s="213"/>
      <c r="P18" s="213"/>
      <c r="Q18" s="213"/>
      <c r="R18" s="214"/>
      <c r="S18" s="213"/>
      <c r="T18" s="215"/>
      <c r="U18" s="213"/>
      <c r="V18" s="213"/>
      <c r="W18" s="213"/>
      <c r="X18" s="212"/>
      <c r="Y18" s="212"/>
      <c r="Z18" s="216"/>
      <c r="AA18" s="212"/>
      <c r="AB18" s="212"/>
    </row>
    <row r="19" spans="1:31" s="308" customFormat="1" ht="216.75" customHeight="1" x14ac:dyDescent="0.2">
      <c r="A19" s="255" t="s">
        <v>86</v>
      </c>
      <c r="B19" s="279" t="s">
        <v>425</v>
      </c>
      <c r="C19" s="273" t="s">
        <v>108</v>
      </c>
      <c r="D19" s="258" t="s">
        <v>426</v>
      </c>
      <c r="E19" s="259" t="s">
        <v>433</v>
      </c>
      <c r="F19" s="259" t="s">
        <v>434</v>
      </c>
      <c r="G19" s="353">
        <v>45566</v>
      </c>
      <c r="H19" s="259" t="s">
        <v>73</v>
      </c>
      <c r="I19" s="277">
        <v>15</v>
      </c>
      <c r="J19" s="354">
        <f>K19/I19</f>
        <v>657.23333333333335</v>
      </c>
      <c r="K19" s="264">
        <v>9858.5</v>
      </c>
      <c r="L19" s="264"/>
      <c r="M19" s="266">
        <f t="shared" si="0"/>
        <v>9858.5</v>
      </c>
      <c r="N19" s="288">
        <f>IF(K19/15&lt;=SMG,0,L19/2)</f>
        <v>0</v>
      </c>
      <c r="O19" s="304">
        <f>(K19+N19)/I19*30.4</f>
        <v>19979.893333333333</v>
      </c>
      <c r="P19" s="304">
        <f>VLOOKUP(O19,Tarifa,1)</f>
        <v>17533.650000000001</v>
      </c>
      <c r="Q19" s="288">
        <f>O19-P19</f>
        <v>2446.243333333332</v>
      </c>
      <c r="R19" s="289">
        <f>VLOOKUP(O19,Tarifa,3)</f>
        <v>0.21360000000000001</v>
      </c>
      <c r="S19" s="288">
        <f>Q19*R19</f>
        <v>522.51757599999974</v>
      </c>
      <c r="T19" s="290">
        <f>VLOOKUP(O19,Tarifa,2)</f>
        <v>1856.84</v>
      </c>
      <c r="U19" s="288">
        <f>S19+T19</f>
        <v>2379.3575759999994</v>
      </c>
      <c r="V19" s="288">
        <f>VLOOKUP(O19,Credito,2)</f>
        <v>0</v>
      </c>
      <c r="W19" s="288">
        <f>ROUND((U19-V19)/30.4*I19,2)</f>
        <v>1174.03</v>
      </c>
      <c r="X19" s="266">
        <f t="shared" si="3"/>
        <v>0</v>
      </c>
      <c r="Y19" s="266">
        <f t="shared" si="4"/>
        <v>1174.03</v>
      </c>
      <c r="Z19" s="267">
        <v>0</v>
      </c>
      <c r="AA19" s="266">
        <f t="shared" si="1"/>
        <v>1174.03</v>
      </c>
      <c r="AB19" s="266">
        <f t="shared" si="2"/>
        <v>8684.4699999999993</v>
      </c>
      <c r="AC19" s="355"/>
    </row>
    <row r="20" spans="1:31" s="308" customFormat="1" ht="216.75" customHeight="1" x14ac:dyDescent="0.2">
      <c r="A20" s="255" t="s">
        <v>87</v>
      </c>
      <c r="B20" s="279" t="s">
        <v>422</v>
      </c>
      <c r="C20" s="273" t="s">
        <v>108</v>
      </c>
      <c r="D20" s="258" t="s">
        <v>421</v>
      </c>
      <c r="E20" s="259" t="s">
        <v>423</v>
      </c>
      <c r="F20" s="259" t="s">
        <v>424</v>
      </c>
      <c r="G20" s="353">
        <v>45566</v>
      </c>
      <c r="H20" s="259" t="s">
        <v>73</v>
      </c>
      <c r="I20" s="277">
        <v>15</v>
      </c>
      <c r="J20" s="354">
        <f>K20/I20</f>
        <v>657.23333333333335</v>
      </c>
      <c r="K20" s="264">
        <v>9858.5</v>
      </c>
      <c r="L20" s="264"/>
      <c r="M20" s="266">
        <f t="shared" si="0"/>
        <v>9858.5</v>
      </c>
      <c r="N20" s="288">
        <f>IF(K20/15&lt;=SMG,0,L20/2)</f>
        <v>0</v>
      </c>
      <c r="O20" s="304">
        <f>(K20+N20)/I20*30.4</f>
        <v>19979.893333333333</v>
      </c>
      <c r="P20" s="304">
        <f>VLOOKUP(O20,Tarifa,1)</f>
        <v>17533.650000000001</v>
      </c>
      <c r="Q20" s="288">
        <f>O20-P20</f>
        <v>2446.243333333332</v>
      </c>
      <c r="R20" s="289">
        <f>VLOOKUP(O20,Tarifa,3)</f>
        <v>0.21360000000000001</v>
      </c>
      <c r="S20" s="288">
        <f>Q20*R20</f>
        <v>522.51757599999974</v>
      </c>
      <c r="T20" s="290">
        <f>VLOOKUP(O20,Tarifa,2)</f>
        <v>1856.84</v>
      </c>
      <c r="U20" s="288">
        <f>S20+T20</f>
        <v>2379.3575759999994</v>
      </c>
      <c r="V20" s="288">
        <f>VLOOKUP(O20,Credito,2)</f>
        <v>0</v>
      </c>
      <c r="W20" s="288">
        <f>ROUND((U20-V20)/30.4*I20,2)</f>
        <v>1174.03</v>
      </c>
      <c r="X20" s="266">
        <f t="shared" si="3"/>
        <v>0</v>
      </c>
      <c r="Y20" s="266">
        <f t="shared" si="4"/>
        <v>1174.03</v>
      </c>
      <c r="Z20" s="267">
        <v>0</v>
      </c>
      <c r="AA20" s="266">
        <f t="shared" si="1"/>
        <v>1174.03</v>
      </c>
      <c r="AB20" s="266">
        <f t="shared" si="2"/>
        <v>8684.4699999999993</v>
      </c>
      <c r="AC20" s="355"/>
    </row>
    <row r="21" spans="1:31" s="308" customFormat="1" ht="216.75" customHeight="1" x14ac:dyDescent="0.2">
      <c r="A21" s="255" t="s">
        <v>88</v>
      </c>
      <c r="B21" s="279" t="s">
        <v>445</v>
      </c>
      <c r="C21" s="273" t="s">
        <v>108</v>
      </c>
      <c r="D21" s="258" t="s">
        <v>431</v>
      </c>
      <c r="E21" s="259" t="s">
        <v>478</v>
      </c>
      <c r="F21" s="259" t="s">
        <v>447</v>
      </c>
      <c r="G21" s="353">
        <v>45566</v>
      </c>
      <c r="H21" s="259" t="s">
        <v>73</v>
      </c>
      <c r="I21" s="277">
        <v>15</v>
      </c>
      <c r="J21" s="354">
        <f>K21/I21</f>
        <v>657.23333333333335</v>
      </c>
      <c r="K21" s="264">
        <v>9858.5</v>
      </c>
      <c r="L21" s="264"/>
      <c r="M21" s="266">
        <f t="shared" si="0"/>
        <v>9858.5</v>
      </c>
      <c r="N21" s="288">
        <f>IF(K21/15&lt;=SMG,0,L21/2)</f>
        <v>0</v>
      </c>
      <c r="O21" s="304">
        <f>(K21+N21)/I21*30.4</f>
        <v>19979.893333333333</v>
      </c>
      <c r="P21" s="304">
        <f>VLOOKUP(O21,Tarifa,1)</f>
        <v>17533.650000000001</v>
      </c>
      <c r="Q21" s="288">
        <f>O21-P21</f>
        <v>2446.243333333332</v>
      </c>
      <c r="R21" s="289">
        <f>VLOOKUP(O21,Tarifa,3)</f>
        <v>0.21360000000000001</v>
      </c>
      <c r="S21" s="288">
        <f>Q21*R21</f>
        <v>522.51757599999974</v>
      </c>
      <c r="T21" s="290">
        <f>VLOOKUP(O21,Tarifa,2)</f>
        <v>1856.84</v>
      </c>
      <c r="U21" s="288">
        <f>S21+T21</f>
        <v>2379.3575759999994</v>
      </c>
      <c r="V21" s="288">
        <f>VLOOKUP(O21,Credito,2)</f>
        <v>0</v>
      </c>
      <c r="W21" s="288">
        <f>ROUND((U21-V21)/30.4*I21,2)</f>
        <v>1174.03</v>
      </c>
      <c r="X21" s="266">
        <f t="shared" si="3"/>
        <v>0</v>
      </c>
      <c r="Y21" s="266">
        <f t="shared" si="4"/>
        <v>1174.03</v>
      </c>
      <c r="Z21" s="267">
        <v>0</v>
      </c>
      <c r="AA21" s="266">
        <f t="shared" si="1"/>
        <v>1174.03</v>
      </c>
      <c r="AB21" s="266">
        <f t="shared" si="2"/>
        <v>8684.4699999999993</v>
      </c>
      <c r="AC21" s="355"/>
    </row>
    <row r="22" spans="1:31" s="308" customFormat="1" ht="216.75" customHeight="1" x14ac:dyDescent="0.2">
      <c r="A22" s="255" t="s">
        <v>89</v>
      </c>
      <c r="B22" s="279" t="s">
        <v>446</v>
      </c>
      <c r="C22" s="273" t="s">
        <v>108</v>
      </c>
      <c r="D22" s="258" t="s">
        <v>432</v>
      </c>
      <c r="E22" s="259" t="s">
        <v>448</v>
      </c>
      <c r="F22" s="259" t="s">
        <v>449</v>
      </c>
      <c r="G22" s="353">
        <v>45566</v>
      </c>
      <c r="H22" s="259" t="s">
        <v>73</v>
      </c>
      <c r="I22" s="277">
        <v>15</v>
      </c>
      <c r="J22" s="354">
        <f>K22/I22</f>
        <v>657.23333333333335</v>
      </c>
      <c r="K22" s="264">
        <v>9858.5</v>
      </c>
      <c r="L22" s="264"/>
      <c r="M22" s="266">
        <f t="shared" si="0"/>
        <v>9858.5</v>
      </c>
      <c r="N22" s="288">
        <f>IF(K22/15&lt;=SMG,0,L22/2)</f>
        <v>0</v>
      </c>
      <c r="O22" s="304">
        <f>(K22+N22)/I22*30.4</f>
        <v>19979.893333333333</v>
      </c>
      <c r="P22" s="304">
        <f>VLOOKUP(O22,Tarifa,1)</f>
        <v>17533.650000000001</v>
      </c>
      <c r="Q22" s="288">
        <f>O22-P22</f>
        <v>2446.243333333332</v>
      </c>
      <c r="R22" s="289">
        <f>VLOOKUP(O22,Tarifa,3)</f>
        <v>0.21360000000000001</v>
      </c>
      <c r="S22" s="288">
        <f>Q22*R22</f>
        <v>522.51757599999974</v>
      </c>
      <c r="T22" s="290">
        <f>VLOOKUP(O22,Tarifa,2)</f>
        <v>1856.84</v>
      </c>
      <c r="U22" s="288">
        <f>S22+T22</f>
        <v>2379.3575759999994</v>
      </c>
      <c r="V22" s="288">
        <f>VLOOKUP(O22,Credito,2)</f>
        <v>0</v>
      </c>
      <c r="W22" s="288">
        <f>ROUND((U22-V22)/30.4*I22,2)</f>
        <v>1174.03</v>
      </c>
      <c r="X22" s="266">
        <f t="shared" si="3"/>
        <v>0</v>
      </c>
      <c r="Y22" s="266">
        <f t="shared" si="4"/>
        <v>1174.03</v>
      </c>
      <c r="Z22" s="267">
        <v>0</v>
      </c>
      <c r="AA22" s="266">
        <f>SUM(Y22:Z22)</f>
        <v>1174.03</v>
      </c>
      <c r="AB22" s="266">
        <f t="shared" si="2"/>
        <v>8684.4699999999993</v>
      </c>
      <c r="AC22" s="355"/>
    </row>
    <row r="23" spans="1:31" ht="21.75" customHeight="1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44"/>
      <c r="L23" s="144"/>
      <c r="M23" s="144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1" ht="40.5" customHeight="1" thickBot="1" x14ac:dyDescent="0.35">
      <c r="A24" s="445" t="s">
        <v>44</v>
      </c>
      <c r="B24" s="446"/>
      <c r="C24" s="446"/>
      <c r="D24" s="446"/>
      <c r="E24" s="446"/>
      <c r="F24" s="446"/>
      <c r="G24" s="446"/>
      <c r="H24" s="446"/>
      <c r="I24" s="446"/>
      <c r="J24" s="447"/>
      <c r="K24" s="198">
        <f>SUM(K9:K23)</f>
        <v>88726.5</v>
      </c>
      <c r="L24" s="198"/>
      <c r="M24" s="198">
        <f>SUM(M9:M23)</f>
        <v>88726.5</v>
      </c>
      <c r="N24" s="199">
        <f t="shared" ref="N24:W24" si="10">SUM(N9:N23)</f>
        <v>0</v>
      </c>
      <c r="O24" s="199">
        <f t="shared" si="10"/>
        <v>179819.04000000004</v>
      </c>
      <c r="P24" s="199">
        <f t="shared" si="10"/>
        <v>157802.84999999998</v>
      </c>
      <c r="Q24" s="199">
        <f t="shared" si="10"/>
        <v>22016.189999999988</v>
      </c>
      <c r="R24" s="199">
        <f t="shared" si="10"/>
        <v>1.9224000000000001</v>
      </c>
      <c r="S24" s="199">
        <f t="shared" si="10"/>
        <v>4702.6581839999981</v>
      </c>
      <c r="T24" s="199">
        <f t="shared" si="10"/>
        <v>16711.559999999998</v>
      </c>
      <c r="U24" s="199">
        <f t="shared" si="10"/>
        <v>21414.21818399999</v>
      </c>
      <c r="V24" s="199">
        <f t="shared" si="10"/>
        <v>0</v>
      </c>
      <c r="W24" s="199">
        <f t="shared" si="10"/>
        <v>10566.27</v>
      </c>
      <c r="X24" s="198">
        <f>SUM(X9:X23)</f>
        <v>0</v>
      </c>
      <c r="Y24" s="198">
        <f>SUM(Y9:Y23)</f>
        <v>10566.27</v>
      </c>
      <c r="Z24" s="198">
        <f>SUM(Z9:Z23)</f>
        <v>0</v>
      </c>
      <c r="AA24" s="198">
        <f>SUM(AA9:AA23)</f>
        <v>10566.27</v>
      </c>
      <c r="AB24" s="198">
        <f>SUM(AB9:AB23)</f>
        <v>78160.23</v>
      </c>
    </row>
    <row r="25" spans="1:31" ht="13.5" thickTop="1" x14ac:dyDescent="0.2"/>
    <row r="39" spans="4:42" ht="18" x14ac:dyDescent="0.25">
      <c r="D39" s="94" t="s">
        <v>454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203" t="s">
        <v>629</v>
      </c>
      <c r="Z39" s="203" t="s">
        <v>630</v>
      </c>
      <c r="AA39" s="91"/>
      <c r="AB39" s="91"/>
    </row>
    <row r="40" spans="4:42" ht="15" x14ac:dyDescent="0.25">
      <c r="D40" s="94" t="s">
        <v>469</v>
      </c>
      <c r="E40" s="94"/>
      <c r="F40" s="94"/>
      <c r="G40" s="94"/>
      <c r="H40" s="94"/>
      <c r="I40" s="94"/>
      <c r="J40" s="94"/>
      <c r="K40" s="94"/>
      <c r="L40" s="94"/>
      <c r="M40" s="94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201</v>
      </c>
      <c r="AA40" s="91"/>
      <c r="AB40" s="94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O40" s="42"/>
      <c r="AP40" s="42"/>
    </row>
  </sheetData>
  <sortState xmlns:xlrd2="http://schemas.microsoft.com/office/spreadsheetml/2017/richdata2" ref="D9:F22">
    <sortCondition ref="D9"/>
  </sortState>
  <mergeCells count="10">
    <mergeCell ref="A24:J24"/>
    <mergeCell ref="A1:AC1"/>
    <mergeCell ref="A2:AC2"/>
    <mergeCell ref="K5:M5"/>
    <mergeCell ref="P5:U5"/>
    <mergeCell ref="Y5:AA5"/>
    <mergeCell ref="A3:AD3"/>
    <mergeCell ref="B15:AD15"/>
    <mergeCell ref="B16:AD16"/>
    <mergeCell ref="B17:AE17"/>
  </mergeCells>
  <pageMargins left="0.47244094488188981" right="0.27559055118110237" top="0.74803149606299213" bottom="0.19685039370078741" header="0.31496062992125984" footer="0.31496062992125984"/>
  <pageSetup scale="41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9"/>
  <sheetViews>
    <sheetView zoomScale="70" zoomScaleNormal="70" workbookViewId="0">
      <selection activeCell="W9" sqref="W9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59" t="s">
        <v>76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59"/>
      <c r="AB1" s="459"/>
      <c r="AC1" s="459"/>
    </row>
    <row r="2" spans="1:29" ht="18" x14ac:dyDescent="0.25">
      <c r="A2" s="459" t="s">
        <v>64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  <c r="X2" s="459"/>
      <c r="Y2" s="459"/>
      <c r="Z2" s="459"/>
      <c r="AA2" s="459"/>
      <c r="AB2" s="459"/>
      <c r="AC2" s="459"/>
    </row>
    <row r="3" spans="1:29" ht="19.5" x14ac:dyDescent="0.25">
      <c r="A3" s="449" t="str">
        <f>PRESIDENCIA!A3</f>
        <v>SUELDO  DEL 01 AL 15 DE ENERO DE 2026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60" t="s">
        <v>1</v>
      </c>
      <c r="K5" s="461"/>
      <c r="L5" s="462"/>
      <c r="M5" s="24" t="s">
        <v>25</v>
      </c>
      <c r="N5" s="25"/>
      <c r="O5" s="463" t="s">
        <v>8</v>
      </c>
      <c r="P5" s="464"/>
      <c r="Q5" s="464"/>
      <c r="R5" s="464"/>
      <c r="S5" s="464"/>
      <c r="T5" s="465"/>
      <c r="U5" s="24" t="s">
        <v>29</v>
      </c>
      <c r="V5" s="24" t="s">
        <v>9</v>
      </c>
      <c r="W5" s="23" t="s">
        <v>52</v>
      </c>
      <c r="X5" s="466" t="s">
        <v>2</v>
      </c>
      <c r="Y5" s="467"/>
      <c r="Z5" s="468"/>
      <c r="AA5" s="23" t="s">
        <v>0</v>
      </c>
      <c r="AB5" s="33"/>
    </row>
    <row r="6" spans="1:29" ht="22.5" x14ac:dyDescent="0.2">
      <c r="A6" s="45" t="s">
        <v>93</v>
      </c>
      <c r="B6" s="45" t="s">
        <v>109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249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27" t="s">
        <v>72</v>
      </c>
      <c r="D8" s="228" t="s">
        <v>94</v>
      </c>
      <c r="E8" s="228" t="s">
        <v>206</v>
      </c>
      <c r="F8" s="229" t="s">
        <v>255</v>
      </c>
      <c r="G8" s="228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08" customFormat="1" ht="222" customHeight="1" x14ac:dyDescent="0.2">
      <c r="A9" s="279" t="s">
        <v>451</v>
      </c>
      <c r="B9" s="273" t="s">
        <v>108</v>
      </c>
      <c r="C9" s="258" t="s">
        <v>407</v>
      </c>
      <c r="D9" s="259" t="s">
        <v>408</v>
      </c>
      <c r="E9" s="358" t="s">
        <v>443</v>
      </c>
      <c r="F9" s="351">
        <v>45566</v>
      </c>
      <c r="G9" s="261" t="s">
        <v>204</v>
      </c>
      <c r="H9" s="262">
        <v>15</v>
      </c>
      <c r="I9" s="263">
        <f>J9/H9</f>
        <v>1372.8</v>
      </c>
      <c r="J9" s="264">
        <v>20592</v>
      </c>
      <c r="K9" s="265">
        <v>0</v>
      </c>
      <c r="L9" s="266">
        <f>SUM(J9:K9)</f>
        <v>20592</v>
      </c>
      <c r="M9" s="288">
        <f>IF(J9/15&lt;=SMG,0,K9/2)</f>
        <v>0</v>
      </c>
      <c r="N9" s="304">
        <f>(J9+M9)/H9*30.4</f>
        <v>41733.119999999995</v>
      </c>
      <c r="O9" s="304">
        <f>VLOOKUP(N9,Tarifa,1)</f>
        <v>35362.839999999997</v>
      </c>
      <c r="P9" s="288">
        <f>N9-O9</f>
        <v>6370.2799999999988</v>
      </c>
      <c r="Q9" s="289">
        <f>VLOOKUP(N9,Tarifa,3)</f>
        <v>0.23519999999999999</v>
      </c>
      <c r="R9" s="288">
        <f>P9*Q9</f>
        <v>1498.2898559999996</v>
      </c>
      <c r="S9" s="290">
        <f>VLOOKUP(N9,Tarifa,2)</f>
        <v>5665.16</v>
      </c>
      <c r="T9" s="288">
        <f>R9+S9</f>
        <v>7163.4498559999993</v>
      </c>
      <c r="U9" s="288">
        <f>VLOOKUP(N9,Credito,2)</f>
        <v>0</v>
      </c>
      <c r="V9" s="288">
        <f>ROUND((T9-U9)/30.4*H9,2)</f>
        <v>3534.6</v>
      </c>
      <c r="W9" s="266">
        <f>-IF(V9&gt;0,0,0)</f>
        <v>0</v>
      </c>
      <c r="X9" s="266">
        <f>IF(J9/15&lt;=SMG,0,IF(V9&lt;0,0,V9))</f>
        <v>3534.6</v>
      </c>
      <c r="Y9" s="267">
        <v>0</v>
      </c>
      <c r="Z9" s="266">
        <f>SUM(X9:Y9)</f>
        <v>3534.6</v>
      </c>
      <c r="AA9" s="266">
        <f>L9+W9-Z9</f>
        <v>17057.400000000001</v>
      </c>
      <c r="AB9" s="359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46"/>
      <c r="B11" s="446"/>
      <c r="C11" s="446"/>
      <c r="D11" s="446"/>
      <c r="E11" s="446"/>
      <c r="F11" s="446"/>
      <c r="G11" s="446"/>
      <c r="H11" s="446"/>
      <c r="I11" s="447"/>
      <c r="J11" s="136">
        <f>SUM(J9:J9)</f>
        <v>20592</v>
      </c>
      <c r="K11" s="136">
        <f>SUM(K9:K9)</f>
        <v>0</v>
      </c>
      <c r="L11" s="136">
        <f>SUM(L9:L9)</f>
        <v>20592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3534.6</v>
      </c>
      <c r="Y11" s="136">
        <f>SUM(Y9:Y9)</f>
        <v>0</v>
      </c>
      <c r="Z11" s="136">
        <f>SUM(Z9:Z9)</f>
        <v>3534.6</v>
      </c>
      <c r="AA11" s="136">
        <f>SUM(AA9:AA9)</f>
        <v>17057.400000000001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454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637</v>
      </c>
      <c r="Y23" s="91"/>
      <c r="Z23" s="91"/>
      <c r="AA23" s="91"/>
      <c r="AB23" s="91"/>
    </row>
    <row r="24" spans="3:28" ht="15" x14ac:dyDescent="0.25">
      <c r="C24" s="494" t="s">
        <v>469</v>
      </c>
      <c r="D24" s="495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197</v>
      </c>
      <c r="Y24" s="91"/>
      <c r="Z24" s="94"/>
      <c r="AA24" s="94"/>
      <c r="AB24" s="94"/>
    </row>
    <row r="29" spans="3:28" ht="14.25" x14ac:dyDescent="0.2">
      <c r="L29" s="91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CESAR LANDEROS</cp:lastModifiedBy>
  <cp:lastPrinted>2026-01-16T18:05:20Z</cp:lastPrinted>
  <dcterms:created xsi:type="dcterms:W3CDTF">2000-05-05T04:08:27Z</dcterms:created>
  <dcterms:modified xsi:type="dcterms:W3CDTF">2026-01-29T19:29:32Z</dcterms:modified>
</cp:coreProperties>
</file>