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FEBRERO 1\"/>
    </mc:Choice>
  </mc:AlternateContent>
  <xr:revisionPtr revIDLastSave="0" documentId="13_ncr:1_{7A487379-5EE6-4CA1-A029-E7EDC4299883}" xr6:coauthVersionLast="47" xr6:coauthVersionMax="47" xr10:uidLastSave="{00000000-0000-0000-0000-000000000000}"/>
  <bookViews>
    <workbookView xWindow="-120" yWindow="-120" windowWidth="29040" windowHeight="15840" tabRatio="772" firstSheet="2" activeTab="13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OBRAS PUBLICAS DIRECTOR" sheetId="137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r:id="rId12"/>
    <sheet name="SERV.MEDICOS" sheetId="133" r:id="rId13"/>
    <sheet name="Hoja1" sheetId="138" r:id="rId14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32" l="1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W11" i="132" l="1"/>
  <c r="U11" i="132"/>
  <c r="Q11" i="132"/>
  <c r="R11" i="132" s="1"/>
  <c r="S11" i="132"/>
  <c r="W12" i="132"/>
  <c r="U12" i="132"/>
  <c r="S12" i="132"/>
  <c r="Q12" i="132"/>
  <c r="R12" i="132" s="1"/>
  <c r="T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N9" i="137"/>
  <c r="O9" i="137" s="1"/>
  <c r="M9" i="137"/>
  <c r="J9" i="137"/>
  <c r="A3" i="137"/>
  <c r="N36" i="135"/>
  <c r="O36" i="135" s="1"/>
  <c r="M36" i="135"/>
  <c r="J36" i="135"/>
  <c r="V20" i="132" l="1"/>
  <c r="T11" i="132"/>
  <c r="V11" i="132" s="1"/>
  <c r="X11" i="132" s="1"/>
  <c r="Z11" i="132" s="1"/>
  <c r="AB11" i="132" s="1"/>
  <c r="T13" i="132"/>
  <c r="V13" i="132" s="1"/>
  <c r="X13" i="132" s="1"/>
  <c r="Y13" i="132" s="1"/>
  <c r="AC13" i="132" s="1"/>
  <c r="X20" i="132"/>
  <c r="Z20" i="132" s="1"/>
  <c r="AB20" i="132" s="1"/>
  <c r="Y11" i="132"/>
  <c r="V12" i="132"/>
  <c r="X12" i="132" s="1"/>
  <c r="Z13" i="132"/>
  <c r="AB13" i="132" s="1"/>
  <c r="V9" i="137"/>
  <c r="R9" i="137"/>
  <c r="T9" i="137"/>
  <c r="P9" i="137"/>
  <c r="Q9" i="137" s="1"/>
  <c r="V36" i="135"/>
  <c r="T36" i="135"/>
  <c r="R36" i="135"/>
  <c r="P36" i="135"/>
  <c r="Q36" i="135" s="1"/>
  <c r="S36" i="135" s="1"/>
  <c r="U36" i="135" s="1"/>
  <c r="Y20" i="132" l="1"/>
  <c r="AC20" i="132" s="1"/>
  <c r="W36" i="135"/>
  <c r="AC11" i="132"/>
  <c r="Z12" i="132"/>
  <c r="AB12" i="132" s="1"/>
  <c r="Y12" i="132"/>
  <c r="S9" i="137"/>
  <c r="U9" i="137" s="1"/>
  <c r="W9" i="137" s="1"/>
  <c r="Y9" i="137"/>
  <c r="AA9" i="137" s="1"/>
  <c r="X9" i="137"/>
  <c r="Y36" i="135"/>
  <c r="AA36" i="135" s="1"/>
  <c r="X36" i="135"/>
  <c r="AC12" i="132" l="1"/>
  <c r="AB9" i="137"/>
  <c r="AB36" i="135"/>
  <c r="J24" i="119" l="1"/>
  <c r="J22" i="119"/>
  <c r="J20" i="119"/>
  <c r="J19" i="119"/>
  <c r="J13" i="119"/>
  <c r="J11" i="119"/>
  <c r="J10" i="119"/>
  <c r="J9" i="119"/>
  <c r="K38" i="135" l="1"/>
  <c r="O21" i="132"/>
  <c r="P21" i="132" s="1"/>
  <c r="N21" i="132"/>
  <c r="N11" i="118"/>
  <c r="O11" i="118" s="1"/>
  <c r="M11" i="118"/>
  <c r="W21" i="132" l="1"/>
  <c r="U21" i="132"/>
  <c r="S21" i="132"/>
  <c r="Q21" i="132"/>
  <c r="R21" i="132" s="1"/>
  <c r="V11" i="118"/>
  <c r="T11" i="118"/>
  <c r="R11" i="118"/>
  <c r="P11" i="118"/>
  <c r="Q11" i="118" s="1"/>
  <c r="S11" i="118" l="1"/>
  <c r="U11" i="118" s="1"/>
  <c r="W11" i="118" s="1"/>
  <c r="X11" i="118" s="1"/>
  <c r="T21" i="132"/>
  <c r="V21" i="132" s="1"/>
  <c r="X21" i="132" s="1"/>
  <c r="Z21" i="132" s="1"/>
  <c r="AB21" i="132" s="1"/>
  <c r="Y11" i="118" l="1"/>
  <c r="AA11" i="118" s="1"/>
  <c r="AB11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7" i="121"/>
  <c r="O27" i="121" s="1"/>
  <c r="M27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3" i="123"/>
  <c r="O13" i="123" s="1"/>
  <c r="M13" i="123"/>
  <c r="J13" i="123"/>
  <c r="V20" i="119" l="1"/>
  <c r="T20" i="119"/>
  <c r="R20" i="119"/>
  <c r="P20" i="119"/>
  <c r="Q20" i="119" s="1"/>
  <c r="V28" i="135"/>
  <c r="T28" i="135"/>
  <c r="R28" i="135"/>
  <c r="P28" i="135"/>
  <c r="Q28" i="135" s="1"/>
  <c r="S28" i="135" s="1"/>
  <c r="U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7" i="121"/>
  <c r="T27" i="121"/>
  <c r="R27" i="121"/>
  <c r="P27" i="121"/>
  <c r="Q27" i="121" s="1"/>
  <c r="S27" i="121" s="1"/>
  <c r="V34" i="121"/>
  <c r="T34" i="121"/>
  <c r="R34" i="121"/>
  <c r="P34" i="121"/>
  <c r="Q34" i="121" s="1"/>
  <c r="P13" i="123"/>
  <c r="Q13" i="123" s="1"/>
  <c r="V13" i="123"/>
  <c r="T13" i="123"/>
  <c r="R13" i="123"/>
  <c r="W28" i="135" l="1"/>
  <c r="S34" i="121"/>
  <c r="U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W34" i="121"/>
  <c r="Y34" i="121" s="1"/>
  <c r="S9" i="135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U9" i="135"/>
  <c r="W9" i="135" s="1"/>
  <c r="X9" i="135" s="1"/>
  <c r="S13" i="123"/>
  <c r="U13" i="123" s="1"/>
  <c r="W13" i="123" s="1"/>
  <c r="U27" i="121"/>
  <c r="W27" i="121" s="1"/>
  <c r="X27" i="121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/>
  <c r="Y27" i="121" l="1"/>
  <c r="AA27" i="121" s="1"/>
  <c r="X20" i="119"/>
  <c r="AB20" i="119" s="1"/>
  <c r="X13" i="123"/>
  <c r="Y13" i="123"/>
  <c r="AA13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AB27" i="12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X33" i="121"/>
  <c r="AA34" i="121"/>
  <c r="AA33" i="121" s="1"/>
  <c r="Y33" i="121"/>
  <c r="O9" i="132"/>
  <c r="P9" i="132" s="1"/>
  <c r="N9" i="132"/>
  <c r="AB13" i="123" l="1"/>
  <c r="AB11" i="135"/>
  <c r="AB10" i="135"/>
  <c r="AB34" i="135"/>
  <c r="AB34" i="121"/>
  <c r="AB33" i="121" s="1"/>
  <c r="W9" i="132"/>
  <c r="U9" i="132"/>
  <c r="S9" i="132"/>
  <c r="Q9" i="132"/>
  <c r="R9" i="132" s="1"/>
  <c r="N10" i="133"/>
  <c r="O10" i="133" s="1"/>
  <c r="M10" i="133"/>
  <c r="J10" i="133"/>
  <c r="J22" i="135"/>
  <c r="M22" i="135"/>
  <c r="N22" i="135"/>
  <c r="O22" i="135" s="1"/>
  <c r="J12" i="135"/>
  <c r="N50" i="123"/>
  <c r="O50" i="123" s="1"/>
  <c r="M50" i="123"/>
  <c r="J50" i="123"/>
  <c r="T9" i="132" l="1"/>
  <c r="V9" i="132" s="1"/>
  <c r="X9" i="132" s="1"/>
  <c r="Z9" i="132" s="1"/>
  <c r="AB9" i="132" s="1"/>
  <c r="V10" i="133"/>
  <c r="T10" i="133"/>
  <c r="R10" i="133"/>
  <c r="P10" i="133"/>
  <c r="Q10" i="133" s="1"/>
  <c r="P22" i="135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AC9" i="132" l="1"/>
  <c r="S50" i="123"/>
  <c r="U50" i="123" s="1"/>
  <c r="W50" i="123" s="1"/>
  <c r="Y50" i="123" s="1"/>
  <c r="AA50" i="123" s="1"/>
  <c r="S10" i="133"/>
  <c r="U10" i="133" s="1"/>
  <c r="W10" i="133" s="1"/>
  <c r="Y10" i="133" s="1"/>
  <c r="AA10" i="13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X10" i="133"/>
  <c r="AB10" i="133" s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30" i="120"/>
  <c r="O30" i="120" s="1"/>
  <c r="M30" i="120"/>
  <c r="J30" i="120"/>
  <c r="V30" i="120" l="1"/>
  <c r="T30" i="120"/>
  <c r="R30" i="120"/>
  <c r="P30" i="120"/>
  <c r="Q30" i="120" s="1"/>
  <c r="S30" i="120" l="1"/>
  <c r="U30" i="120" s="1"/>
  <c r="W30" i="120" s="1"/>
  <c r="Y30" i="120" l="1"/>
  <c r="AA30" i="120" s="1"/>
  <c r="X30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J27" i="121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31" i="120"/>
  <c r="O31" i="120" s="1"/>
  <c r="M31" i="120"/>
  <c r="N24" i="120"/>
  <c r="O24" i="120" s="1"/>
  <c r="M24" i="120"/>
  <c r="J24" i="120"/>
  <c r="N23" i="120"/>
  <c r="O23" i="120" s="1"/>
  <c r="M23" i="120"/>
  <c r="J23" i="120"/>
  <c r="AB30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V34" i="120"/>
  <c r="T34" i="120"/>
  <c r="R34" i="120"/>
  <c r="P34" i="120"/>
  <c r="Q34" i="120" s="1"/>
  <c r="R31" i="120"/>
  <c r="P31" i="120"/>
  <c r="Q31" i="120" s="1"/>
  <c r="V31" i="120"/>
  <c r="T31" i="120"/>
  <c r="R32" i="120"/>
  <c r="P32" i="120"/>
  <c r="Q32" i="120" s="1"/>
  <c r="V32" i="120"/>
  <c r="T32" i="120"/>
  <c r="R33" i="120"/>
  <c r="P33" i="120"/>
  <c r="Q33" i="120" s="1"/>
  <c r="V33" i="120"/>
  <c r="T33" i="120"/>
  <c r="V24" i="120"/>
  <c r="T24" i="120"/>
  <c r="R24" i="120"/>
  <c r="P24" i="120"/>
  <c r="Q24" i="120" s="1"/>
  <c r="V23" i="120"/>
  <c r="T23" i="120"/>
  <c r="R23" i="120"/>
  <c r="P23" i="120"/>
  <c r="Q23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6" i="121"/>
  <c r="O26" i="121" s="1"/>
  <c r="M26" i="121"/>
  <c r="S34" i="120" l="1"/>
  <c r="U34" i="120" s="1"/>
  <c r="W34" i="120" s="1"/>
  <c r="X34" i="120" s="1"/>
  <c r="S49" i="123"/>
  <c r="S51" i="123"/>
  <c r="U51" i="123" s="1"/>
  <c r="W51" i="123" s="1"/>
  <c r="X51" i="123" s="1"/>
  <c r="S32" i="120"/>
  <c r="U32" i="120" s="1"/>
  <c r="W32" i="120" s="1"/>
  <c r="S23" i="120"/>
  <c r="U23" i="120" s="1"/>
  <c r="W23" i="120" s="1"/>
  <c r="Y23" i="120" s="1"/>
  <c r="AA23" i="120" s="1"/>
  <c r="S13" i="133"/>
  <c r="U13" i="133" s="1"/>
  <c r="W13" i="133" s="1"/>
  <c r="Y13" i="133" s="1"/>
  <c r="AA13" i="133" s="1"/>
  <c r="S33" i="120"/>
  <c r="U49" i="123"/>
  <c r="W49" i="123" s="1"/>
  <c r="Y49" i="123" s="1"/>
  <c r="AA49" i="123" s="1"/>
  <c r="S24" i="120"/>
  <c r="U24" i="120" s="1"/>
  <c r="W24" i="120" s="1"/>
  <c r="X24" i="120" s="1"/>
  <c r="S31" i="120"/>
  <c r="U31" i="120" s="1"/>
  <c r="W31" i="120" s="1"/>
  <c r="U33" i="120"/>
  <c r="W33" i="120" s="1"/>
  <c r="X3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6" i="121"/>
  <c r="T26" i="121"/>
  <c r="R26" i="121"/>
  <c r="P26" i="121"/>
  <c r="Q26" i="121" s="1"/>
  <c r="Y24" i="120" l="1"/>
  <c r="AA24" i="120" s="1"/>
  <c r="X49" i="123"/>
  <c r="X23" i="120"/>
  <c r="X32" i="120"/>
  <c r="Y32" i="120"/>
  <c r="AA32" i="120" s="1"/>
  <c r="Y34" i="120"/>
  <c r="AA34" i="120" s="1"/>
  <c r="AB34" i="120" s="1"/>
  <c r="S41" i="123"/>
  <c r="Y51" i="123"/>
  <c r="AA51" i="123" s="1"/>
  <c r="AB51" i="123" s="1"/>
  <c r="Y33" i="120"/>
  <c r="AA33" i="120" s="1"/>
  <c r="AB33" i="120" s="1"/>
  <c r="X13" i="133"/>
  <c r="AB13" i="133" s="1"/>
  <c r="U41" i="123"/>
  <c r="W41" i="123" s="1"/>
  <c r="X41" i="123" s="1"/>
  <c r="AB49" i="123"/>
  <c r="S15" i="123"/>
  <c r="U15" i="123" s="1"/>
  <c r="W15" i="123" s="1"/>
  <c r="Y15" i="123" s="1"/>
  <c r="AA15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Y31" i="120"/>
  <c r="AA31" i="120" s="1"/>
  <c r="X31" i="120"/>
  <c r="AB24" i="120"/>
  <c r="S40" i="123"/>
  <c r="U40" i="123" s="1"/>
  <c r="W40" i="123" s="1"/>
  <c r="Y40" i="123" s="1"/>
  <c r="AA40" i="123" s="1"/>
  <c r="S26" i="121"/>
  <c r="U26" i="121" s="1"/>
  <c r="W26" i="121" s="1"/>
  <c r="AB23" i="120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2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AB31" i="120"/>
  <c r="X15" i="123"/>
  <c r="AB15" i="123" s="1"/>
  <c r="Y36" i="123"/>
  <c r="AA36" i="123" s="1"/>
  <c r="AB36" i="123" s="1"/>
  <c r="X26" i="121"/>
  <c r="Y26" i="121"/>
  <c r="AA26" i="121" s="1"/>
  <c r="Y21" i="135"/>
  <c r="AA21" i="135" s="1"/>
  <c r="AB21" i="135" s="1"/>
  <c r="Y10" i="132"/>
  <c r="AC10" i="132" s="1"/>
  <c r="Y29" i="123"/>
  <c r="Y28" i="123" s="1"/>
  <c r="X28" i="123"/>
  <c r="AB26" i="121" l="1"/>
  <c r="AA29" i="123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9" i="120"/>
  <c r="N19" i="120"/>
  <c r="O19" i="120" s="1"/>
  <c r="J19" i="120"/>
  <c r="M13" i="120"/>
  <c r="N13" i="120"/>
  <c r="O13" i="120" s="1"/>
  <c r="P13" i="120" s="1"/>
  <c r="J13" i="120"/>
  <c r="J38" i="123"/>
  <c r="J37" i="123"/>
  <c r="Y16" i="123"/>
  <c r="AA16" i="123" s="1"/>
  <c r="N16" i="123"/>
  <c r="O16" i="123" s="1"/>
  <c r="M16" i="123"/>
  <c r="J16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6" i="133"/>
  <c r="O16" i="133" s="1"/>
  <c r="M16" i="133"/>
  <c r="N22" i="119"/>
  <c r="O22" i="119" s="1"/>
  <c r="M22" i="119"/>
  <c r="M21" i="119" s="1"/>
  <c r="Z21" i="119"/>
  <c r="L21" i="119"/>
  <c r="K21" i="119"/>
  <c r="N15" i="133"/>
  <c r="O15" i="133" s="1"/>
  <c r="M15" i="133"/>
  <c r="J15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10" i="132"/>
  <c r="J9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B33" i="123"/>
  <c r="B20" i="123"/>
  <c r="Z35" i="121"/>
  <c r="L35" i="121"/>
  <c r="K35" i="121"/>
  <c r="B31" i="121"/>
  <c r="M36" i="121"/>
  <c r="B28" i="120"/>
  <c r="B17" i="120"/>
  <c r="K35" i="120"/>
  <c r="Z38" i="135"/>
  <c r="L38" i="135"/>
  <c r="AA24" i="132"/>
  <c r="M24" i="132"/>
  <c r="Y11" i="136"/>
  <c r="K11" i="136"/>
  <c r="Z24" i="131"/>
  <c r="Z23" i="123"/>
  <c r="L23" i="123"/>
  <c r="K23" i="123"/>
  <c r="Z14" i="123"/>
  <c r="L14" i="123"/>
  <c r="K14" i="123"/>
  <c r="Z8" i="123"/>
  <c r="L8" i="123"/>
  <c r="Z35" i="120"/>
  <c r="L35" i="120"/>
  <c r="M22" i="121"/>
  <c r="M10" i="121"/>
  <c r="P11" i="136"/>
  <c r="R11" i="136"/>
  <c r="T11" i="136"/>
  <c r="V11" i="136"/>
  <c r="Z12" i="119"/>
  <c r="L12" i="119"/>
  <c r="K12" i="119"/>
  <c r="Z17" i="133"/>
  <c r="L17" i="133"/>
  <c r="K17" i="133"/>
  <c r="J11" i="136"/>
  <c r="Z8" i="119"/>
  <c r="L8" i="119"/>
  <c r="M21" i="121"/>
  <c r="M12" i="121"/>
  <c r="B19" i="121"/>
  <c r="M22" i="123"/>
  <c r="N22" i="132"/>
  <c r="Z22" i="132"/>
  <c r="AB22" i="132" s="1"/>
  <c r="L9" i="136"/>
  <c r="I9" i="136"/>
  <c r="M9" i="120"/>
  <c r="L11" i="136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3" i="118" s="1"/>
  <c r="M10" i="119"/>
  <c r="M12" i="123"/>
  <c r="M11" i="123" s="1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3" i="118"/>
  <c r="L13" i="118"/>
  <c r="K8" i="119"/>
  <c r="M11" i="119"/>
  <c r="L24" i="132"/>
  <c r="K24" i="131"/>
  <c r="K13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3" i="118"/>
  <c r="N13" i="118"/>
  <c r="P12" i="133"/>
  <c r="Q12" i="133" s="1"/>
  <c r="R12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P24" i="132"/>
  <c r="T9" i="133"/>
  <c r="V9" i="133"/>
  <c r="M17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2" i="120"/>
  <c r="Q22" i="120" s="1"/>
  <c r="R22" i="120"/>
  <c r="T22" i="120"/>
  <c r="V22" i="120"/>
  <c r="R10" i="120"/>
  <c r="V10" i="120"/>
  <c r="P10" i="120"/>
  <c r="Q10" i="120" s="1"/>
  <c r="T10" i="120"/>
  <c r="V19" i="120"/>
  <c r="P19" i="120"/>
  <c r="Q19" i="120" s="1"/>
  <c r="R19" i="120"/>
  <c r="T19" i="120"/>
  <c r="P21" i="120"/>
  <c r="Q21" i="120" s="1"/>
  <c r="R21" i="120"/>
  <c r="T21" i="120"/>
  <c r="V21" i="120"/>
  <c r="R24" i="121"/>
  <c r="V24" i="121"/>
  <c r="T24" i="121"/>
  <c r="N17" i="133"/>
  <c r="O24" i="132"/>
  <c r="U22" i="132"/>
  <c r="W22" i="132"/>
  <c r="S22" i="132"/>
  <c r="Q22" i="132"/>
  <c r="R22" i="132" s="1"/>
  <c r="R11" i="121"/>
  <c r="T20" i="120"/>
  <c r="P20" i="120"/>
  <c r="Q20" i="120" s="1"/>
  <c r="N38" i="135"/>
  <c r="O38" i="135"/>
  <c r="M38" i="135"/>
  <c r="AA28" i="123"/>
  <c r="AB29" i="123"/>
  <c r="AB28" i="123" s="1"/>
  <c r="M8" i="123"/>
  <c r="R20" i="120"/>
  <c r="V20" i="120"/>
  <c r="O17" i="133"/>
  <c r="R14" i="133"/>
  <c r="P14" i="133"/>
  <c r="Q14" i="133" s="1"/>
  <c r="T14" i="133"/>
  <c r="V14" i="133"/>
  <c r="P9" i="133"/>
  <c r="R9" i="133"/>
  <c r="V11" i="121"/>
  <c r="R37" i="121"/>
  <c r="T37" i="121"/>
  <c r="P37" i="121"/>
  <c r="Q37" i="121" s="1"/>
  <c r="V37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V13" i="120"/>
  <c r="T13" i="120"/>
  <c r="R13" i="120"/>
  <c r="Q13" i="120"/>
  <c r="M35" i="120"/>
  <c r="R12" i="121"/>
  <c r="O41" i="121"/>
  <c r="V9" i="121"/>
  <c r="P9" i="121"/>
  <c r="T9" i="121"/>
  <c r="R9" i="121"/>
  <c r="N41" i="121"/>
  <c r="B18" i="132"/>
  <c r="O35" i="120"/>
  <c r="N35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Y9" i="134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3" i="118"/>
  <c r="T13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5" i="133"/>
  <c r="U15" i="133" s="1"/>
  <c r="W15" i="133" s="1"/>
  <c r="X15" i="133" s="1"/>
  <c r="S12" i="133"/>
  <c r="U12" i="133" s="1"/>
  <c r="W12" i="133" s="1"/>
  <c r="X12" i="133" s="1"/>
  <c r="S47" i="123"/>
  <c r="U47" i="123" s="1"/>
  <c r="W47" i="123" s="1"/>
  <c r="Y47" i="123" s="1"/>
  <c r="AA47" i="123" s="1"/>
  <c r="Q10" i="118"/>
  <c r="V13" i="118"/>
  <c r="R13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20" i="120"/>
  <c r="U20" i="120" s="1"/>
  <c r="W20" i="120" s="1"/>
  <c r="Y20" i="120" s="1"/>
  <c r="AA20" i="120" s="1"/>
  <c r="S14" i="135"/>
  <c r="U14" i="135" s="1"/>
  <c r="W14" i="135" s="1"/>
  <c r="S11" i="121"/>
  <c r="U11" i="121" s="1"/>
  <c r="W11" i="121" s="1"/>
  <c r="S22" i="120"/>
  <c r="U22" i="120" s="1"/>
  <c r="W22" i="120" s="1"/>
  <c r="T17" i="133"/>
  <c r="V17" i="133"/>
  <c r="P38" i="135"/>
  <c r="V38" i="135"/>
  <c r="R38" i="135"/>
  <c r="T38" i="135"/>
  <c r="S19" i="120"/>
  <c r="U19" i="120" s="1"/>
  <c r="W19" i="120" s="1"/>
  <c r="X19" i="120" s="1"/>
  <c r="S12" i="120"/>
  <c r="U12" i="120" s="1"/>
  <c r="W12" i="120" s="1"/>
  <c r="X12" i="120" s="1"/>
  <c r="X9" i="120"/>
  <c r="S21" i="120"/>
  <c r="U21" i="120" s="1"/>
  <c r="W21" i="120" s="1"/>
  <c r="S11" i="120"/>
  <c r="U11" i="120" s="1"/>
  <c r="W11" i="120" s="1"/>
  <c r="P17" i="133"/>
  <c r="R17" i="133"/>
  <c r="M53" i="123"/>
  <c r="Q24" i="132"/>
  <c r="P35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1" i="121"/>
  <c r="S36" i="121"/>
  <c r="U36" i="121" s="1"/>
  <c r="W36" i="121" s="1"/>
  <c r="R41" i="121"/>
  <c r="V41" i="121"/>
  <c r="P41" i="121"/>
  <c r="R35" i="120"/>
  <c r="V35" i="120"/>
  <c r="T35" i="120"/>
  <c r="S13" i="120"/>
  <c r="U13" i="120" s="1"/>
  <c r="W13" i="120" s="1"/>
  <c r="X13" i="120" s="1"/>
  <c r="Q9" i="12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6" i="123"/>
  <c r="T23" i="123"/>
  <c r="R23" i="123"/>
  <c r="P23" i="123"/>
  <c r="Y10" i="120" l="1"/>
  <c r="AA10" i="120" s="1"/>
  <c r="X10" i="120"/>
  <c r="X21" i="131"/>
  <c r="AB21" i="131" s="1"/>
  <c r="X13" i="134"/>
  <c r="X12" i="134" s="1"/>
  <c r="X22" i="119"/>
  <c r="X13" i="131"/>
  <c r="Y22" i="131"/>
  <c r="AA22" i="131" s="1"/>
  <c r="X9" i="136"/>
  <c r="Z9" i="136" s="1"/>
  <c r="Z11" i="136" s="1"/>
  <c r="X16" i="133"/>
  <c r="Y16" i="133"/>
  <c r="AA16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AB13" i="13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2" i="133"/>
  <c r="AA12" i="133" s="1"/>
  <c r="AB12" i="133" s="1"/>
  <c r="X11" i="133"/>
  <c r="AB11" i="133" s="1"/>
  <c r="S9" i="123"/>
  <c r="U9" i="123" s="1"/>
  <c r="W9" i="123" s="1"/>
  <c r="Q13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Y15" i="133"/>
  <c r="AA15" i="133" s="1"/>
  <c r="AB15" i="133" s="1"/>
  <c r="X47" i="123"/>
  <c r="AB47" i="123" s="1"/>
  <c r="Y11" i="121"/>
  <c r="AA11" i="121" s="1"/>
  <c r="X11" i="121"/>
  <c r="X25" i="121"/>
  <c r="AB25" i="121" s="1"/>
  <c r="X14" i="135"/>
  <c r="Y14" i="135"/>
  <c r="AA14" i="135" s="1"/>
  <c r="Y19" i="120"/>
  <c r="AA19" i="120" s="1"/>
  <c r="AB19" i="120" s="1"/>
  <c r="X20" i="120"/>
  <c r="AB20" i="120" s="1"/>
  <c r="X21" i="120"/>
  <c r="Y21" i="120"/>
  <c r="AA21" i="120" s="1"/>
  <c r="Y11" i="120"/>
  <c r="AA11" i="120" s="1"/>
  <c r="X11" i="120"/>
  <c r="X22" i="120"/>
  <c r="Y22" i="120"/>
  <c r="AA22" i="120" s="1"/>
  <c r="AB10" i="120"/>
  <c r="AB9" i="120"/>
  <c r="Q8" i="123"/>
  <c r="R24" i="132"/>
  <c r="Q38" i="135"/>
  <c r="R53" i="123"/>
  <c r="X48" i="123"/>
  <c r="AB48" i="123" s="1"/>
  <c r="P8" i="123"/>
  <c r="P53" i="123" s="1"/>
  <c r="V53" i="123"/>
  <c r="Y13" i="120"/>
  <c r="AA13" i="120" s="1"/>
  <c r="AB13" i="120" s="1"/>
  <c r="Y14" i="133"/>
  <c r="AA14" i="133" s="1"/>
  <c r="X14" i="133"/>
  <c r="Q17" i="133"/>
  <c r="S9" i="133"/>
  <c r="X10" i="121"/>
  <c r="Y10" i="121"/>
  <c r="AA10" i="121" s="1"/>
  <c r="Y37" i="121"/>
  <c r="AA37" i="121" s="1"/>
  <c r="X37" i="121"/>
  <c r="Y36" i="121"/>
  <c r="X36" i="121"/>
  <c r="X38" i="121"/>
  <c r="Q41" i="121"/>
  <c r="S9" i="121"/>
  <c r="Q35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X11" i="136" l="1"/>
  <c r="S8" i="123"/>
  <c r="AB22" i="119"/>
  <c r="AB21" i="119" s="1"/>
  <c r="AB10" i="131"/>
  <c r="AB9" i="134"/>
  <c r="AB8" i="134" s="1"/>
  <c r="AB16" i="133"/>
  <c r="AB25" i="123"/>
  <c r="U8" i="123"/>
  <c r="AB24" i="121"/>
  <c r="AB13" i="134"/>
  <c r="AB12" i="134" s="1"/>
  <c r="AA11" i="134"/>
  <c r="AA10" i="134" s="1"/>
  <c r="Y10" i="134"/>
  <c r="Y14" i="134" s="1"/>
  <c r="AA14" i="134"/>
  <c r="X10" i="134"/>
  <c r="X14" i="134" s="1"/>
  <c r="AB11" i="134"/>
  <c r="AB10" i="134" s="1"/>
  <c r="Y18" i="119"/>
  <c r="AA9" i="136"/>
  <c r="AA11" i="136" s="1"/>
  <c r="B10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3" i="118"/>
  <c r="AB13" i="119"/>
  <c r="AB12" i="119" s="1"/>
  <c r="W9" i="119"/>
  <c r="U26" i="119"/>
  <c r="Q53" i="123"/>
  <c r="AB37" i="121"/>
  <c r="AB14" i="135"/>
  <c r="AB11" i="120"/>
  <c r="AB35" i="120" s="1"/>
  <c r="B5" i="138" s="1"/>
  <c r="AB22" i="120"/>
  <c r="AB21" i="120"/>
  <c r="T24" i="132"/>
  <c r="S38" i="135"/>
  <c r="AB46" i="123"/>
  <c r="AB37" i="123"/>
  <c r="AA27" i="123"/>
  <c r="AA26" i="123" s="1"/>
  <c r="AB14" i="133"/>
  <c r="S17" i="133"/>
  <c r="U9" i="133"/>
  <c r="AB10" i="121"/>
  <c r="X35" i="121"/>
  <c r="AA36" i="121"/>
  <c r="AA35" i="121" s="1"/>
  <c r="Y35" i="121"/>
  <c r="U9" i="121"/>
  <c r="S41" i="121"/>
  <c r="S35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AB35" i="123" l="1"/>
  <c r="AB14" i="134"/>
  <c r="B4" i="138" s="1"/>
  <c r="X9" i="131"/>
  <c r="W24" i="131"/>
  <c r="Y9" i="131"/>
  <c r="AB27" i="123"/>
  <c r="AB26" i="123" s="1"/>
  <c r="U13" i="118"/>
  <c r="W10" i="118"/>
  <c r="W26" i="119"/>
  <c r="X9" i="119"/>
  <c r="Y9" i="119"/>
  <c r="AB12" i="123"/>
  <c r="AB11" i="123" s="1"/>
  <c r="V24" i="132"/>
  <c r="U38" i="135"/>
  <c r="U17" i="133"/>
  <c r="W9" i="133"/>
  <c r="AB36" i="121"/>
  <c r="AB35" i="121" s="1"/>
  <c r="U41" i="121"/>
  <c r="W9" i="121"/>
  <c r="U35" i="120"/>
  <c r="AB22" i="123"/>
  <c r="X8" i="123"/>
  <c r="W16" i="123"/>
  <c r="U14" i="123"/>
  <c r="U53" i="123" s="1"/>
  <c r="Y8" i="123"/>
  <c r="AA9" i="123"/>
  <c r="AA8" i="123" s="1"/>
  <c r="W23" i="123"/>
  <c r="Y24" i="131" l="1"/>
  <c r="AA9" i="131"/>
  <c r="AA24" i="131" s="1"/>
  <c r="X24" i="131"/>
  <c r="W13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7" i="133"/>
  <c r="Y9" i="121"/>
  <c r="W41" i="121"/>
  <c r="X9" i="121"/>
  <c r="W35" i="120"/>
  <c r="X23" i="123"/>
  <c r="Y23" i="123"/>
  <c r="Y53" i="123" s="1"/>
  <c r="AA23" i="123"/>
  <c r="AA53" i="123" s="1"/>
  <c r="X16" i="123"/>
  <c r="W14" i="123"/>
  <c r="W53" i="123" s="1"/>
  <c r="AB9" i="123"/>
  <c r="AB8" i="123" s="1"/>
  <c r="AB9" i="131" l="1"/>
  <c r="AB24" i="131" s="1"/>
  <c r="B9" i="138" s="1"/>
  <c r="AB9" i="119"/>
  <c r="AB8" i="119" s="1"/>
  <c r="AB26" i="119" s="1"/>
  <c r="B3" i="138" s="1"/>
  <c r="AA10" i="118"/>
  <c r="AA13" i="118" s="1"/>
  <c r="Y13" i="118"/>
  <c r="X13" i="118"/>
  <c r="Y24" i="132"/>
  <c r="Z24" i="132"/>
  <c r="AB24" i="132"/>
  <c r="X38" i="135"/>
  <c r="AB9" i="135"/>
  <c r="AB38" i="135" s="1"/>
  <c r="AA38" i="135"/>
  <c r="Y38" i="135"/>
  <c r="Y17" i="133"/>
  <c r="AA9" i="133"/>
  <c r="AA17" i="133" s="1"/>
  <c r="X17" i="133"/>
  <c r="X8" i="121"/>
  <c r="X41" i="121" s="1"/>
  <c r="Y8" i="121"/>
  <c r="Y41" i="121" s="1"/>
  <c r="AA9" i="121"/>
  <c r="AA8" i="121" s="1"/>
  <c r="AA41" i="121" s="1"/>
  <c r="Y35" i="120"/>
  <c r="AA35" i="120"/>
  <c r="X35" i="120"/>
  <c r="X14" i="123"/>
  <c r="X53" i="123" s="1"/>
  <c r="AB16" i="123"/>
  <c r="AB14" i="123" s="1"/>
  <c r="AB23" i="123"/>
  <c r="AB10" i="118" l="1"/>
  <c r="AB13" i="118" s="1"/>
  <c r="B8" i="138" s="1"/>
  <c r="AB53" i="123"/>
  <c r="B7" i="138" s="1"/>
  <c r="AB9" i="133"/>
  <c r="AB17" i="133" s="1"/>
  <c r="B12" i="138" s="1"/>
  <c r="AC24" i="132"/>
  <c r="B11" i="138" s="1"/>
  <c r="AB9" i="121"/>
  <c r="AB8" i="121" l="1"/>
  <c r="AB41" i="121" s="1"/>
  <c r="B6" i="138" s="1"/>
  <c r="B13" i="138" s="1"/>
</calcChain>
</file>

<file path=xl/sharedStrings.xml><?xml version="1.0" encoding="utf-8"?>
<sst xmlns="http://schemas.openxmlformats.org/spreadsheetml/2006/main" count="1634" uniqueCount="662">
  <si>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</si>
  <si>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</si>
  <si>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</si>
  <si>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</si>
  <si>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</si>
  <si>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</si>
  <si>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</si>
  <si>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</si>
  <si>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</si>
  <si>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</si>
  <si>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</si>
  <si>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</si>
  <si>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</si>
  <si>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</si>
  <si>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</si>
  <si>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</si>
  <si>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</si>
  <si>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</si>
  <si>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</si>
  <si>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</si>
  <si>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</si>
  <si>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</si>
  <si>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</si>
  <si>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</si>
  <si>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</si>
  <si>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</si>
  <si>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</si>
  <si>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</si>
  <si>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</si>
  <si>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</si>
  <si>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</si>
  <si>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</si>
  <si>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</si>
  <si>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</si>
  <si>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</si>
  <si>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</si>
  <si>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</si>
  <si>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</si>
  <si>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</si>
  <si>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</si>
  <si>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</si>
  <si>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</si>
  <si>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</si>
  <si>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</si>
  <si>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</si>
  <si>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</si>
  <si>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</si>
  <si>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</si>
  <si>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</si>
  <si>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</si>
  <si>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</si>
  <si>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</si>
  <si>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</si>
  <si>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</si>
  <si>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</si>
  <si>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</si>
  <si>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</si>
  <si>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</si>
  <si>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</si>
  <si>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</si>
  <si>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</si>
  <si>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</si>
  <si>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</si>
  <si>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</si>
  <si>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</si>
  <si>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</si>
  <si>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</si>
  <si>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</si>
  <si>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</si>
  <si>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</si>
  <si>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</si>
  <si>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</si>
  <si>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</si>
  <si>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</si>
  <si>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</si>
  <si>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</si>
  <si>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</si>
  <si>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</si>
  <si>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</si>
  <si>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</si>
  <si>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</si>
  <si>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</si>
  <si>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</si>
  <si>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</si>
  <si>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</si>
  <si>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</si>
  <si>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</si>
  <si>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</si>
  <si>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</si>
  <si>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</si>
  <si>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</si>
  <si>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</si>
  <si>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</si>
  <si>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</si>
  <si>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</si>
  <si>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</si>
  <si>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</si>
  <si>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</si>
  <si>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</si>
  <si>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</si>
  <si>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</si>
  <si>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</si>
  <si>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</si>
  <si>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</si>
  <si>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</si>
  <si>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</si>
  <si>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</si>
  <si>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</si>
  <si>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</si>
  <si>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</si>
  <si>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</si>
  <si>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</si>
  <si>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</si>
  <si>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</si>
  <si>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</si>
  <si>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</si>
  <si>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</si>
  <si>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</si>
  <si>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</si>
  <si>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</si>
  <si>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</si>
  <si>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</si>
  <si>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</si>
  <si>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</si>
  <si>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</si>
  <si>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</si>
  <si>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</si>
  <si>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</si>
  <si>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</si>
  <si>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</si>
  <si>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</si>
  <si>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</si>
  <si>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</si>
  <si>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</si>
  <si>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</si>
  <si>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</si>
  <si>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</si>
  <si>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</si>
  <si>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</si>
  <si>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</si>
  <si>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</si>
  <si>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</si>
  <si>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</si>
  <si>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</si>
  <si>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</si>
  <si>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</si>
  <si>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</si>
  <si>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</si>
  <si>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</si>
  <si>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</si>
  <si>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</si>
  <si>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</si>
  <si>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</si>
  <si>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</si>
  <si>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</si>
  <si>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</si>
  <si>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</si>
  <si>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</si>
  <si>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</si>
  <si>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</si>
  <si>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</si>
  <si>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</si>
  <si>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</si>
  <si>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</si>
  <si>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</si>
  <si>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</si>
  <si>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</si>
  <si>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</si>
  <si>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</si>
  <si>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</si>
  <si>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</si>
  <si>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</si>
  <si>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</si>
  <si>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</si>
  <si>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</si>
  <si>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</si>
  <si>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</si>
  <si>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</si>
  <si>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</si>
  <si>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</si>
  <si>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</si>
  <si>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</si>
  <si>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</si>
  <si>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</si>
  <si>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</si>
  <si>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</si>
  <si>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</si>
  <si>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</si>
  <si>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</si>
  <si>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</si>
  <si>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</si>
  <si>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</si>
  <si>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</si>
  <si>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</si>
  <si>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</si>
  <si>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</si>
  <si>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</si>
  <si>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</si>
  <si>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</si>
  <si>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</si>
  <si>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</si>
  <si>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</si>
  <si>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</si>
  <si>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</si>
  <si>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</si>
  <si>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</si>
  <si>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</si>
  <si>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</si>
  <si>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</si>
  <si>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</si>
  <si>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</si>
  <si>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</si>
  <si>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</si>
  <si>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</si>
  <si>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</si>
  <si>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</si>
  <si>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</si>
  <si>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</si>
  <si>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</si>
  <si>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</si>
  <si>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</si>
  <si>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</si>
  <si>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</si>
  <si>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</si>
  <si>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</si>
  <si>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</si>
  <si>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</si>
  <si>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</si>
  <si>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</si>
  <si>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</si>
  <si>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</si>
  <si>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</si>
  <si>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</si>
  <si>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</si>
  <si>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</si>
  <si>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</si>
  <si>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</si>
  <si>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</si>
  <si>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</si>
  <si>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</si>
  <si>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</si>
  <si>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</si>
  <si>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</si>
  <si>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</si>
  <si>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</si>
  <si>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</si>
  <si>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</si>
  <si>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</si>
  <si>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</si>
  <si>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</si>
  <si>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</si>
  <si>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</si>
  <si>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</si>
  <si>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</si>
  <si>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</si>
  <si>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</si>
  <si>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</si>
  <si>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</si>
  <si>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</si>
  <si>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</si>
  <si>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</si>
  <si>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</si>
  <si>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</si>
  <si>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</si>
  <si>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</si>
  <si>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</si>
  <si>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</si>
  <si>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</si>
  <si>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</si>
  <si>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</si>
  <si>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</si>
  <si>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</si>
  <si>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</si>
  <si>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</si>
  <si>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</si>
  <si>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</si>
  <si>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</si>
  <si>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</si>
  <si>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</si>
  <si>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</si>
  <si>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</si>
  <si>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</si>
  <si>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</si>
  <si>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</si>
  <si>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</si>
  <si>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</si>
  <si>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</si>
  <si>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</si>
  <si>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</si>
  <si>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</si>
  <si>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</si>
  <si>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</si>
  <si>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</si>
  <si>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</si>
  <si>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</si>
  <si>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</si>
  <si>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</si>
  <si>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</si>
  <si>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</si>
  <si>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</si>
  <si>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</si>
  <si>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</si>
  <si>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</si>
  <si>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</si>
  <si>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</si>
  <si>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</si>
  <si>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</si>
  <si>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</si>
  <si>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</si>
  <si>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</si>
  <si>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</si>
  <si>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</si>
  <si>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</si>
  <si>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</si>
  <si>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</si>
  <si>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</si>
  <si>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</si>
  <si>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</si>
  <si>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</si>
  <si>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</si>
  <si>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</si>
  <si>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</si>
  <si>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</si>
  <si>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</si>
  <si>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</si>
  <si>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</si>
  <si>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</si>
  <si>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</si>
  <si>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</si>
  <si>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</si>
  <si>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</si>
  <si>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</si>
  <si>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</si>
  <si>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</si>
  <si>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</si>
  <si>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</si>
  <si>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</si>
  <si>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</si>
  <si>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</si>
  <si>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</si>
  <si>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</si>
  <si>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</si>
  <si>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</si>
  <si>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</si>
  <si>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</si>
  <si>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</si>
  <si>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</si>
  <si>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</si>
  <si>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</si>
  <si>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</si>
  <si>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</si>
  <si>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</si>
  <si>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</si>
  <si>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</si>
  <si>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</si>
  <si>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</si>
  <si>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</si>
  <si>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</si>
  <si>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</si>
  <si>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</si>
  <si>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</si>
  <si>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</si>
  <si>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</si>
  <si>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</si>
  <si>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</si>
  <si>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</si>
  <si>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</si>
  <si>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</si>
  <si>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</si>
  <si>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</si>
  <si>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</si>
  <si>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</si>
  <si>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</si>
  <si>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</si>
  <si>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</si>
  <si>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</si>
  <si>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</si>
  <si>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</si>
  <si>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</si>
  <si>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</si>
  <si>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</si>
  <si>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</si>
  <si>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</si>
  <si>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</si>
  <si>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</si>
  <si>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</si>
  <si>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</si>
  <si>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</si>
  <si>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</si>
  <si>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</si>
  <si>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</si>
  <si>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</si>
  <si>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</si>
  <si>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</si>
  <si>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</si>
  <si>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</si>
  <si>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</si>
  <si>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</si>
  <si>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</si>
  <si>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</si>
  <si>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</si>
  <si>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</si>
  <si>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</si>
  <si>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</si>
  <si>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</si>
  <si>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</si>
  <si>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</si>
  <si>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</si>
  <si>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</si>
  <si>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</si>
  <si>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</si>
  <si>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</si>
  <si>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</si>
  <si>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</si>
  <si>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</si>
  <si>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</si>
  <si>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</si>
  <si>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</si>
  <si>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</si>
  <si>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</si>
  <si>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</si>
  <si>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</si>
  <si>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</si>
  <si>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</si>
  <si>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</si>
  <si>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</si>
  <si>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</si>
  <si>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</si>
  <si>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</si>
  <si>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</si>
  <si>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</si>
  <si>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</si>
  <si>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</si>
  <si>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</si>
  <si>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</si>
  <si>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</si>
  <si>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</si>
  <si>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</si>
  <si>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</si>
  <si>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</si>
  <si>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</si>
  <si>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</si>
  <si>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</si>
  <si>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</si>
  <si>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</si>
  <si>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</si>
  <si>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</si>
  <si>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</si>
  <si>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</si>
  <si>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</si>
  <si>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</si>
  <si>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</si>
  <si>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</si>
  <si>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</si>
  <si>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</si>
  <si>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</si>
  <si>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</si>
  <si>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</si>
  <si>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</si>
  <si>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</si>
  <si>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</si>
  <si>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</si>
  <si>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</si>
  <si>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</si>
  <si>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</si>
  <si>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</si>
  <si>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</si>
  <si>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</si>
  <si>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</si>
  <si>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</si>
  <si>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</si>
  <si>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</si>
  <si>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</si>
  <si>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</si>
  <si>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</si>
  <si>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</si>
  <si>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</si>
  <si>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</si>
  <si>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</si>
  <si>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</si>
  <si>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</si>
  <si>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</si>
  <si>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</si>
  <si>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</si>
  <si>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</si>
  <si>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</si>
  <si>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</si>
  <si>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</si>
  <si>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</si>
  <si>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</si>
  <si>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</si>
  <si>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</si>
  <si>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</si>
  <si>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</si>
  <si>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</si>
  <si>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</si>
  <si>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</si>
  <si>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</si>
  <si>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</si>
  <si>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</si>
  <si>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</si>
  <si>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</si>
  <si>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</si>
  <si>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</si>
  <si>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</si>
  <si>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</si>
  <si>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</si>
  <si>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</si>
  <si>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</si>
  <si>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</si>
  <si>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</si>
  <si>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</si>
  <si>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</si>
  <si>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</si>
  <si>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</si>
  <si>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</si>
  <si>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</si>
  <si>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</si>
  <si>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</si>
  <si>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</si>
  <si>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</si>
  <si>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</si>
  <si>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</si>
  <si>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</si>
  <si>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</si>
  <si>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</si>
  <si>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</si>
  <si>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</si>
  <si>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</si>
  <si>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</si>
  <si>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</si>
  <si>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</si>
  <si>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</si>
  <si>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</si>
  <si>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</si>
  <si>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</si>
  <si>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</si>
  <si>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</si>
  <si>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</si>
  <si>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</si>
  <si>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</si>
  <si>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</si>
  <si>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</si>
  <si>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</si>
  <si>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</si>
  <si>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</si>
  <si>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</si>
  <si>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</si>
  <si>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</si>
  <si>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</si>
  <si>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</si>
  <si>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</si>
  <si>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</si>
  <si>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</si>
  <si>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</si>
  <si>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</si>
  <si>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</si>
  <si>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</si>
  <si>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</si>
  <si>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</si>
  <si>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</si>
  <si>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</si>
  <si>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</si>
  <si>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</si>
  <si>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</si>
  <si>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</si>
  <si>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</si>
  <si>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</si>
  <si>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</si>
  <si>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</si>
  <si>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</si>
  <si>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</si>
  <si>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</si>
  <si>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</si>
  <si>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</si>
  <si>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</si>
  <si>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</si>
  <si>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</si>
  <si>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</si>
  <si>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</si>
  <si>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</si>
  <si>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</si>
  <si>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</si>
  <si>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</si>
  <si>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</si>
  <si>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</si>
  <si>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</si>
  <si>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</si>
  <si>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</si>
  <si>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</si>
  <si>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</si>
  <si>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</si>
  <si>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</si>
  <si>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</si>
  <si>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</si>
  <si>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</si>
  <si>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</si>
  <si>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</si>
  <si>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</si>
  <si>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</si>
  <si>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</si>
  <si>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</si>
  <si>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</si>
  <si>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</si>
  <si>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</si>
  <si>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</si>
  <si>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</si>
  <si>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</si>
  <si>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</si>
  <si>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</si>
  <si>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</si>
  <si>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</si>
  <si>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</si>
  <si>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</si>
  <si>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</si>
  <si>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</si>
  <si>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</si>
  <si>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</si>
  <si>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</si>
  <si>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</si>
  <si>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</si>
  <si>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</si>
  <si>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</si>
  <si>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</si>
  <si>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</si>
  <si>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</si>
  <si>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</si>
  <si>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</si>
  <si>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</si>
  <si>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</si>
  <si>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</si>
  <si>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</si>
  <si>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</si>
  <si>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</si>
  <si>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</si>
  <si>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</si>
  <si>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</si>
  <si>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</si>
  <si>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</si>
  <si>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</si>
  <si>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</si>
  <si>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</si>
  <si>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</si>
  <si>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</si>
  <si>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</si>
  <si>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</si>
  <si>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</si>
  <si>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</si>
  <si>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</si>
  <si>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</si>
  <si>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</si>
  <si>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</si>
  <si>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</si>
  <si>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</si>
  <si>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</si>
  <si>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</si>
  <si>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</si>
  <si>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</si>
  <si>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</si>
  <si>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</si>
  <si>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</si>
  <si>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SUELDO  DEL 01 AL 15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</si>
</sst>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10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173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637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32" t="s">
        <v>10</v>
      </c>
      <c r="C7" s="432"/>
      <c r="D7" s="432"/>
      <c r="E7" s="7"/>
      <c r="F7" s="433" t="s">
        <v>48</v>
      </c>
      <c r="G7" s="434"/>
      <c r="I7" s="110" t="s">
        <v>174</v>
      </c>
    </row>
    <row r="8" spans="1:9" ht="14.25" customHeight="1" x14ac:dyDescent="0.2">
      <c r="B8" s="435" t="s">
        <v>9</v>
      </c>
      <c r="C8" s="435"/>
      <c r="D8" s="435"/>
      <c r="E8" s="7"/>
      <c r="F8" s="436" t="s">
        <v>49</v>
      </c>
      <c r="G8" s="437"/>
      <c r="I8" s="109">
        <v>117.31</v>
      </c>
    </row>
    <row r="9" spans="1:9" ht="8.25" customHeight="1" x14ac:dyDescent="0.2">
      <c r="B9" s="429"/>
      <c r="C9" s="429"/>
      <c r="D9" s="429"/>
      <c r="E9" s="7"/>
      <c r="F9" s="430"/>
      <c r="G9" s="43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638</v>
      </c>
      <c r="C28" s="7"/>
      <c r="D28" s="7"/>
    </row>
    <row r="29" spans="1:8" x14ac:dyDescent="0.2">
      <c r="B29" s="32" t="s">
        <v>639</v>
      </c>
      <c r="C29" s="7"/>
      <c r="D29" s="7"/>
    </row>
    <row r="30" spans="1:8" x14ac:dyDescent="0.2">
      <c r="B30" s="193" t="s">
        <v>335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33" t="s">
        <v>53</v>
      </c>
      <c r="G32" s="434"/>
    </row>
    <row r="33" spans="2:7" x14ac:dyDescent="0.2">
      <c r="E33" s="7"/>
      <c r="F33" s="436" t="s">
        <v>54</v>
      </c>
      <c r="G33" s="437"/>
    </row>
    <row r="34" spans="2:7" ht="5.25" customHeight="1" x14ac:dyDescent="0.2">
      <c r="E34" s="7"/>
      <c r="F34" s="430"/>
      <c r="G34" s="431"/>
    </row>
    <row r="35" spans="2:7" x14ac:dyDescent="0.2">
      <c r="B35" s="432" t="s">
        <v>10</v>
      </c>
      <c r="C35" s="432"/>
      <c r="D35" s="432"/>
      <c r="E35" s="7"/>
      <c r="F35" s="9" t="s">
        <v>16</v>
      </c>
      <c r="G35" s="9" t="s">
        <v>17</v>
      </c>
    </row>
    <row r="36" spans="2:7" x14ac:dyDescent="0.2">
      <c r="B36" s="435" t="s">
        <v>9</v>
      </c>
      <c r="C36" s="435"/>
      <c r="D36" s="435"/>
      <c r="E36" s="7"/>
      <c r="F36" s="9"/>
      <c r="G36" s="9" t="s">
        <v>18</v>
      </c>
    </row>
    <row r="37" spans="2:7" x14ac:dyDescent="0.2">
      <c r="B37" s="429"/>
      <c r="C37" s="429"/>
      <c r="D37" s="429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W9" sqref="W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8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5" x14ac:dyDescent="0.25">
      <c r="A3" s="442" t="str">
        <f>PRESIDENCIA!A3</f>
        <v>SUELDO  DEL 01 AL 15 DE FEBRERO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53" t="s">
        <v>1</v>
      </c>
      <c r="K5" s="454"/>
      <c r="L5" s="455"/>
      <c r="M5" s="24" t="s">
        <v>25</v>
      </c>
      <c r="N5" s="25"/>
      <c r="O5" s="456" t="s">
        <v>8</v>
      </c>
      <c r="P5" s="457"/>
      <c r="Q5" s="457"/>
      <c r="R5" s="457"/>
      <c r="S5" s="457"/>
      <c r="T5" s="458"/>
      <c r="U5" s="24" t="s">
        <v>29</v>
      </c>
      <c r="V5" s="24" t="s">
        <v>9</v>
      </c>
      <c r="W5" s="23" t="s">
        <v>52</v>
      </c>
      <c r="X5" s="459" t="s">
        <v>2</v>
      </c>
      <c r="Y5" s="460"/>
      <c r="Z5" s="461"/>
      <c r="AA5" s="23" t="s">
        <v>0</v>
      </c>
      <c r="AB5" s="33"/>
    </row>
    <row r="6" spans="1:29" ht="22.5" x14ac:dyDescent="0.2">
      <c r="A6" s="45" t="s">
        <v>93</v>
      </c>
      <c r="B6" s="45" t="s">
        <v>109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249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94</v>
      </c>
      <c r="E8" s="228" t="s">
        <v>206</v>
      </c>
      <c r="F8" s="229" t="s">
        <v>255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451</v>
      </c>
      <c r="B9" s="273" t="s">
        <v>108</v>
      </c>
      <c r="C9" s="258" t="s">
        <v>407</v>
      </c>
      <c r="D9" s="259" t="s">
        <v>408</v>
      </c>
      <c r="E9" s="358" t="s">
        <v>443</v>
      </c>
      <c r="F9" s="351">
        <v>45566</v>
      </c>
      <c r="G9" s="261" t="s">
        <v>204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39"/>
      <c r="B11" s="439"/>
      <c r="C11" s="439"/>
      <c r="D11" s="439"/>
      <c r="E11" s="439"/>
      <c r="F11" s="439"/>
      <c r="G11" s="439"/>
      <c r="H11" s="439"/>
      <c r="I11" s="440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454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636</v>
      </c>
      <c r="Y23" s="91"/>
      <c r="Z23" s="91"/>
      <c r="AA23" s="91"/>
      <c r="AB23" s="91"/>
    </row>
    <row r="24" spans="3:28" ht="15" x14ac:dyDescent="0.25">
      <c r="C24" s="487" t="s">
        <v>469</v>
      </c>
      <c r="D24" s="488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197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G7" zoomScale="85" zoomScaleNormal="85" workbookViewId="0">
      <selection activeCell="M9" sqref="M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8" bestFit="1" customWidth="1"/>
    <col min="9" max="9" width="8.28515625" hidden="1" customWidth="1"/>
    <col min="10" max="10" width="10.7109375" bestFit="1" customWidth="1"/>
    <col min="11" max="11" width="11.5703125" customWidth="1"/>
    <col min="12" max="12" width="17.7109375" customWidth="1"/>
    <col min="13" max="13" width="13.5703125" customWidth="1"/>
    <col min="14" max="14" width="16.85546875" customWidth="1"/>
    <col min="15" max="15" width="11.42578125" hidden="1" customWidth="1"/>
    <col min="16" max="18" width="16" hidden="1" customWidth="1"/>
    <col min="19" max="23" width="11.42578125" hidden="1" customWidth="1"/>
    <col min="24" max="24" width="12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</row>
    <row r="2" spans="1:31" ht="18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</row>
    <row r="3" spans="1:31" ht="19.5" x14ac:dyDescent="0.25">
      <c r="A3" s="442" t="str">
        <f>PRESIDENCIA!A3</f>
        <v>SUELDO  DEL 01 AL 15 DE FEBRERO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489" t="s">
        <v>93</v>
      </c>
      <c r="C5" s="489" t="s">
        <v>109</v>
      </c>
      <c r="D5" s="22"/>
      <c r="E5" s="22"/>
      <c r="F5" s="22"/>
      <c r="G5" s="22"/>
      <c r="H5" s="22"/>
      <c r="I5" s="23" t="s">
        <v>22</v>
      </c>
      <c r="J5" s="23" t="s">
        <v>5</v>
      </c>
      <c r="K5" s="363"/>
      <c r="L5" s="453" t="s">
        <v>1</v>
      </c>
      <c r="M5" s="454"/>
      <c r="N5" s="455"/>
      <c r="O5" s="24" t="s">
        <v>25</v>
      </c>
      <c r="P5" s="25"/>
      <c r="Q5" s="456" t="s">
        <v>8</v>
      </c>
      <c r="R5" s="457"/>
      <c r="S5" s="457"/>
      <c r="T5" s="457"/>
      <c r="U5" s="457"/>
      <c r="V5" s="458"/>
      <c r="W5" s="24" t="s">
        <v>29</v>
      </c>
      <c r="X5" s="24" t="s">
        <v>9</v>
      </c>
      <c r="Y5" s="23" t="s">
        <v>52</v>
      </c>
      <c r="Z5" s="459" t="s">
        <v>2</v>
      </c>
      <c r="AA5" s="460"/>
      <c r="AB5" s="461"/>
      <c r="AC5" s="23" t="s">
        <v>0</v>
      </c>
      <c r="AD5" s="33"/>
    </row>
    <row r="6" spans="1:31" ht="12.75" customHeight="1" x14ac:dyDescent="0.2">
      <c r="A6" s="26" t="s">
        <v>20</v>
      </c>
      <c r="B6" s="490"/>
      <c r="C6" s="490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657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249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491"/>
      <c r="C7" s="491"/>
      <c r="D7" s="29"/>
      <c r="E7" s="29"/>
      <c r="F7" s="29"/>
      <c r="G7" s="29"/>
      <c r="H7" s="29"/>
      <c r="I7" s="29"/>
      <c r="J7" s="29"/>
      <c r="K7" s="29" t="s">
        <v>658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176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482</v>
      </c>
      <c r="E8" s="218" t="s">
        <v>94</v>
      </c>
      <c r="F8" s="218" t="s">
        <v>206</v>
      </c>
      <c r="G8" s="217" t="s">
        <v>255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143</v>
      </c>
      <c r="C9" s="360" t="s">
        <v>108</v>
      </c>
      <c r="D9" s="253" t="s">
        <v>135</v>
      </c>
      <c r="E9" s="145" t="s">
        <v>139</v>
      </c>
      <c r="F9" s="145" t="s">
        <v>219</v>
      </c>
      <c r="G9" s="231">
        <v>43374</v>
      </c>
      <c r="H9" s="310" t="s">
        <v>110</v>
      </c>
      <c r="I9" s="262">
        <v>15</v>
      </c>
      <c r="J9" s="263">
        <f>L9/I9</f>
        <v>153.76000000000002</v>
      </c>
      <c r="K9" s="418" t="s">
        <v>86</v>
      </c>
      <c r="L9" s="264">
        <v>2306.4</v>
      </c>
      <c r="M9" s="265">
        <v>0</v>
      </c>
      <c r="N9" s="266">
        <f t="shared" ref="N9" si="0">SUM(L9:M9)</f>
        <v>2306.4</v>
      </c>
      <c r="O9" s="288">
        <f t="shared" ref="O9" si="1">IF(L9/15&lt;=SMG,0,M9/2)</f>
        <v>0</v>
      </c>
      <c r="P9" s="304">
        <f t="shared" ref="P9" si="2">(L9+O9)/I9*30.4</f>
        <v>4674.3040000000001</v>
      </c>
      <c r="Q9" s="304">
        <f t="shared" ref="Q9" si="3">VLOOKUP(P9,Tarifa,1)</f>
        <v>844.6</v>
      </c>
      <c r="R9" s="288">
        <f t="shared" ref="R9" si="4">P9-Q9</f>
        <v>3829.7040000000002</v>
      </c>
      <c r="S9" s="289">
        <f t="shared" ref="S9" si="5">VLOOKUP(P9,Tarifa,3)</f>
        <v>6.4000000000000001E-2</v>
      </c>
      <c r="T9" s="288">
        <f t="shared" ref="T9" si="6">R9*S9</f>
        <v>245.10105600000003</v>
      </c>
      <c r="U9" s="290">
        <f t="shared" ref="U9" si="7">VLOOKUP(P9,Tarifa,2)</f>
        <v>16.22</v>
      </c>
      <c r="V9" s="288">
        <f t="shared" ref="V9" si="8">T9+U9</f>
        <v>261.321056</v>
      </c>
      <c r="W9" s="288">
        <f t="shared" ref="W9" si="9">VLOOKUP(P9,Credito,2)</f>
        <v>535.65</v>
      </c>
      <c r="X9" s="288">
        <f t="shared" ref="X9" si="10">ROUND((V9-W9)/30.4*I9,2)</f>
        <v>-135.36000000000001</v>
      </c>
      <c r="Y9" s="266">
        <v>0</v>
      </c>
      <c r="Z9" s="266">
        <f t="shared" ref="Z9" si="11">IF(L9/15&lt;=SMG,0,IF(X9&lt;0,0,X9))</f>
        <v>0</v>
      </c>
      <c r="AA9" s="267">
        <v>0</v>
      </c>
      <c r="AB9" s="266">
        <f t="shared" ref="AB9" si="12">SUM(Z9:AA9)</f>
        <v>0</v>
      </c>
      <c r="AC9" s="266">
        <f t="shared" ref="AC9" si="13">N9+Y9-AB9</f>
        <v>2306.4</v>
      </c>
      <c r="AD9" s="278"/>
    </row>
    <row r="10" spans="1:31" s="270" customFormat="1" ht="230.25" customHeight="1" x14ac:dyDescent="0.2">
      <c r="A10" s="296"/>
      <c r="B10" s="272">
        <v>188</v>
      </c>
      <c r="C10" s="360" t="s">
        <v>108</v>
      </c>
      <c r="D10" s="274" t="s">
        <v>144</v>
      </c>
      <c r="E10" s="275" t="s">
        <v>145</v>
      </c>
      <c r="F10" s="275" t="s">
        <v>220</v>
      </c>
      <c r="G10" s="361">
        <v>43389</v>
      </c>
      <c r="H10" s="261" t="s">
        <v>205</v>
      </c>
      <c r="I10" s="262">
        <v>15</v>
      </c>
      <c r="J10" s="263">
        <f>L10/I10</f>
        <v>496.93333333333334</v>
      </c>
      <c r="K10" s="418" t="s">
        <v>659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2"/>
      <c r="B11" s="273" t="s">
        <v>192</v>
      </c>
      <c r="C11" s="273" t="s">
        <v>108</v>
      </c>
      <c r="D11" s="318" t="s">
        <v>193</v>
      </c>
      <c r="E11" s="134" t="s">
        <v>194</v>
      </c>
      <c r="F11" s="134" t="s">
        <v>222</v>
      </c>
      <c r="G11" s="200">
        <v>43512</v>
      </c>
      <c r="H11" s="310" t="s">
        <v>110</v>
      </c>
      <c r="I11" s="262">
        <v>15</v>
      </c>
      <c r="J11" s="263">
        <f>L11/I11</f>
        <v>384.4</v>
      </c>
      <c r="K11" s="418">
        <v>15</v>
      </c>
      <c r="L11" s="264">
        <v>5766</v>
      </c>
      <c r="M11" s="265">
        <v>0</v>
      </c>
      <c r="N11" s="266">
        <f t="shared" ref="N11" si="14">SUM(L11:M11)</f>
        <v>5766</v>
      </c>
      <c r="O11" s="288">
        <f t="shared" ref="O11" si="15">IF(L11/15&lt;=SMG,0,M11/2)</f>
        <v>0</v>
      </c>
      <c r="P11" s="304">
        <f t="shared" ref="P11" si="16">(L11+O11)/I11*30.4</f>
        <v>11685.759999999998</v>
      </c>
      <c r="Q11" s="304">
        <f t="shared" ref="Q11" si="17">VLOOKUP(P11,Tarifa,1)</f>
        <v>7168.52</v>
      </c>
      <c r="R11" s="288">
        <f t="shared" ref="R11" si="18">P11-Q11</f>
        <v>4517.239999999998</v>
      </c>
      <c r="S11" s="289">
        <f t="shared" ref="S11" si="19">VLOOKUP(P11,Tarifa,3)</f>
        <v>0.10879999999999999</v>
      </c>
      <c r="T11" s="288">
        <f t="shared" ref="T11" si="20">R11*S11</f>
        <v>491.47571199999976</v>
      </c>
      <c r="U11" s="290">
        <f t="shared" ref="U11" si="21">VLOOKUP(P11,Tarifa,2)</f>
        <v>420.95</v>
      </c>
      <c r="V11" s="288">
        <f t="shared" ref="V11" si="22">T11+U11</f>
        <v>912.42571199999975</v>
      </c>
      <c r="W11" s="288">
        <f t="shared" ref="W11" si="23">VLOOKUP(P11,Credito,2)</f>
        <v>0</v>
      </c>
      <c r="X11" s="288">
        <f t="shared" ref="X11" si="24">ROUND((V11-W11)/30.4*I11,2)</f>
        <v>450.21</v>
      </c>
      <c r="Y11" s="266">
        <f t="shared" ref="Y11" si="25">-IF(X11&gt;0,0,0)</f>
        <v>0</v>
      </c>
      <c r="Z11" s="266">
        <f t="shared" ref="Z11" si="26">IF(L11/15&lt;=SMG,0,IF(X11&lt;0,0,X11))</f>
        <v>450.21</v>
      </c>
      <c r="AA11" s="267">
        <v>0</v>
      </c>
      <c r="AB11" s="266">
        <f t="shared" ref="AB11" si="27">SUM(Z11:AA11)</f>
        <v>450.21</v>
      </c>
      <c r="AC11" s="266">
        <f t="shared" ref="AC11" si="28">N11+Y11-AB11</f>
        <v>5315.79</v>
      </c>
      <c r="AD11" s="278"/>
    </row>
    <row r="12" spans="1:31" s="270" customFormat="1" ht="230.25" customHeight="1" x14ac:dyDescent="0.2">
      <c r="A12" s="362"/>
      <c r="B12" s="272">
        <v>317</v>
      </c>
      <c r="C12" s="273" t="s">
        <v>108</v>
      </c>
      <c r="D12" s="252" t="s">
        <v>264</v>
      </c>
      <c r="E12" s="145" t="s">
        <v>265</v>
      </c>
      <c r="F12" s="145" t="s">
        <v>266</v>
      </c>
      <c r="G12" s="231">
        <v>45078</v>
      </c>
      <c r="H12" s="310" t="s">
        <v>110</v>
      </c>
      <c r="I12" s="262">
        <v>15</v>
      </c>
      <c r="J12" s="263">
        <f>L12/I12</f>
        <v>384.4</v>
      </c>
      <c r="K12" s="418">
        <v>15</v>
      </c>
      <c r="L12" s="264">
        <v>5766</v>
      </c>
      <c r="M12" s="265">
        <v>0</v>
      </c>
      <c r="N12" s="266">
        <f t="shared" ref="N12" si="29">SUM(L12:M12)</f>
        <v>5766</v>
      </c>
      <c r="O12" s="288">
        <f t="shared" ref="O12" si="30">IF(L12/15&lt;=SMG,0,M12/2)</f>
        <v>0</v>
      </c>
      <c r="P12" s="304">
        <f t="shared" ref="P12" si="31">(L12+O12)/I12*30.4</f>
        <v>11685.759999999998</v>
      </c>
      <c r="Q12" s="304">
        <f t="shared" ref="Q12" si="32">VLOOKUP(P12,Tarifa,1)</f>
        <v>7168.52</v>
      </c>
      <c r="R12" s="288">
        <f t="shared" ref="R12" si="33">P12-Q12</f>
        <v>4517.239999999998</v>
      </c>
      <c r="S12" s="289">
        <f t="shared" ref="S12" si="34">VLOOKUP(P12,Tarifa,3)</f>
        <v>0.10879999999999999</v>
      </c>
      <c r="T12" s="288">
        <f t="shared" ref="T12" si="35">R12*S12</f>
        <v>491.47571199999976</v>
      </c>
      <c r="U12" s="290">
        <f t="shared" ref="U12" si="36">VLOOKUP(P12,Tarifa,2)</f>
        <v>420.95</v>
      </c>
      <c r="V12" s="288">
        <f t="shared" ref="V12" si="37">T12+U12</f>
        <v>912.42571199999975</v>
      </c>
      <c r="W12" s="288">
        <f t="shared" ref="W12" si="38">VLOOKUP(P12,Credito,2)</f>
        <v>0</v>
      </c>
      <c r="X12" s="288">
        <f t="shared" ref="X12" si="39">ROUND((V12-W12)/30.4*I12,2)</f>
        <v>450.21</v>
      </c>
      <c r="Y12" s="266">
        <f t="shared" ref="Y12" si="40">-IF(X12&gt;0,0,0)</f>
        <v>0</v>
      </c>
      <c r="Z12" s="266">
        <f t="shared" ref="Z12" si="41">IF(L12/15&lt;=SMG,0,IF(X12&lt;0,0,X12))</f>
        <v>450.21</v>
      </c>
      <c r="AA12" s="267">
        <v>0</v>
      </c>
      <c r="AB12" s="266">
        <f t="shared" ref="AB12" si="42">SUM(Z12:AA12)</f>
        <v>450.21</v>
      </c>
      <c r="AC12" s="266">
        <f t="shared" ref="AC12" si="43">N12+Y12-AB12</f>
        <v>5315.79</v>
      </c>
      <c r="AD12" s="278"/>
    </row>
    <row r="13" spans="1:31" s="270" customFormat="1" ht="230.25" customHeight="1" x14ac:dyDescent="0.2">
      <c r="A13" s="362"/>
      <c r="B13" s="309">
        <v>353</v>
      </c>
      <c r="C13" s="273" t="s">
        <v>108</v>
      </c>
      <c r="D13" s="254" t="s">
        <v>332</v>
      </c>
      <c r="E13" s="135" t="s">
        <v>333</v>
      </c>
      <c r="F13" s="135" t="s">
        <v>334</v>
      </c>
      <c r="G13" s="251">
        <v>45391</v>
      </c>
      <c r="H13" s="310" t="s">
        <v>110</v>
      </c>
      <c r="I13" s="262">
        <v>15</v>
      </c>
      <c r="J13" s="263">
        <f>L13/I13</f>
        <v>384.4</v>
      </c>
      <c r="K13" s="418">
        <v>15</v>
      </c>
      <c r="L13" s="264">
        <v>5766</v>
      </c>
      <c r="M13" s="265">
        <v>0</v>
      </c>
      <c r="N13" s="266">
        <f t="shared" ref="N13" si="44">SUM(L13:M13)</f>
        <v>5766</v>
      </c>
      <c r="O13" s="288">
        <f t="shared" ref="O13" si="45">IF(L13/15&lt;=SMG,0,M13/2)</f>
        <v>0</v>
      </c>
      <c r="P13" s="304">
        <f t="shared" ref="P13" si="46">(L13+O13)/I13*30.4</f>
        <v>11685.759999999998</v>
      </c>
      <c r="Q13" s="304">
        <f t="shared" ref="Q13" si="47">VLOOKUP(P13,Tarifa,1)</f>
        <v>7168.52</v>
      </c>
      <c r="R13" s="288">
        <f t="shared" ref="R13" si="48">P13-Q13</f>
        <v>4517.239999999998</v>
      </c>
      <c r="S13" s="289">
        <f t="shared" ref="S13" si="49">VLOOKUP(P13,Tarifa,3)</f>
        <v>0.10879999999999999</v>
      </c>
      <c r="T13" s="288">
        <f t="shared" ref="T13" si="50">R13*S13</f>
        <v>491.47571199999976</v>
      </c>
      <c r="U13" s="290">
        <f t="shared" ref="U13" si="51">VLOOKUP(P13,Tarifa,2)</f>
        <v>420.95</v>
      </c>
      <c r="V13" s="288">
        <f t="shared" ref="V13" si="52">T13+U13</f>
        <v>912.42571199999975</v>
      </c>
      <c r="W13" s="288">
        <f t="shared" ref="W13" si="53">VLOOKUP(P13,Credito,2)</f>
        <v>0</v>
      </c>
      <c r="X13" s="288">
        <f t="shared" ref="X13" si="54">ROUND((V13-W13)/30.4*I13,2)</f>
        <v>450.21</v>
      </c>
      <c r="Y13" s="266">
        <f t="shared" ref="Y13" si="55">-IF(X13&gt;0,0,0)</f>
        <v>0</v>
      </c>
      <c r="Z13" s="266">
        <f t="shared" ref="Z13" si="56">IF(L13/15&lt;=SMG,0,IF(X13&lt;0,0,X13))</f>
        <v>450.21</v>
      </c>
      <c r="AA13" s="267">
        <v>0</v>
      </c>
      <c r="AB13" s="266">
        <f t="shared" ref="AB13" si="57">SUM(Z13:AA13)</f>
        <v>450.21</v>
      </c>
      <c r="AC13" s="266">
        <f t="shared" ref="AC13" si="58">N13+Y13-AB13</f>
        <v>5315.79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52" t="s">
        <v>76</v>
      </c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  <c r="AE16" s="452"/>
    </row>
    <row r="17" spans="1:31" s="91" customFormat="1" ht="26.25" customHeight="1" x14ac:dyDescent="0.25">
      <c r="A17" s="146"/>
      <c r="B17" s="452" t="s">
        <v>64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E17" s="452"/>
    </row>
    <row r="18" spans="1:31" s="91" customFormat="1" ht="27.75" customHeight="1" x14ac:dyDescent="0.25">
      <c r="A18" s="146"/>
      <c r="B18" s="442" t="str">
        <f>A3</f>
        <v>SUELDO  DEL 01 AL 15 DE FEBRERO DE 2026</v>
      </c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2"/>
      <c r="B20" s="309">
        <v>398</v>
      </c>
      <c r="C20" s="273" t="s">
        <v>108</v>
      </c>
      <c r="D20" s="254" t="s">
        <v>475</v>
      </c>
      <c r="E20" s="135" t="s">
        <v>476</v>
      </c>
      <c r="F20" s="135" t="s">
        <v>477</v>
      </c>
      <c r="G20" s="251">
        <v>45597</v>
      </c>
      <c r="H20" s="310" t="s">
        <v>110</v>
      </c>
      <c r="I20" s="262">
        <v>15</v>
      </c>
      <c r="J20" s="263">
        <f>L20/I20</f>
        <v>384.4</v>
      </c>
      <c r="K20" s="418">
        <v>15</v>
      </c>
      <c r="L20" s="264">
        <v>5766</v>
      </c>
      <c r="M20" s="265">
        <v>0</v>
      </c>
      <c r="N20" s="266">
        <f t="shared" ref="N20" si="59">SUM(L20:M20)</f>
        <v>5766</v>
      </c>
      <c r="O20" s="288">
        <f t="shared" ref="O20" si="60">IF(L20/15&lt;=SMG,0,M20/2)</f>
        <v>0</v>
      </c>
      <c r="P20" s="304">
        <f t="shared" ref="P20" si="61">(L20+O20)/I20*30.4</f>
        <v>11685.759999999998</v>
      </c>
      <c r="Q20" s="304">
        <f t="shared" ref="Q20" si="62">VLOOKUP(P20,Tarifa,1)</f>
        <v>7168.52</v>
      </c>
      <c r="R20" s="288">
        <f t="shared" ref="R20" si="63">P20-Q20</f>
        <v>4517.239999999998</v>
      </c>
      <c r="S20" s="289">
        <f t="shared" ref="S20" si="64">VLOOKUP(P20,Tarifa,3)</f>
        <v>0.10879999999999999</v>
      </c>
      <c r="T20" s="288">
        <f t="shared" ref="T20" si="65">R20*S20</f>
        <v>491.47571199999976</v>
      </c>
      <c r="U20" s="290">
        <f t="shared" ref="U20" si="66">VLOOKUP(P20,Tarifa,2)</f>
        <v>420.95</v>
      </c>
      <c r="V20" s="288">
        <f t="shared" ref="V20" si="67">T20+U20</f>
        <v>912.42571199999975</v>
      </c>
      <c r="W20" s="288">
        <f t="shared" ref="W20" si="68">VLOOKUP(P20,Credito,2)</f>
        <v>0</v>
      </c>
      <c r="X20" s="288">
        <f t="shared" ref="X20" si="69">ROUND((V20-W20)/30.4*I20,2)</f>
        <v>450.21</v>
      </c>
      <c r="Y20" s="266">
        <f t="shared" ref="Y20" si="70">-IF(X20&gt;0,0,0)</f>
        <v>0</v>
      </c>
      <c r="Z20" s="266">
        <f t="shared" ref="Z20" si="71">IF(L20/15&lt;=SMG,0,IF(X20&lt;0,0,X20))</f>
        <v>450.21</v>
      </c>
      <c r="AA20" s="267">
        <v>0</v>
      </c>
      <c r="AB20" s="266">
        <f t="shared" ref="AB20" si="72">SUM(Z20:AA20)</f>
        <v>450.21</v>
      </c>
      <c r="AC20" s="266">
        <f t="shared" ref="AC20" si="73">N20+Y20-AB20</f>
        <v>5315.79</v>
      </c>
      <c r="AD20" s="278"/>
    </row>
    <row r="21" spans="1:31" s="270" customFormat="1" ht="216.75" customHeight="1" x14ac:dyDescent="0.2">
      <c r="A21" s="362"/>
      <c r="B21" s="403">
        <v>422</v>
      </c>
      <c r="C21" s="273" t="s">
        <v>108</v>
      </c>
      <c r="D21" s="318" t="s">
        <v>568</v>
      </c>
      <c r="E21" s="404" t="s">
        <v>570</v>
      </c>
      <c r="F21" s="134" t="s">
        <v>569</v>
      </c>
      <c r="G21" s="251">
        <v>45809</v>
      </c>
      <c r="H21" s="310" t="s">
        <v>110</v>
      </c>
      <c r="I21" s="262">
        <v>15</v>
      </c>
      <c r="J21" s="263">
        <f>L21/I21</f>
        <v>384.4</v>
      </c>
      <c r="K21" s="418">
        <v>15</v>
      </c>
      <c r="L21" s="264">
        <v>5766</v>
      </c>
      <c r="M21" s="265">
        <v>0</v>
      </c>
      <c r="N21" s="266">
        <f t="shared" ref="N21" si="74">SUM(L21:M21)</f>
        <v>5766</v>
      </c>
      <c r="O21" s="288">
        <f t="shared" ref="O21" si="75">IF(L21/15&lt;=SMG,0,M21/2)</f>
        <v>0</v>
      </c>
      <c r="P21" s="304">
        <f t="shared" ref="P21" si="76">(L21+O21)/I21*30.4</f>
        <v>11685.759999999998</v>
      </c>
      <c r="Q21" s="304">
        <f t="shared" ref="Q21" si="77">VLOOKUP(P21,Tarifa,1)</f>
        <v>7168.52</v>
      </c>
      <c r="R21" s="288">
        <f t="shared" ref="R21" si="78">P21-Q21</f>
        <v>4517.239999999998</v>
      </c>
      <c r="S21" s="289">
        <f t="shared" ref="S21" si="79">VLOOKUP(P21,Tarifa,3)</f>
        <v>0.10879999999999999</v>
      </c>
      <c r="T21" s="288">
        <f t="shared" ref="T21" si="80">R21*S21</f>
        <v>491.47571199999976</v>
      </c>
      <c r="U21" s="290">
        <f t="shared" ref="U21" si="81">VLOOKUP(P21,Tarifa,2)</f>
        <v>420.95</v>
      </c>
      <c r="V21" s="288">
        <f t="shared" ref="V21" si="82">T21+U21</f>
        <v>912.42571199999975</v>
      </c>
      <c r="W21" s="288">
        <f t="shared" ref="W21" si="83">VLOOKUP(P21,Credito,2)</f>
        <v>0</v>
      </c>
      <c r="X21" s="288">
        <f t="shared" ref="X21" si="84">ROUND((V21-W21)/30.4*I21,2)</f>
        <v>450.21</v>
      </c>
      <c r="Y21" s="266">
        <f t="shared" ref="Y21:Y22" si="85">-IF(X21&gt;0,0,0)</f>
        <v>0</v>
      </c>
      <c r="Z21" s="266">
        <f t="shared" ref="Z21:Z22" si="86">IF(L21/15&lt;=SMG,0,IF(X21&lt;0,0,X21))</f>
        <v>450.21</v>
      </c>
      <c r="AA21" s="267">
        <v>0</v>
      </c>
      <c r="AB21" s="266">
        <f t="shared" ref="AB21" si="87">SUM(Z21:AA21)</f>
        <v>450.21</v>
      </c>
      <c r="AC21" s="266">
        <f t="shared" ref="AC21" si="88">N21+Y21-AB21</f>
        <v>5315.79</v>
      </c>
      <c r="AD21" s="278"/>
    </row>
    <row r="22" spans="1:31" s="270" customFormat="1" ht="216.75" customHeight="1" x14ac:dyDescent="0.2">
      <c r="A22" s="362"/>
      <c r="B22" s="279" t="s">
        <v>166</v>
      </c>
      <c r="C22" s="273" t="s">
        <v>108</v>
      </c>
      <c r="D22" s="258" t="s">
        <v>79</v>
      </c>
      <c r="E22" s="259" t="s">
        <v>102</v>
      </c>
      <c r="F22" s="259" t="s">
        <v>208</v>
      </c>
      <c r="G22" s="260">
        <v>41410</v>
      </c>
      <c r="H22" s="261" t="s">
        <v>159</v>
      </c>
      <c r="I22" s="262">
        <v>15</v>
      </c>
      <c r="J22" s="263">
        <f>L22/I22</f>
        <v>260.93333333333334</v>
      </c>
      <c r="K22" s="418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5"/>
        <v>0</v>
      </c>
      <c r="Z22" s="266">
        <f t="shared" si="86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38" t="s">
        <v>44</v>
      </c>
      <c r="B24" s="439"/>
      <c r="C24" s="439"/>
      <c r="D24" s="439"/>
      <c r="E24" s="439"/>
      <c r="F24" s="439"/>
      <c r="G24" s="439"/>
      <c r="H24" s="439"/>
      <c r="I24" s="439"/>
      <c r="J24" s="440"/>
      <c r="K24" s="417"/>
      <c r="L24" s="198">
        <f t="shared" ref="L24:AC24" si="89">SUM(L9:L23)</f>
        <v>42504.4</v>
      </c>
      <c r="M24" s="198">
        <f t="shared" si="89"/>
        <v>0</v>
      </c>
      <c r="N24" s="198">
        <f t="shared" si="89"/>
        <v>42504.4</v>
      </c>
      <c r="O24" s="199">
        <f t="shared" si="89"/>
        <v>0</v>
      </c>
      <c r="P24" s="199">
        <f t="shared" si="89"/>
        <v>86142.25066666666</v>
      </c>
      <c r="Q24" s="199">
        <f t="shared" si="89"/>
        <v>58500.37000000001</v>
      </c>
      <c r="R24" s="199">
        <f t="shared" si="89"/>
        <v>27641.880666666657</v>
      </c>
      <c r="S24" s="199">
        <f t="shared" si="89"/>
        <v>0.89600000000000002</v>
      </c>
      <c r="T24" s="199">
        <f t="shared" si="89"/>
        <v>2868.3993599999985</v>
      </c>
      <c r="U24" s="199">
        <f t="shared" si="89"/>
        <v>3881.0599999999995</v>
      </c>
      <c r="V24" s="199">
        <f t="shared" si="89"/>
        <v>6749.4593599999998</v>
      </c>
      <c r="W24" s="199">
        <f t="shared" si="89"/>
        <v>1071.3</v>
      </c>
      <c r="X24" s="199">
        <f t="shared" si="89"/>
        <v>2801.72</v>
      </c>
      <c r="Y24" s="198">
        <f t="shared" si="89"/>
        <v>0</v>
      </c>
      <c r="Z24" s="198">
        <f t="shared" si="89"/>
        <v>2952.67</v>
      </c>
      <c r="AA24" s="198">
        <f t="shared" si="89"/>
        <v>0</v>
      </c>
      <c r="AB24" s="198">
        <f t="shared" si="89"/>
        <v>2952.67</v>
      </c>
      <c r="AC24" s="198">
        <f t="shared" si="89"/>
        <v>39551.730000000003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454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630</v>
      </c>
      <c r="AA40" s="108"/>
      <c r="AB40" s="108"/>
      <c r="AC40" s="108"/>
    </row>
    <row r="41" spans="4:30" ht="18" x14ac:dyDescent="0.25">
      <c r="D41" s="203" t="s">
        <v>469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203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7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AC10" sqref="AC10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52" t="s">
        <v>75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"/>
    </row>
    <row r="2" spans="1:30" ht="18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"/>
    </row>
    <row r="3" spans="1:30" ht="18" x14ac:dyDescent="0.25">
      <c r="A3" s="402"/>
      <c r="B3" s="452" t="str">
        <f>PRESIDENCIA!A3</f>
        <v>SUELDO  DEL 01 AL 15 DE FEBRERO DE 2026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3"/>
      <c r="K5" s="453" t="s">
        <v>1</v>
      </c>
      <c r="L5" s="454"/>
      <c r="M5" s="455"/>
      <c r="N5" s="24" t="s">
        <v>25</v>
      </c>
      <c r="O5" s="25"/>
      <c r="P5" s="456" t="s">
        <v>8</v>
      </c>
      <c r="Q5" s="457"/>
      <c r="R5" s="457"/>
      <c r="S5" s="457"/>
      <c r="T5" s="457"/>
      <c r="U5" s="458"/>
      <c r="V5" s="24" t="s">
        <v>29</v>
      </c>
      <c r="W5" s="24" t="s">
        <v>9</v>
      </c>
      <c r="X5" s="23" t="s">
        <v>52</v>
      </c>
      <c r="Y5" s="459" t="s">
        <v>2</v>
      </c>
      <c r="Z5" s="460"/>
      <c r="AA5" s="461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497" t="s">
        <v>107</v>
      </c>
      <c r="C8" s="498"/>
      <c r="D8" s="499"/>
      <c r="E8" s="218" t="s">
        <v>94</v>
      </c>
      <c r="F8" s="218" t="s">
        <v>206</v>
      </c>
      <c r="G8" s="217" t="s">
        <v>255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7" customFormat="1" ht="193.5" customHeight="1" x14ac:dyDescent="0.2">
      <c r="A9" s="255" t="s">
        <v>81</v>
      </c>
      <c r="B9" s="273" t="s">
        <v>315</v>
      </c>
      <c r="C9" s="273" t="s">
        <v>108</v>
      </c>
      <c r="D9" s="365" t="s">
        <v>316</v>
      </c>
      <c r="E9" s="350" t="s">
        <v>317</v>
      </c>
      <c r="F9" s="350" t="s">
        <v>318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6"/>
      <c r="AD9" s="324"/>
    </row>
    <row r="10" spans="1:30" s="270" customFormat="1" ht="193.5" customHeight="1" x14ac:dyDescent="0.2">
      <c r="A10" s="362"/>
      <c r="B10" s="273" t="s">
        <v>158</v>
      </c>
      <c r="C10" s="273" t="s">
        <v>108</v>
      </c>
      <c r="D10" s="365" t="s">
        <v>156</v>
      </c>
      <c r="E10" s="350" t="s">
        <v>157</v>
      </c>
      <c r="F10" s="350" t="s">
        <v>225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9">
        <f t="shared" ref="N10" si="2">IF(K10/15&lt;=SMG,0,L10/2)</f>
        <v>0</v>
      </c>
      <c r="O10" s="379">
        <f t="shared" ref="O10" si="3">(K10+N10)/I10*30.4</f>
        <v>20379.146666666667</v>
      </c>
      <c r="P10" s="379">
        <f t="shared" ref="P10" si="4">VLOOKUP(O10,Tarifa,1)</f>
        <v>17533.650000000001</v>
      </c>
      <c r="Q10" s="379">
        <f t="shared" ref="Q10" si="5">O10-P10</f>
        <v>2845.496666666666</v>
      </c>
      <c r="R10" s="380">
        <f t="shared" ref="R10" si="6">VLOOKUP(O10,Tarifa,3)</f>
        <v>0.21360000000000001</v>
      </c>
      <c r="S10" s="379">
        <f t="shared" ref="S10" si="7">Q10*R10</f>
        <v>607.79808799999989</v>
      </c>
      <c r="T10" s="381">
        <f t="shared" ref="T10" si="8">VLOOKUP(O10,Tarifa,2)</f>
        <v>1856.84</v>
      </c>
      <c r="U10" s="379">
        <f t="shared" ref="U10" si="9">S10+T10</f>
        <v>2464.6380879999997</v>
      </c>
      <c r="V10" s="379">
        <f t="shared" ref="V10" si="10">VLOOKUP(O10,Credito,2)</f>
        <v>0</v>
      </c>
      <c r="W10" s="379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6"/>
      <c r="AD10" s="324"/>
    </row>
    <row r="11" spans="1:30" s="270" customFormat="1" ht="193.5" customHeight="1" x14ac:dyDescent="0.2">
      <c r="A11" s="362"/>
      <c r="B11" s="273" t="s">
        <v>319</v>
      </c>
      <c r="C11" s="273" t="s">
        <v>108</v>
      </c>
      <c r="D11" s="368" t="s">
        <v>320</v>
      </c>
      <c r="E11" s="350" t="s">
        <v>321</v>
      </c>
      <c r="F11" s="350" t="s">
        <v>322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9">
        <f t="shared" ref="N11" si="15">IF(K11/15&lt;=SMG,0,L11/2)</f>
        <v>0</v>
      </c>
      <c r="O11" s="379">
        <f t="shared" ref="O11" si="16">(K11+N11)/I11*30.4</f>
        <v>20379.146666666667</v>
      </c>
      <c r="P11" s="379">
        <f t="shared" ref="P11" si="17">VLOOKUP(O11,Tarifa,1)</f>
        <v>17533.650000000001</v>
      </c>
      <c r="Q11" s="379">
        <f t="shared" ref="Q11" si="18">O11-P11</f>
        <v>2845.496666666666</v>
      </c>
      <c r="R11" s="380">
        <f t="shared" ref="R11" si="19">VLOOKUP(O11,Tarifa,3)</f>
        <v>0.21360000000000001</v>
      </c>
      <c r="S11" s="379">
        <f t="shared" ref="S11" si="20">Q11*R11</f>
        <v>607.79808799999989</v>
      </c>
      <c r="T11" s="381">
        <f t="shared" ref="T11" si="21">VLOOKUP(O11,Tarifa,2)</f>
        <v>1856.84</v>
      </c>
      <c r="U11" s="379">
        <f t="shared" ref="U11" si="22">S11+T11</f>
        <v>2464.6380879999997</v>
      </c>
      <c r="V11" s="379">
        <f t="shared" ref="V11" si="23">VLOOKUP(O11,Credito,2)</f>
        <v>0</v>
      </c>
      <c r="W11" s="379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6"/>
      <c r="AD11" s="324"/>
    </row>
    <row r="12" spans="1:30" s="270" customFormat="1" ht="193.5" customHeight="1" x14ac:dyDescent="0.2">
      <c r="A12" s="362"/>
      <c r="B12" s="273" t="s">
        <v>323</v>
      </c>
      <c r="C12" s="273" t="s">
        <v>108</v>
      </c>
      <c r="D12" s="368" t="s">
        <v>466</v>
      </c>
      <c r="E12" s="350" t="s">
        <v>324</v>
      </c>
      <c r="F12" s="268" t="s">
        <v>325</v>
      </c>
      <c r="G12" s="314">
        <v>45367</v>
      </c>
      <c r="H12" s="261" t="s">
        <v>233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6"/>
      <c r="AD12" s="324"/>
    </row>
    <row r="13" spans="1:30" s="270" customFormat="1" ht="193.5" customHeight="1" x14ac:dyDescent="0.2">
      <c r="A13" s="362"/>
      <c r="B13" s="273" t="s">
        <v>329</v>
      </c>
      <c r="C13" s="273" t="s">
        <v>108</v>
      </c>
      <c r="D13" s="368" t="s">
        <v>465</v>
      </c>
      <c r="E13" s="350" t="s">
        <v>330</v>
      </c>
      <c r="F13" s="268" t="s">
        <v>331</v>
      </c>
      <c r="G13" s="314">
        <v>45367</v>
      </c>
      <c r="H13" s="261" t="s">
        <v>233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6"/>
      <c r="AD13" s="324"/>
    </row>
    <row r="14" spans="1:30" s="270" customFormat="1" ht="193.5" customHeight="1" x14ac:dyDescent="0.2">
      <c r="A14" s="362"/>
      <c r="B14" s="273" t="s">
        <v>98</v>
      </c>
      <c r="C14" s="273" t="s">
        <v>108</v>
      </c>
      <c r="D14" s="365" t="s">
        <v>80</v>
      </c>
      <c r="E14" s="268" t="s">
        <v>106</v>
      </c>
      <c r="F14" s="268" t="s">
        <v>210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6"/>
      <c r="AD14" s="324"/>
    </row>
    <row r="15" spans="1:30" s="270" customFormat="1" ht="200.25" customHeight="1" x14ac:dyDescent="0.2">
      <c r="A15" s="362"/>
      <c r="B15" s="273" t="s">
        <v>271</v>
      </c>
      <c r="C15" s="273" t="s">
        <v>108</v>
      </c>
      <c r="D15" s="368" t="s">
        <v>272</v>
      </c>
      <c r="E15" s="350" t="s">
        <v>273</v>
      </c>
      <c r="F15" s="268" t="s">
        <v>274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6"/>
      <c r="AD15" s="324"/>
    </row>
    <row r="16" spans="1:30" ht="203.25" customHeight="1" x14ac:dyDescent="0.25">
      <c r="A16" s="146"/>
      <c r="B16" s="273" t="s">
        <v>326</v>
      </c>
      <c r="C16" s="273" t="s">
        <v>108</v>
      </c>
      <c r="D16" s="368" t="s">
        <v>467</v>
      </c>
      <c r="E16" s="350" t="s">
        <v>327</v>
      </c>
      <c r="F16" s="268" t="s">
        <v>328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493" t="s">
        <v>340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494"/>
      <c r="AD17" s="4"/>
    </row>
    <row r="18" spans="1:30" ht="23.25" customHeight="1" x14ac:dyDescent="0.25">
      <c r="A18" s="146"/>
      <c r="B18" s="493" t="s">
        <v>341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4"/>
      <c r="Z18" s="494"/>
      <c r="AA18" s="494"/>
      <c r="AB18" s="494"/>
      <c r="AC18" s="494"/>
      <c r="AD18" s="4"/>
    </row>
    <row r="19" spans="1:30" ht="23.25" customHeight="1" x14ac:dyDescent="0.25">
      <c r="A19" s="146"/>
      <c r="B19" s="492" t="str">
        <f>PRESIDENCIA!A3</f>
        <v>SUELDO  DEL 01 AL 15 DE FEBRERO DE 2026</v>
      </c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"/>
    </row>
    <row r="20" spans="1:30" ht="20.25" customHeight="1" x14ac:dyDescent="0.25">
      <c r="A20" s="146"/>
      <c r="B20" s="495"/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496"/>
      <c r="T20" s="496"/>
      <c r="U20" s="496"/>
      <c r="V20" s="496"/>
      <c r="W20" s="496"/>
      <c r="X20" s="496"/>
      <c r="Y20" s="496"/>
      <c r="Z20" s="496"/>
      <c r="AA20" s="496"/>
      <c r="AB20" s="496"/>
      <c r="AC20" s="496"/>
      <c r="AD20" s="4"/>
    </row>
    <row r="21" spans="1:30" s="367" customFormat="1" ht="201.75" customHeight="1" x14ac:dyDescent="0.2">
      <c r="A21" s="362"/>
      <c r="B21" s="273" t="s">
        <v>298</v>
      </c>
      <c r="C21" s="273" t="s">
        <v>108</v>
      </c>
      <c r="D21" s="368" t="s">
        <v>299</v>
      </c>
      <c r="E21" s="350" t="s">
        <v>305</v>
      </c>
      <c r="F21" s="268" t="s">
        <v>300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7" customFormat="1" ht="201.75" customHeight="1" x14ac:dyDescent="0.2">
      <c r="A22" s="362"/>
      <c r="B22" s="273" t="s">
        <v>310</v>
      </c>
      <c r="C22" s="273" t="s">
        <v>108</v>
      </c>
      <c r="D22" s="368" t="s">
        <v>313</v>
      </c>
      <c r="E22" s="350" t="s">
        <v>311</v>
      </c>
      <c r="F22" s="268" t="s">
        <v>312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7" customFormat="1" ht="201.75" customHeight="1" x14ac:dyDescent="0.2">
      <c r="A23" s="362"/>
      <c r="B23" s="273" t="s">
        <v>336</v>
      </c>
      <c r="C23" s="273" t="s">
        <v>108</v>
      </c>
      <c r="D23" s="368" t="s">
        <v>337</v>
      </c>
      <c r="E23" s="350" t="s">
        <v>338</v>
      </c>
      <c r="F23" s="268" t="s">
        <v>339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7" customFormat="1" ht="201.75" customHeight="1" x14ac:dyDescent="0.2">
      <c r="A24" s="362"/>
      <c r="B24" s="273" t="s">
        <v>342</v>
      </c>
      <c r="C24" s="273" t="s">
        <v>108</v>
      </c>
      <c r="D24" s="368" t="s">
        <v>343</v>
      </c>
      <c r="E24" s="350" t="s">
        <v>349</v>
      </c>
      <c r="F24" s="268" t="s">
        <v>344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7" customFormat="1" ht="201.75" customHeight="1" x14ac:dyDescent="0.2">
      <c r="A25" s="362"/>
      <c r="B25" s="273" t="s">
        <v>366</v>
      </c>
      <c r="C25" s="273" t="s">
        <v>108</v>
      </c>
      <c r="D25" s="368" t="s">
        <v>367</v>
      </c>
      <c r="E25" s="350" t="s">
        <v>368</v>
      </c>
      <c r="F25" s="268" t="s">
        <v>369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7" customFormat="1" ht="201.75" customHeight="1" x14ac:dyDescent="0.2">
      <c r="A26" s="362"/>
      <c r="B26" s="273" t="s">
        <v>520</v>
      </c>
      <c r="C26" s="273" t="s">
        <v>108</v>
      </c>
      <c r="D26" s="368" t="s">
        <v>514</v>
      </c>
      <c r="E26" s="350" t="s">
        <v>526</v>
      </c>
      <c r="F26" s="268" t="s">
        <v>515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7" customFormat="1" ht="183" customHeight="1" x14ac:dyDescent="0.2">
      <c r="A27" s="362"/>
      <c r="B27" s="273" t="s">
        <v>521</v>
      </c>
      <c r="C27" s="273" t="s">
        <v>108</v>
      </c>
      <c r="D27" s="368" t="s">
        <v>516</v>
      </c>
      <c r="E27" s="350" t="s">
        <v>517</v>
      </c>
      <c r="F27" s="268" t="s">
        <v>518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7" customFormat="1" ht="181.5" customHeight="1" x14ac:dyDescent="0.2">
      <c r="A28" s="362"/>
      <c r="B28" s="273" t="s">
        <v>524</v>
      </c>
      <c r="C28" s="273" t="s">
        <v>108</v>
      </c>
      <c r="D28" s="368" t="s">
        <v>525</v>
      </c>
      <c r="E28" s="350" t="s">
        <v>522</v>
      </c>
      <c r="F28" s="268" t="s">
        <v>523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7" customFormat="1" ht="78" customHeight="1" x14ac:dyDescent="0.25">
      <c r="A29" s="362"/>
      <c r="B29" s="493" t="s">
        <v>340</v>
      </c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4"/>
      <c r="AC29" s="494"/>
      <c r="AD29" s="324"/>
    </row>
    <row r="30" spans="1:30" s="367" customFormat="1" ht="32.25" customHeight="1" x14ac:dyDescent="0.25">
      <c r="A30" s="362"/>
      <c r="B30" s="493" t="s">
        <v>341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4"/>
      <c r="AA30" s="494"/>
      <c r="AB30" s="494"/>
      <c r="AC30" s="494"/>
      <c r="AD30" s="324"/>
    </row>
    <row r="31" spans="1:30" s="415" customFormat="1" ht="32.25" customHeight="1" x14ac:dyDescent="0.2">
      <c r="A31" s="414"/>
      <c r="B31" s="500" t="str">
        <f>B19</f>
        <v>SUELDO  DEL 01 AL 15 DE FEBRERO DE 2026</v>
      </c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0"/>
      <c r="W31" s="500"/>
      <c r="X31" s="500"/>
      <c r="Y31" s="500"/>
      <c r="Z31" s="500"/>
      <c r="AA31" s="500"/>
      <c r="AB31" s="500"/>
      <c r="AC31" s="500"/>
    </row>
    <row r="32" spans="1:30" s="415" customFormat="1" ht="32.25" customHeight="1" x14ac:dyDescent="0.2">
      <c r="A32" s="414"/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</row>
    <row r="33" spans="1:30" s="367" customFormat="1" ht="195" customHeight="1" x14ac:dyDescent="0.2">
      <c r="A33" s="362"/>
      <c r="B33" s="326" t="s">
        <v>590</v>
      </c>
      <c r="C33" s="326" t="s">
        <v>108</v>
      </c>
      <c r="D33" s="405" t="s">
        <v>591</v>
      </c>
      <c r="E33" s="406" t="s">
        <v>592</v>
      </c>
      <c r="F33" s="407" t="s">
        <v>593</v>
      </c>
      <c r="G33" s="408">
        <v>45884</v>
      </c>
      <c r="H33" s="330" t="s">
        <v>78</v>
      </c>
      <c r="I33" s="409">
        <v>15</v>
      </c>
      <c r="J33" s="409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10">
        <f t="shared" ref="N33" si="97">IF(K33/15&lt;=SMG,0,L33/2)</f>
        <v>0</v>
      </c>
      <c r="O33" s="411">
        <f t="shared" ref="O33" si="98">(K33+N33)/I33*30.4</f>
        <v>16881.12</v>
      </c>
      <c r="P33" s="411">
        <f t="shared" ref="P33" si="99">VLOOKUP(O33,Tarifa,1)</f>
        <v>14644.65</v>
      </c>
      <c r="Q33" s="410">
        <f t="shared" ref="Q33" si="100">O33-P33</f>
        <v>2236.4699999999993</v>
      </c>
      <c r="R33" s="412">
        <f t="shared" ref="R33" si="101">VLOOKUP(O33,Tarifa,3)</f>
        <v>0.1792</v>
      </c>
      <c r="S33" s="410">
        <f t="shared" ref="S33" si="102">Q33*R33</f>
        <v>400.77542399999987</v>
      </c>
      <c r="T33" s="413">
        <f t="shared" ref="T33" si="103">VLOOKUP(O33,Tarifa,2)</f>
        <v>1339.14</v>
      </c>
      <c r="U33" s="410">
        <f t="shared" ref="U33" si="104">S33+T33</f>
        <v>1739.915424</v>
      </c>
      <c r="V33" s="410">
        <f t="shared" ref="V33" si="105">VLOOKUP(O33,Credito,2)</f>
        <v>0</v>
      </c>
      <c r="W33" s="410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7" customFormat="1" ht="195" customHeight="1" x14ac:dyDescent="0.2">
      <c r="A34" s="362"/>
      <c r="B34" s="273" t="s">
        <v>598</v>
      </c>
      <c r="C34" s="273" t="s">
        <v>108</v>
      </c>
      <c r="D34" s="368" t="s">
        <v>608</v>
      </c>
      <c r="E34" s="350" t="s">
        <v>599</v>
      </c>
      <c r="F34" s="268" t="s">
        <v>600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7" customFormat="1" ht="195" customHeight="1" x14ac:dyDescent="0.2">
      <c r="A35" s="362"/>
      <c r="B35" s="273" t="s">
        <v>610</v>
      </c>
      <c r="C35" s="273" t="s">
        <v>108</v>
      </c>
      <c r="D35" s="368" t="s">
        <v>611</v>
      </c>
      <c r="E35" s="350" t="s">
        <v>612</v>
      </c>
      <c r="F35" s="268" t="s">
        <v>613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7" customFormat="1" ht="195" customHeight="1" x14ac:dyDescent="0.2">
      <c r="A36" s="362"/>
      <c r="B36" s="273" t="s">
        <v>614</v>
      </c>
      <c r="C36" s="273" t="s">
        <v>108</v>
      </c>
      <c r="D36" s="368" t="s">
        <v>615</v>
      </c>
      <c r="E36" s="350" t="s">
        <v>617</v>
      </c>
      <c r="F36" s="268" t="s">
        <v>616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7" customFormat="1" ht="195" customHeight="1" x14ac:dyDescent="0.2">
      <c r="A37" s="362"/>
      <c r="B37" s="273" t="s">
        <v>644</v>
      </c>
      <c r="C37" s="273" t="s">
        <v>108</v>
      </c>
      <c r="D37" s="368" t="s">
        <v>645</v>
      </c>
      <c r="E37" s="350" t="s">
        <v>646</v>
      </c>
      <c r="F37" s="268" t="s">
        <v>647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38" t="s">
        <v>44</v>
      </c>
      <c r="B38" s="439"/>
      <c r="C38" s="439"/>
      <c r="D38" s="439"/>
      <c r="E38" s="439"/>
      <c r="F38" s="439"/>
      <c r="G38" s="439"/>
      <c r="H38" s="439"/>
      <c r="I38" s="439"/>
      <c r="J38" s="364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454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630</v>
      </c>
      <c r="AA58" s="108"/>
      <c r="AB58" s="108"/>
      <c r="AC58" s="108"/>
    </row>
    <row r="59" spans="4:42" ht="18" x14ac:dyDescent="0.25">
      <c r="D59" s="203" t="s">
        <v>469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200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F1" zoomScale="73" zoomScaleNormal="73" workbookViewId="0">
      <selection activeCell="AE12" sqref="AE12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52" t="s">
        <v>75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8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5" x14ac:dyDescent="0.25">
      <c r="A3" s="442" t="str">
        <f>CHOFERES!A3</f>
        <v>SUELDO  DEL 01 AL 15 DE FEBRERO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1" t="s">
        <v>1</v>
      </c>
      <c r="L5" s="502"/>
      <c r="M5" s="503"/>
      <c r="N5" s="70" t="s">
        <v>25</v>
      </c>
      <c r="O5" s="71"/>
      <c r="P5" s="504" t="s">
        <v>8</v>
      </c>
      <c r="Q5" s="505"/>
      <c r="R5" s="505"/>
      <c r="S5" s="505"/>
      <c r="T5" s="505"/>
      <c r="U5" s="506"/>
      <c r="V5" s="70" t="s">
        <v>29</v>
      </c>
      <c r="W5" s="70" t="s">
        <v>9</v>
      </c>
      <c r="X5" s="69" t="s">
        <v>52</v>
      </c>
      <c r="Y5" s="507" t="s">
        <v>2</v>
      </c>
      <c r="Z5" s="508"/>
      <c r="AA5" s="509"/>
      <c r="AB5" s="69" t="s">
        <v>0</v>
      </c>
      <c r="AC5" s="72"/>
    </row>
    <row r="6" spans="1:29" ht="22.5" x14ac:dyDescent="0.2">
      <c r="A6" s="73" t="s">
        <v>20</v>
      </c>
      <c r="B6" s="74" t="s">
        <v>93</v>
      </c>
      <c r="C6" s="74" t="s">
        <v>109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249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125</v>
      </c>
      <c r="E8" s="36" t="s">
        <v>94</v>
      </c>
      <c r="F8" s="36" t="s">
        <v>206</v>
      </c>
      <c r="G8" s="98" t="s">
        <v>254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497</v>
      </c>
      <c r="C9" s="257" t="s">
        <v>108</v>
      </c>
      <c r="D9" s="365" t="s">
        <v>493</v>
      </c>
      <c r="E9" s="350" t="s">
        <v>494</v>
      </c>
      <c r="F9" s="350" t="s">
        <v>495</v>
      </c>
      <c r="G9" s="370">
        <v>45658</v>
      </c>
      <c r="H9" s="369" t="s">
        <v>460</v>
      </c>
      <c r="I9" s="341">
        <v>15</v>
      </c>
      <c r="J9" s="341">
        <f t="shared" ref="J9:J16" si="0">K9/I9</f>
        <v>797.83333333333337</v>
      </c>
      <c r="K9" s="264">
        <v>11967.5</v>
      </c>
      <c r="L9" s="265">
        <v>0</v>
      </c>
      <c r="M9" s="266">
        <f t="shared" ref="M9:M10" si="1">SUM(K9:L9)</f>
        <v>11967.5</v>
      </c>
      <c r="N9" s="379">
        <f t="shared" ref="N9:N16" si="2">IF(K9/15&lt;=SMG,0,L9/2)</f>
        <v>0</v>
      </c>
      <c r="O9" s="379">
        <f t="shared" ref="O9:O16" si="3">(K9+N9)/I9*30.4</f>
        <v>24254.133333333335</v>
      </c>
      <c r="P9" s="379">
        <f t="shared" ref="P9:P16" si="4">VLOOKUP(O9,Tarifa,1)</f>
        <v>17533.650000000001</v>
      </c>
      <c r="Q9" s="379">
        <f t="shared" ref="Q9:Q16" si="5">O9-P9</f>
        <v>6720.4833333333336</v>
      </c>
      <c r="R9" s="380">
        <f t="shared" ref="R9:R16" si="6">VLOOKUP(O9,Tarifa,3)</f>
        <v>0.21360000000000001</v>
      </c>
      <c r="S9" s="379">
        <f t="shared" ref="S9:S16" si="7">Q9*R9</f>
        <v>1435.4952400000002</v>
      </c>
      <c r="T9" s="381">
        <f t="shared" ref="T9:T16" si="8">VLOOKUP(O9,Tarifa,2)</f>
        <v>1856.84</v>
      </c>
      <c r="U9" s="379">
        <f t="shared" ref="U9:U16" si="9">S9+T9</f>
        <v>3292.3352400000003</v>
      </c>
      <c r="V9" s="379">
        <f t="shared" ref="V9:V16" si="10">VLOOKUP(O9,Credito,2)</f>
        <v>0</v>
      </c>
      <c r="W9" s="379">
        <f t="shared" ref="W9:W16" si="11">ROUND((U9-V9)/30.4*I9,2)</f>
        <v>1624.51</v>
      </c>
      <c r="X9" s="266">
        <f>-IF(W9&gt;0,0,0)</f>
        <v>0</v>
      </c>
      <c r="Y9" s="266">
        <f t="shared" ref="Y9:Y10" si="12">IF(K9/15&lt;=SMG,0,IF(W9&lt;0,0,W9))</f>
        <v>1624.51</v>
      </c>
      <c r="Z9" s="267">
        <v>0</v>
      </c>
      <c r="AA9" s="266">
        <f t="shared" ref="AA9:AA10" si="13">SUM(Y9:Z9)</f>
        <v>1624.51</v>
      </c>
      <c r="AB9" s="266">
        <f t="shared" ref="AB9:AB10" si="14">M9+X9-AA9</f>
        <v>10342.99</v>
      </c>
      <c r="AC9" s="268"/>
    </row>
    <row r="10" spans="1:29" s="270" customFormat="1" ht="117" customHeight="1" x14ac:dyDescent="0.2">
      <c r="A10" s="255"/>
      <c r="B10" s="257" t="s">
        <v>594</v>
      </c>
      <c r="C10" s="257" t="s">
        <v>108</v>
      </c>
      <c r="D10" s="365" t="s">
        <v>595</v>
      </c>
      <c r="E10" s="350" t="s">
        <v>596</v>
      </c>
      <c r="F10" s="350" t="s">
        <v>597</v>
      </c>
      <c r="G10" s="370">
        <v>45885</v>
      </c>
      <c r="H10" s="369" t="s">
        <v>460</v>
      </c>
      <c r="I10" s="341">
        <v>15</v>
      </c>
      <c r="J10" s="341">
        <f t="shared" ref="J10" si="15">K10/I10</f>
        <v>695.5</v>
      </c>
      <c r="K10" s="264">
        <v>10432.5</v>
      </c>
      <c r="L10" s="265">
        <v>0</v>
      </c>
      <c r="M10" s="266">
        <f t="shared" si="1"/>
        <v>10432.5</v>
      </c>
      <c r="N10" s="379">
        <f t="shared" ref="N10" si="16">IF(K10/15&lt;=SMG,0,L10/2)</f>
        <v>0</v>
      </c>
      <c r="O10" s="379">
        <f t="shared" ref="O10" si="17">(K10+N10)/I10*30.4</f>
        <v>21143.200000000001</v>
      </c>
      <c r="P10" s="379">
        <f t="shared" ref="P10" si="18">VLOOKUP(O10,Tarifa,1)</f>
        <v>17533.650000000001</v>
      </c>
      <c r="Q10" s="379">
        <f t="shared" ref="Q10" si="19">O10-P10</f>
        <v>3609.5499999999993</v>
      </c>
      <c r="R10" s="380">
        <f t="shared" ref="R10" si="20">VLOOKUP(O10,Tarifa,3)</f>
        <v>0.21360000000000001</v>
      </c>
      <c r="S10" s="379">
        <f t="shared" ref="S10" si="21">Q10*R10</f>
        <v>770.99987999999985</v>
      </c>
      <c r="T10" s="381">
        <f t="shared" ref="T10" si="22">VLOOKUP(O10,Tarifa,2)</f>
        <v>1856.84</v>
      </c>
      <c r="U10" s="379">
        <f t="shared" ref="U10" si="23">S10+T10</f>
        <v>2627.8398799999995</v>
      </c>
      <c r="V10" s="379">
        <f t="shared" ref="V10" si="24">VLOOKUP(O10,Credito,2)</f>
        <v>0</v>
      </c>
      <c r="W10" s="379">
        <f t="shared" ref="W10" si="25">ROUND((U10-V10)/30.4*I10,2)</f>
        <v>1296.6300000000001</v>
      </c>
      <c r="X10" s="266">
        <f>-IF(W10&gt;0,0,0)</f>
        <v>0</v>
      </c>
      <c r="Y10" s="266">
        <f t="shared" si="12"/>
        <v>1296.6300000000001</v>
      </c>
      <c r="Z10" s="267">
        <v>0</v>
      </c>
      <c r="AA10" s="266">
        <f t="shared" si="13"/>
        <v>1296.6300000000001</v>
      </c>
      <c r="AB10" s="266">
        <f t="shared" si="14"/>
        <v>9135.869999999999</v>
      </c>
      <c r="AC10" s="268"/>
    </row>
    <row r="11" spans="1:29" s="270" customFormat="1" ht="117" customHeight="1" x14ac:dyDescent="0.2">
      <c r="A11" s="255"/>
      <c r="B11" s="257" t="s">
        <v>172</v>
      </c>
      <c r="C11" s="257" t="s">
        <v>108</v>
      </c>
      <c r="D11" s="365" t="s">
        <v>170</v>
      </c>
      <c r="E11" s="350" t="s">
        <v>171</v>
      </c>
      <c r="F11" s="350" t="s">
        <v>229</v>
      </c>
      <c r="G11" s="370">
        <v>43998</v>
      </c>
      <c r="H11" s="259" t="s">
        <v>123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" si="26">SUM(K11:L11)</f>
        <v>6302</v>
      </c>
      <c r="N11" s="379">
        <f t="shared" si="2"/>
        <v>0</v>
      </c>
      <c r="O11" s="379">
        <f t="shared" si="3"/>
        <v>12772.053333333333</v>
      </c>
      <c r="P11" s="379">
        <f t="shared" si="4"/>
        <v>12598.03</v>
      </c>
      <c r="Q11" s="379">
        <f t="shared" si="5"/>
        <v>174.02333333333263</v>
      </c>
      <c r="R11" s="380">
        <f t="shared" si="6"/>
        <v>0.16</v>
      </c>
      <c r="S11" s="379">
        <f t="shared" si="7"/>
        <v>27.843733333333223</v>
      </c>
      <c r="T11" s="381">
        <f t="shared" si="8"/>
        <v>1011.68</v>
      </c>
      <c r="U11" s="379">
        <f t="shared" si="9"/>
        <v>1039.5237333333332</v>
      </c>
      <c r="V11" s="379">
        <f t="shared" si="10"/>
        <v>0</v>
      </c>
      <c r="W11" s="379">
        <f t="shared" si="11"/>
        <v>512.91999999999996</v>
      </c>
      <c r="X11" s="266">
        <f t="shared" ref="X11" si="27">-IF(W11&gt;0,0,0)</f>
        <v>0</v>
      </c>
      <c r="Y11" s="266">
        <f t="shared" ref="Y11" si="28">IF(K11/15&lt;=SMG,0,IF(W11&lt;0,0,W11))</f>
        <v>512.91999999999996</v>
      </c>
      <c r="Z11" s="267">
        <v>0</v>
      </c>
      <c r="AA11" s="266">
        <f t="shared" ref="AA11" si="29">SUM(Y11:Z11)</f>
        <v>512.91999999999996</v>
      </c>
      <c r="AB11" s="266">
        <f t="shared" ref="AB11" si="30">M11+X11-AA11</f>
        <v>5789.08</v>
      </c>
      <c r="AC11" s="278"/>
    </row>
    <row r="12" spans="1:29" s="270" customFormat="1" ht="117" customHeight="1" x14ac:dyDescent="0.2">
      <c r="A12" s="255"/>
      <c r="B12" s="257" t="s">
        <v>359</v>
      </c>
      <c r="C12" s="257" t="s">
        <v>108</v>
      </c>
      <c r="D12" s="365" t="s">
        <v>360</v>
      </c>
      <c r="E12" s="350" t="s">
        <v>361</v>
      </c>
      <c r="F12" s="350" t="s">
        <v>362</v>
      </c>
      <c r="G12" s="370">
        <v>45481</v>
      </c>
      <c r="H12" s="259" t="s">
        <v>123</v>
      </c>
      <c r="I12" s="341">
        <v>15</v>
      </c>
      <c r="J12" s="341">
        <f t="shared" si="0"/>
        <v>420.13333333333333</v>
      </c>
      <c r="K12" s="264">
        <v>6302</v>
      </c>
      <c r="L12" s="265">
        <v>0</v>
      </c>
      <c r="M12" s="266">
        <f t="shared" ref="M12:M14" si="31">SUM(K12:L12)</f>
        <v>6302</v>
      </c>
      <c r="N12" s="379">
        <f t="shared" si="2"/>
        <v>0</v>
      </c>
      <c r="O12" s="379">
        <f t="shared" si="3"/>
        <v>12772.053333333333</v>
      </c>
      <c r="P12" s="379">
        <f t="shared" si="4"/>
        <v>12598.03</v>
      </c>
      <c r="Q12" s="379">
        <f t="shared" si="5"/>
        <v>174.02333333333263</v>
      </c>
      <c r="R12" s="380">
        <f t="shared" si="6"/>
        <v>0.16</v>
      </c>
      <c r="S12" s="379">
        <f t="shared" si="7"/>
        <v>27.843733333333223</v>
      </c>
      <c r="T12" s="381">
        <f t="shared" si="8"/>
        <v>1011.68</v>
      </c>
      <c r="U12" s="379">
        <f t="shared" si="9"/>
        <v>1039.5237333333332</v>
      </c>
      <c r="V12" s="379">
        <f t="shared" si="10"/>
        <v>0</v>
      </c>
      <c r="W12" s="379">
        <f t="shared" si="11"/>
        <v>512.91999999999996</v>
      </c>
      <c r="X12" s="266">
        <f t="shared" ref="X12:X14" si="32">-IF(W12&gt;0,0,0)</f>
        <v>0</v>
      </c>
      <c r="Y12" s="266">
        <f t="shared" ref="Y12:Y14" si="33">IF(K12/15&lt;=SMG,0,IF(W12&lt;0,0,W12))</f>
        <v>512.91999999999996</v>
      </c>
      <c r="Z12" s="267">
        <v>0</v>
      </c>
      <c r="AA12" s="266">
        <f t="shared" ref="AA12:AA14" si="34">SUM(Y12:Z12)</f>
        <v>512.91999999999996</v>
      </c>
      <c r="AB12" s="266">
        <f t="shared" ref="AB12:AB14" si="35">M12+X12-AA12</f>
        <v>5789.08</v>
      </c>
      <c r="AC12" s="278"/>
    </row>
    <row r="13" spans="1:29" s="270" customFormat="1" ht="117" customHeight="1" x14ac:dyDescent="0.2">
      <c r="A13" s="255"/>
      <c r="B13" s="257" t="s">
        <v>575</v>
      </c>
      <c r="C13" s="257" t="s">
        <v>108</v>
      </c>
      <c r="D13" s="365" t="s">
        <v>576</v>
      </c>
      <c r="E13" s="350" t="s">
        <v>577</v>
      </c>
      <c r="F13" s="350" t="s">
        <v>578</v>
      </c>
      <c r="G13" s="370">
        <v>45854</v>
      </c>
      <c r="H13" s="259" t="s">
        <v>123</v>
      </c>
      <c r="I13" s="341">
        <v>15</v>
      </c>
      <c r="J13" s="341">
        <f t="shared" ref="J13" si="36">K13/I13</f>
        <v>420.13333333333333</v>
      </c>
      <c r="K13" s="264">
        <v>6302</v>
      </c>
      <c r="L13" s="265">
        <v>0</v>
      </c>
      <c r="M13" s="266">
        <f t="shared" ref="M13" si="37">SUM(K13:L13)</f>
        <v>6302</v>
      </c>
      <c r="N13" s="379">
        <f t="shared" ref="N13" si="38">IF(K13/15&lt;=SMG,0,L13/2)</f>
        <v>0</v>
      </c>
      <c r="O13" s="379">
        <f t="shared" ref="O13" si="39">(K13+N13)/I13*30.4</f>
        <v>12772.053333333333</v>
      </c>
      <c r="P13" s="379">
        <f t="shared" ref="P13" si="40">VLOOKUP(O13,Tarifa,1)</f>
        <v>12598.03</v>
      </c>
      <c r="Q13" s="379">
        <f t="shared" ref="Q13" si="41">O13-P13</f>
        <v>174.02333333333263</v>
      </c>
      <c r="R13" s="380">
        <f t="shared" ref="R13" si="42">VLOOKUP(O13,Tarifa,3)</f>
        <v>0.16</v>
      </c>
      <c r="S13" s="379">
        <f t="shared" ref="S13" si="43">Q13*R13</f>
        <v>27.843733333333223</v>
      </c>
      <c r="T13" s="381">
        <f t="shared" ref="T13" si="44">VLOOKUP(O13,Tarifa,2)</f>
        <v>1011.68</v>
      </c>
      <c r="U13" s="379">
        <f t="shared" ref="U13" si="45">S13+T13</f>
        <v>1039.5237333333332</v>
      </c>
      <c r="V13" s="379">
        <f t="shared" ref="V13" si="46">VLOOKUP(O13,Credito,2)</f>
        <v>0</v>
      </c>
      <c r="W13" s="379">
        <f t="shared" ref="W13" si="47">ROUND((U13-V13)/30.4*I13,2)</f>
        <v>512.91999999999996</v>
      </c>
      <c r="X13" s="266">
        <f t="shared" ref="X13" si="48">-IF(W13&gt;0,0,0)</f>
        <v>0</v>
      </c>
      <c r="Y13" s="266">
        <f t="shared" ref="Y13" si="49">IF(K13/15&lt;=SMG,0,IF(W13&lt;0,0,W13))</f>
        <v>512.91999999999996</v>
      </c>
      <c r="Z13" s="267">
        <v>0</v>
      </c>
      <c r="AA13" s="266">
        <f t="shared" ref="AA13" si="50">SUM(Y13:Z13)</f>
        <v>512.91999999999996</v>
      </c>
      <c r="AB13" s="266">
        <f t="shared" ref="AB13" si="51">M13+X13-AA13</f>
        <v>5789.08</v>
      </c>
      <c r="AC13" s="278"/>
    </row>
    <row r="14" spans="1:29" s="270" customFormat="1" ht="117" customHeight="1" x14ac:dyDescent="0.2">
      <c r="A14" s="255"/>
      <c r="B14" s="257" t="s">
        <v>126</v>
      </c>
      <c r="C14" s="257" t="s">
        <v>108</v>
      </c>
      <c r="D14" s="365" t="s">
        <v>122</v>
      </c>
      <c r="E14" s="350" t="s">
        <v>127</v>
      </c>
      <c r="F14" s="350" t="s">
        <v>214</v>
      </c>
      <c r="G14" s="370">
        <v>43101</v>
      </c>
      <c r="H14" s="276" t="s">
        <v>124</v>
      </c>
      <c r="I14" s="341">
        <v>15</v>
      </c>
      <c r="J14" s="341">
        <f t="shared" si="0"/>
        <v>377.73333333333335</v>
      </c>
      <c r="K14" s="264">
        <v>5666</v>
      </c>
      <c r="L14" s="265">
        <v>0</v>
      </c>
      <c r="M14" s="266">
        <f t="shared" si="31"/>
        <v>5666</v>
      </c>
      <c r="N14" s="379">
        <f t="shared" si="2"/>
        <v>0</v>
      </c>
      <c r="O14" s="379">
        <f t="shared" si="3"/>
        <v>11483.093333333334</v>
      </c>
      <c r="P14" s="379">
        <f t="shared" si="4"/>
        <v>7168.52</v>
      </c>
      <c r="Q14" s="379">
        <f t="shared" si="5"/>
        <v>4314.5733333333337</v>
      </c>
      <c r="R14" s="380">
        <f t="shared" si="6"/>
        <v>0.10879999999999999</v>
      </c>
      <c r="S14" s="379">
        <f t="shared" si="7"/>
        <v>469.42557866666669</v>
      </c>
      <c r="T14" s="381">
        <f t="shared" si="8"/>
        <v>420.95</v>
      </c>
      <c r="U14" s="379">
        <f t="shared" si="9"/>
        <v>890.37557866666668</v>
      </c>
      <c r="V14" s="379">
        <f t="shared" si="10"/>
        <v>535.65</v>
      </c>
      <c r="W14" s="379">
        <f t="shared" si="11"/>
        <v>175.03</v>
      </c>
      <c r="X14" s="266">
        <f t="shared" si="32"/>
        <v>0</v>
      </c>
      <c r="Y14" s="266">
        <f t="shared" si="33"/>
        <v>175.03</v>
      </c>
      <c r="Z14" s="267">
        <v>0</v>
      </c>
      <c r="AA14" s="266">
        <f t="shared" si="34"/>
        <v>175.03</v>
      </c>
      <c r="AB14" s="266">
        <f t="shared" si="35"/>
        <v>5490.97</v>
      </c>
      <c r="AC14" s="278"/>
    </row>
    <row r="15" spans="1:29" s="270" customFormat="1" ht="117" customHeight="1" x14ac:dyDescent="0.2">
      <c r="A15" s="255"/>
      <c r="B15" s="371">
        <v>328</v>
      </c>
      <c r="C15" s="257" t="s">
        <v>108</v>
      </c>
      <c r="D15" s="252" t="s">
        <v>363</v>
      </c>
      <c r="E15" s="145" t="s">
        <v>364</v>
      </c>
      <c r="F15" s="145" t="s">
        <v>365</v>
      </c>
      <c r="G15" s="370">
        <v>45505</v>
      </c>
      <c r="H15" s="276" t="s">
        <v>124</v>
      </c>
      <c r="I15" s="341">
        <v>15</v>
      </c>
      <c r="J15" s="341">
        <f t="shared" si="0"/>
        <v>377.73333333333335</v>
      </c>
      <c r="K15" s="264">
        <v>5666</v>
      </c>
      <c r="L15" s="265">
        <v>0</v>
      </c>
      <c r="M15" s="266">
        <f t="shared" ref="M15" si="52">SUM(K15:L15)</f>
        <v>5666</v>
      </c>
      <c r="N15" s="379">
        <f t="shared" si="2"/>
        <v>0</v>
      </c>
      <c r="O15" s="379">
        <f t="shared" si="3"/>
        <v>11483.093333333334</v>
      </c>
      <c r="P15" s="379">
        <f t="shared" si="4"/>
        <v>7168.52</v>
      </c>
      <c r="Q15" s="379">
        <f t="shared" si="5"/>
        <v>4314.5733333333337</v>
      </c>
      <c r="R15" s="380">
        <f t="shared" si="6"/>
        <v>0.10879999999999999</v>
      </c>
      <c r="S15" s="379">
        <f t="shared" si="7"/>
        <v>469.42557866666669</v>
      </c>
      <c r="T15" s="381">
        <f t="shared" si="8"/>
        <v>420.95</v>
      </c>
      <c r="U15" s="379">
        <f t="shared" si="9"/>
        <v>890.37557866666668</v>
      </c>
      <c r="V15" s="379">
        <f t="shared" si="10"/>
        <v>535.65</v>
      </c>
      <c r="W15" s="379">
        <f t="shared" si="11"/>
        <v>175.03</v>
      </c>
      <c r="X15" s="266">
        <f t="shared" ref="X15" si="53">-IF(W15&gt;0,0,0)</f>
        <v>0</v>
      </c>
      <c r="Y15" s="266">
        <f t="shared" ref="Y15:Y16" si="54">IF(K15/15&lt;=SMG,0,IF(W15&lt;0,0,W15))</f>
        <v>175.03</v>
      </c>
      <c r="Z15" s="267">
        <v>0</v>
      </c>
      <c r="AA15" s="266">
        <f t="shared" ref="AA15" si="55">SUM(Y15:Z15)</f>
        <v>175.03</v>
      </c>
      <c r="AB15" s="266">
        <f t="shared" ref="AB15" si="56">M15+X15-AA15</f>
        <v>5490.97</v>
      </c>
      <c r="AC15" s="278"/>
    </row>
    <row r="16" spans="1:29" s="270" customFormat="1" ht="117" customHeight="1" x14ac:dyDescent="0.2">
      <c r="A16" s="255"/>
      <c r="B16" s="371">
        <v>406</v>
      </c>
      <c r="C16" s="257" t="s">
        <v>452</v>
      </c>
      <c r="D16" s="252" t="s">
        <v>506</v>
      </c>
      <c r="E16" s="145" t="s">
        <v>507</v>
      </c>
      <c r="F16" s="145" t="s">
        <v>508</v>
      </c>
      <c r="G16" s="370">
        <v>45689</v>
      </c>
      <c r="H16" s="276" t="s">
        <v>509</v>
      </c>
      <c r="I16" s="341">
        <v>15</v>
      </c>
      <c r="J16" s="341">
        <f t="shared" si="0"/>
        <v>281.13333333333333</v>
      </c>
      <c r="K16" s="264">
        <v>4217</v>
      </c>
      <c r="L16" s="265">
        <v>0</v>
      </c>
      <c r="M16" s="266">
        <f>SUM(K16:L16)</f>
        <v>4217</v>
      </c>
      <c r="N16" s="379">
        <f t="shared" si="2"/>
        <v>0</v>
      </c>
      <c r="O16" s="379">
        <f t="shared" si="3"/>
        <v>8546.4533333333329</v>
      </c>
      <c r="P16" s="379">
        <f t="shared" si="4"/>
        <v>7168.52</v>
      </c>
      <c r="Q16" s="379">
        <f t="shared" si="5"/>
        <v>1377.9333333333325</v>
      </c>
      <c r="R16" s="380">
        <f t="shared" si="6"/>
        <v>0.10879999999999999</v>
      </c>
      <c r="S16" s="379">
        <f t="shared" si="7"/>
        <v>149.91914666666656</v>
      </c>
      <c r="T16" s="381">
        <f t="shared" si="8"/>
        <v>420.95</v>
      </c>
      <c r="U16" s="379">
        <f t="shared" si="9"/>
        <v>570.86914666666655</v>
      </c>
      <c r="V16" s="379">
        <f t="shared" si="10"/>
        <v>535.65</v>
      </c>
      <c r="W16" s="379">
        <f t="shared" si="11"/>
        <v>17.38</v>
      </c>
      <c r="X16" s="266">
        <f>-IF(W16&gt;0,0,0)</f>
        <v>0</v>
      </c>
      <c r="Y16" s="266">
        <f t="shared" si="54"/>
        <v>0</v>
      </c>
      <c r="Z16" s="267">
        <v>0</v>
      </c>
      <c r="AA16" s="266">
        <f>SUM(Y16:Z16)</f>
        <v>0</v>
      </c>
      <c r="AB16" s="266">
        <f>M16+X16-AA16</f>
        <v>4217</v>
      </c>
      <c r="AC16" s="278"/>
    </row>
    <row r="17" spans="1:41" ht="40.5" customHeight="1" thickBot="1" x14ac:dyDescent="0.3">
      <c r="A17" s="438" t="s">
        <v>44</v>
      </c>
      <c r="B17" s="439"/>
      <c r="C17" s="439"/>
      <c r="D17" s="439"/>
      <c r="E17" s="439"/>
      <c r="F17" s="439"/>
      <c r="G17" s="439"/>
      <c r="H17" s="439"/>
      <c r="I17" s="439"/>
      <c r="J17" s="440"/>
      <c r="K17" s="136">
        <f>SUM(K9:K16)</f>
        <v>56855</v>
      </c>
      <c r="L17" s="136">
        <f>SUM(L9:L16)</f>
        <v>0</v>
      </c>
      <c r="M17" s="136">
        <f>SUM(M9:M16)</f>
        <v>56855</v>
      </c>
      <c r="N17" s="137">
        <f t="shared" ref="N17:W17" si="57">SUM(N9:N16)</f>
        <v>0</v>
      </c>
      <c r="O17" s="137">
        <f t="shared" si="57"/>
        <v>115226.13333333335</v>
      </c>
      <c r="P17" s="137">
        <f t="shared" si="57"/>
        <v>94366.950000000012</v>
      </c>
      <c r="Q17" s="137">
        <f t="shared" si="57"/>
        <v>20859.183333333334</v>
      </c>
      <c r="R17" s="137">
        <f t="shared" si="57"/>
        <v>1.2336</v>
      </c>
      <c r="S17" s="137">
        <f t="shared" si="57"/>
        <v>3378.7966239999996</v>
      </c>
      <c r="T17" s="137">
        <f t="shared" si="57"/>
        <v>8011.57</v>
      </c>
      <c r="U17" s="137">
        <f t="shared" si="57"/>
        <v>11390.366623999998</v>
      </c>
      <c r="V17" s="137">
        <f t="shared" si="57"/>
        <v>1606.9499999999998</v>
      </c>
      <c r="W17" s="137">
        <f t="shared" si="57"/>
        <v>4827.34</v>
      </c>
      <c r="X17" s="136">
        <f>SUM(X9:X16)</f>
        <v>0</v>
      </c>
      <c r="Y17" s="136">
        <f>SUM(Y9:Y16)</f>
        <v>4809.96</v>
      </c>
      <c r="Z17" s="136">
        <f>SUM(Z9:Z16)</f>
        <v>0</v>
      </c>
      <c r="AA17" s="136">
        <f>SUM(AA9:AA16)</f>
        <v>4809.96</v>
      </c>
      <c r="AB17" s="136">
        <f>SUM(AB9:AB16)</f>
        <v>52045.040000000008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454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631</v>
      </c>
      <c r="Z23" s="91"/>
      <c r="AA23" s="91"/>
      <c r="AB23" s="91"/>
    </row>
    <row r="24" spans="1:41" ht="15" x14ac:dyDescent="0.25">
      <c r="D24" s="94" t="s">
        <v>469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199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B13"/>
  <sheetViews>
    <sheetView tabSelected="1" workbookViewId="0">
      <selection activeCell="B13" sqref="B13"/>
    </sheetView>
  </sheetViews>
  <sheetFormatPr baseColWidth="10" defaultRowHeight="12.75" x14ac:dyDescent="0.2"/>
  <sheetData>
    <row r="3" spans="2:2" x14ac:dyDescent="0.2">
      <c r="B3">
        <f>PRESIDENCIA!AB26</f>
        <v>74371.97</v>
      </c>
    </row>
    <row r="4" spans="2:2" x14ac:dyDescent="0.2">
      <c r="B4">
        <f>'CONTRALORIA '!AB14</f>
        <v>29872.549999999996</v>
      </c>
    </row>
    <row r="5" spans="2:2" x14ac:dyDescent="0.2">
      <c r="B5">
        <f>'OBRAS PUBLICAS'!AB35</f>
        <v>108110.26</v>
      </c>
    </row>
    <row r="6" spans="2:2" x14ac:dyDescent="0.2">
      <c r="B6">
        <f>SERV.PBCOS!AB41</f>
        <v>86015</v>
      </c>
    </row>
    <row r="7" spans="2:2" x14ac:dyDescent="0.2">
      <c r="B7">
        <f>PROGRAMAS!AB53</f>
        <v>147325.74</v>
      </c>
    </row>
    <row r="8" spans="2:2" x14ac:dyDescent="0.2">
      <c r="B8">
        <f>HDA.MPAL!AB13</f>
        <v>23667.780000000002</v>
      </c>
    </row>
    <row r="9" spans="2:2" x14ac:dyDescent="0.2">
      <c r="B9">
        <f>'REGIDORES 2'!AB24</f>
        <v>78160.23</v>
      </c>
    </row>
    <row r="10" spans="2:2" x14ac:dyDescent="0.2">
      <c r="B10">
        <f>SINDICO!AA11</f>
        <v>17057.400000000001</v>
      </c>
    </row>
    <row r="11" spans="2:2" x14ac:dyDescent="0.2">
      <c r="B11">
        <f>CHOFERES!AC24</f>
        <v>39551.730000000003</v>
      </c>
    </row>
    <row r="12" spans="2:2" x14ac:dyDescent="0.2">
      <c r="B12">
        <f>SERV.MEDICOS!AB17</f>
        <v>52045.040000000008</v>
      </c>
    </row>
    <row r="13" spans="2:2" x14ac:dyDescent="0.2">
      <c r="B13">
        <f>SUM(B3:B12)</f>
        <v>656177.70000000007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5" activePane="bottomLeft" state="frozen"/>
      <selection activeCell="B1" sqref="B1"/>
      <selection pane="bottomLeft" activeCell="K9" sqref="K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41" t="s">
        <v>75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</row>
    <row r="2" spans="1:29" ht="19.5" x14ac:dyDescent="0.25">
      <c r="A2" s="441" t="s">
        <v>64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</row>
    <row r="3" spans="1:29" ht="19.5" x14ac:dyDescent="0.25">
      <c r="A3" s="442" t="s">
        <v>661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43" t="s">
        <v>1</v>
      </c>
      <c r="L5" s="444"/>
      <c r="M5" s="445"/>
      <c r="N5" s="116" t="s">
        <v>25</v>
      </c>
      <c r="O5" s="117"/>
      <c r="P5" s="446" t="s">
        <v>8</v>
      </c>
      <c r="Q5" s="447"/>
      <c r="R5" s="447"/>
      <c r="S5" s="447"/>
      <c r="T5" s="447"/>
      <c r="U5" s="448"/>
      <c r="V5" s="116" t="s">
        <v>52</v>
      </c>
      <c r="W5" s="116" t="s">
        <v>9</v>
      </c>
      <c r="X5" s="115" t="s">
        <v>52</v>
      </c>
      <c r="Y5" s="449" t="s">
        <v>2</v>
      </c>
      <c r="Z5" s="450"/>
      <c r="AA5" s="451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93</v>
      </c>
      <c r="C6" s="118" t="s">
        <v>114</v>
      </c>
      <c r="D6" s="119" t="s">
        <v>21</v>
      </c>
      <c r="E6" s="119" t="s">
        <v>94</v>
      </c>
      <c r="F6" s="119" t="s">
        <v>206</v>
      </c>
      <c r="G6" s="118" t="s">
        <v>255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249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182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2" t="s">
        <v>93</v>
      </c>
      <c r="C8" s="372" t="s">
        <v>114</v>
      </c>
      <c r="D8" s="159" t="s">
        <v>62</v>
      </c>
      <c r="E8" s="156" t="s">
        <v>94</v>
      </c>
      <c r="F8" s="156" t="s">
        <v>206</v>
      </c>
      <c r="G8" s="372" t="s">
        <v>255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372</v>
      </c>
      <c r="C9" s="257" t="s">
        <v>108</v>
      </c>
      <c r="D9" s="258" t="s">
        <v>370</v>
      </c>
      <c r="E9" s="259" t="s">
        <v>371</v>
      </c>
      <c r="F9" s="283" t="s">
        <v>373</v>
      </c>
      <c r="G9" s="284">
        <v>45566</v>
      </c>
      <c r="H9" s="276" t="s">
        <v>177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179</v>
      </c>
      <c r="C10" s="257" t="s">
        <v>108</v>
      </c>
      <c r="D10" s="258" t="s">
        <v>180</v>
      </c>
      <c r="E10" s="259" t="s">
        <v>181</v>
      </c>
      <c r="F10" s="259" t="s">
        <v>217</v>
      </c>
      <c r="G10" s="284">
        <v>45566</v>
      </c>
      <c r="H10" s="276" t="s">
        <v>178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100</v>
      </c>
      <c r="C11" s="256" t="s">
        <v>108</v>
      </c>
      <c r="D11" s="258" t="s">
        <v>65</v>
      </c>
      <c r="E11" s="259" t="s">
        <v>101</v>
      </c>
      <c r="F11" s="283" t="s">
        <v>207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2" t="s">
        <v>93</v>
      </c>
      <c r="C12" s="372" t="s">
        <v>114</v>
      </c>
      <c r="D12" s="159" t="s">
        <v>111</v>
      </c>
      <c r="E12" s="156" t="s">
        <v>94</v>
      </c>
      <c r="F12" s="156" t="s">
        <v>206</v>
      </c>
      <c r="G12" s="372" t="s">
        <v>255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9" t="s">
        <v>85</v>
      </c>
      <c r="B13" s="257" t="s">
        <v>184</v>
      </c>
      <c r="C13" s="257" t="s">
        <v>314</v>
      </c>
      <c r="D13" s="258" t="s">
        <v>186</v>
      </c>
      <c r="E13" s="281" t="s">
        <v>187</v>
      </c>
      <c r="F13" s="283" t="s">
        <v>230</v>
      </c>
      <c r="G13" s="284">
        <v>44470</v>
      </c>
      <c r="H13" s="276" t="s">
        <v>244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2"/>
      <c r="B14" s="362"/>
      <c r="C14" s="362"/>
      <c r="D14" s="384"/>
      <c r="E14" s="397"/>
      <c r="F14" s="421"/>
      <c r="G14" s="422"/>
      <c r="H14" s="399"/>
      <c r="I14" s="423"/>
      <c r="J14" s="424"/>
      <c r="K14" s="425"/>
      <c r="L14" s="426"/>
      <c r="M14" s="427"/>
      <c r="N14" s="374"/>
      <c r="O14" s="375"/>
      <c r="P14" s="375"/>
      <c r="Q14" s="374"/>
      <c r="R14" s="376"/>
      <c r="S14" s="374"/>
      <c r="T14" s="377"/>
      <c r="U14" s="374"/>
      <c r="V14" s="374"/>
      <c r="W14" s="374"/>
      <c r="X14" s="427"/>
      <c r="Y14" s="427"/>
      <c r="Z14" s="428"/>
      <c r="AA14" s="427"/>
      <c r="AB14" s="427"/>
    </row>
    <row r="15" spans="1:29" s="293" customFormat="1" ht="27" customHeight="1" x14ac:dyDescent="0.2">
      <c r="A15" s="362"/>
      <c r="B15" s="362"/>
      <c r="C15" s="362"/>
      <c r="D15" s="384"/>
      <c r="E15" s="397"/>
      <c r="F15" s="421"/>
      <c r="G15" s="422"/>
      <c r="H15" s="399"/>
      <c r="I15" s="423"/>
      <c r="J15" s="424"/>
      <c r="K15" s="425"/>
      <c r="L15" s="426"/>
      <c r="M15" s="427"/>
      <c r="N15" s="374"/>
      <c r="O15" s="375"/>
      <c r="P15" s="375"/>
      <c r="Q15" s="374"/>
      <c r="R15" s="376"/>
      <c r="S15" s="374"/>
      <c r="T15" s="377"/>
      <c r="U15" s="374"/>
      <c r="V15" s="374"/>
      <c r="W15" s="374"/>
      <c r="X15" s="427"/>
      <c r="Y15" s="427"/>
      <c r="Z15" s="428"/>
      <c r="AA15" s="427"/>
      <c r="AB15" s="427"/>
    </row>
    <row r="16" spans="1:29" s="293" customFormat="1" ht="27" customHeight="1" x14ac:dyDescent="0.2">
      <c r="A16" s="362"/>
      <c r="B16" s="362"/>
      <c r="C16" s="362"/>
      <c r="D16" s="384"/>
      <c r="E16" s="397"/>
      <c r="F16" s="421"/>
      <c r="G16" s="422"/>
      <c r="H16" s="399"/>
      <c r="I16" s="423"/>
      <c r="J16" s="424"/>
      <c r="K16" s="425"/>
      <c r="L16" s="426"/>
      <c r="M16" s="427"/>
      <c r="N16" s="374"/>
      <c r="O16" s="375"/>
      <c r="P16" s="375"/>
      <c r="Q16" s="374"/>
      <c r="R16" s="376"/>
      <c r="S16" s="374"/>
      <c r="T16" s="377"/>
      <c r="U16" s="374"/>
      <c r="V16" s="374"/>
      <c r="W16" s="374"/>
      <c r="X16" s="427"/>
      <c r="Y16" s="427"/>
      <c r="Z16" s="428"/>
      <c r="AA16" s="427"/>
      <c r="AB16" s="427"/>
    </row>
    <row r="17" spans="1:29" s="293" customFormat="1" ht="64.900000000000006" customHeight="1" x14ac:dyDescent="0.2">
      <c r="A17" s="362"/>
      <c r="B17" s="362"/>
      <c r="C17" s="362"/>
      <c r="D17" s="384"/>
      <c r="E17" s="397"/>
      <c r="F17" s="421"/>
      <c r="G17" s="422"/>
      <c r="H17" s="399"/>
      <c r="I17" s="423"/>
      <c r="J17" s="424"/>
      <c r="K17" s="425"/>
      <c r="L17" s="426"/>
      <c r="M17" s="427"/>
      <c r="N17" s="374"/>
      <c r="O17" s="375"/>
      <c r="P17" s="375"/>
      <c r="Q17" s="374"/>
      <c r="R17" s="376"/>
      <c r="S17" s="374"/>
      <c r="T17" s="377"/>
      <c r="U17" s="374"/>
      <c r="V17" s="374"/>
      <c r="W17" s="374"/>
      <c r="X17" s="427"/>
      <c r="Y17" s="427"/>
      <c r="Z17" s="428"/>
      <c r="AA17" s="427"/>
      <c r="AB17" s="427"/>
    </row>
    <row r="18" spans="1:29" s="52" customFormat="1" ht="36.75" customHeight="1" x14ac:dyDescent="0.25">
      <c r="A18" s="420"/>
      <c r="B18" s="373" t="s">
        <v>93</v>
      </c>
      <c r="C18" s="373" t="s">
        <v>114</v>
      </c>
      <c r="D18" s="175" t="s">
        <v>112</v>
      </c>
      <c r="E18" s="175" t="s">
        <v>94</v>
      </c>
      <c r="F18" s="175" t="s">
        <v>206</v>
      </c>
      <c r="G18" s="373" t="s">
        <v>255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8"/>
    </row>
    <row r="19" spans="1:29" s="293" customFormat="1" ht="200.25" customHeight="1" x14ac:dyDescent="0.2">
      <c r="A19" s="257" t="s">
        <v>86</v>
      </c>
      <c r="B19" s="256" t="s">
        <v>140</v>
      </c>
      <c r="C19" s="257" t="s">
        <v>108</v>
      </c>
      <c r="D19" s="258" t="s">
        <v>128</v>
      </c>
      <c r="E19" s="259" t="s">
        <v>136</v>
      </c>
      <c r="F19" s="283" t="s">
        <v>215</v>
      </c>
      <c r="G19" s="284">
        <v>43374</v>
      </c>
      <c r="H19" s="276" t="s">
        <v>653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380</v>
      </c>
      <c r="C20" s="273" t="s">
        <v>108</v>
      </c>
      <c r="D20" s="280" t="s">
        <v>479</v>
      </c>
      <c r="E20" s="281" t="s">
        <v>480</v>
      </c>
      <c r="F20" s="281" t="s">
        <v>481</v>
      </c>
      <c r="G20" s="321">
        <v>45612</v>
      </c>
      <c r="H20" s="297" t="s">
        <v>648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3" t="s">
        <v>93</v>
      </c>
      <c r="C21" s="373" t="s">
        <v>114</v>
      </c>
      <c r="D21" s="148" t="s">
        <v>510</v>
      </c>
      <c r="E21" s="175" t="s">
        <v>94</v>
      </c>
      <c r="F21" s="175" t="s">
        <v>206</v>
      </c>
      <c r="G21" s="373" t="s">
        <v>255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643</v>
      </c>
      <c r="C22" s="257" t="s">
        <v>108</v>
      </c>
      <c r="D22" s="280" t="s">
        <v>640</v>
      </c>
      <c r="E22" s="281" t="s">
        <v>641</v>
      </c>
      <c r="F22" s="283" t="s">
        <v>642</v>
      </c>
      <c r="G22" s="284">
        <v>46023</v>
      </c>
      <c r="H22" s="300" t="s">
        <v>654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3" t="s">
        <v>93</v>
      </c>
      <c r="C23" s="373" t="s">
        <v>114</v>
      </c>
      <c r="D23" s="148" t="s">
        <v>345</v>
      </c>
      <c r="E23" s="175" t="s">
        <v>94</v>
      </c>
      <c r="F23" s="175" t="s">
        <v>206</v>
      </c>
      <c r="G23" s="373" t="s">
        <v>255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374</v>
      </c>
      <c r="C24" s="257" t="s">
        <v>108</v>
      </c>
      <c r="D24" s="280" t="s">
        <v>375</v>
      </c>
      <c r="E24" s="281" t="s">
        <v>376</v>
      </c>
      <c r="F24" s="283" t="s">
        <v>377</v>
      </c>
      <c r="G24" s="284">
        <v>45566</v>
      </c>
      <c r="H24" s="300" t="s">
        <v>348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38" t="s">
        <v>44</v>
      </c>
      <c r="B26" s="439"/>
      <c r="C26" s="439"/>
      <c r="D26" s="439"/>
      <c r="E26" s="439"/>
      <c r="F26" s="439"/>
      <c r="G26" s="439"/>
      <c r="H26" s="439"/>
      <c r="I26" s="439"/>
      <c r="J26" s="440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454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632</v>
      </c>
      <c r="Z36" s="108"/>
      <c r="AA36" s="108"/>
      <c r="AB36" s="108"/>
      <c r="AC36" s="108"/>
    </row>
    <row r="37" spans="4:29" ht="18" x14ac:dyDescent="0.25">
      <c r="D37" s="203" t="s">
        <v>469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195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F22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0" ht="18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0" ht="19.5" x14ac:dyDescent="0.25">
      <c r="A3" s="149" t="s">
        <v>304</v>
      </c>
      <c r="B3" s="442" t="str">
        <f>PRESIDENCIA!A3</f>
        <v>SUELDO  DEL 01 AL 15 DE FEBRERO DE 2026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175</v>
      </c>
      <c r="K5" s="453" t="s">
        <v>1</v>
      </c>
      <c r="L5" s="454"/>
      <c r="M5" s="455"/>
      <c r="N5" s="24" t="s">
        <v>25</v>
      </c>
      <c r="O5" s="25"/>
      <c r="P5" s="456" t="s">
        <v>8</v>
      </c>
      <c r="Q5" s="457"/>
      <c r="R5" s="457"/>
      <c r="S5" s="457"/>
      <c r="T5" s="457"/>
      <c r="U5" s="458"/>
      <c r="V5" s="24" t="s">
        <v>29</v>
      </c>
      <c r="W5" s="24" t="s">
        <v>9</v>
      </c>
      <c r="X5" s="23" t="s">
        <v>52</v>
      </c>
      <c r="Y5" s="459" t="s">
        <v>2</v>
      </c>
      <c r="Z5" s="460"/>
      <c r="AA5" s="461"/>
      <c r="AB5" s="23" t="s">
        <v>0</v>
      </c>
      <c r="AC5" s="33"/>
    </row>
    <row r="6" spans="1:30" ht="22.5" x14ac:dyDescent="0.2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5"/>
      <c r="B8" s="148" t="s">
        <v>93</v>
      </c>
      <c r="C8" s="148" t="s">
        <v>114</v>
      </c>
      <c r="D8" s="174" t="s">
        <v>589</v>
      </c>
      <c r="E8" s="175" t="s">
        <v>94</v>
      </c>
      <c r="F8" s="175" t="s">
        <v>206</v>
      </c>
      <c r="G8" s="148" t="s">
        <v>255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5"/>
      <c r="B9" s="279" t="s">
        <v>471</v>
      </c>
      <c r="C9" s="273" t="s">
        <v>108</v>
      </c>
      <c r="D9" s="258" t="s">
        <v>472</v>
      </c>
      <c r="E9" s="259" t="s">
        <v>473</v>
      </c>
      <c r="F9" s="259" t="s">
        <v>474</v>
      </c>
      <c r="G9" s="260">
        <v>45601</v>
      </c>
      <c r="H9" s="261" t="s">
        <v>656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93</v>
      </c>
      <c r="C10" s="148" t="s">
        <v>114</v>
      </c>
      <c r="D10" s="174" t="s">
        <v>456</v>
      </c>
      <c r="E10" s="156" t="s">
        <v>94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468</v>
      </c>
      <c r="C11" s="257" t="s">
        <v>108</v>
      </c>
      <c r="D11" s="258" t="s">
        <v>483</v>
      </c>
      <c r="E11" s="259" t="s">
        <v>458</v>
      </c>
      <c r="F11" s="259" t="s">
        <v>459</v>
      </c>
      <c r="G11" s="284">
        <v>45581</v>
      </c>
      <c r="H11" s="276" t="s">
        <v>457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93</v>
      </c>
      <c r="C12" s="148" t="s">
        <v>114</v>
      </c>
      <c r="D12" s="159" t="s">
        <v>74</v>
      </c>
      <c r="E12" s="156" t="s">
        <v>94</v>
      </c>
      <c r="F12" s="156" t="s">
        <v>206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108</v>
      </c>
      <c r="D13" s="258" t="s">
        <v>428</v>
      </c>
      <c r="E13" s="310" t="s">
        <v>429</v>
      </c>
      <c r="F13" s="259" t="s">
        <v>430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38" t="s">
        <v>44</v>
      </c>
      <c r="B14" s="439"/>
      <c r="C14" s="439"/>
      <c r="D14" s="439"/>
      <c r="E14" s="439"/>
      <c r="F14" s="439"/>
      <c r="G14" s="439"/>
      <c r="H14" s="439"/>
      <c r="I14" s="439"/>
      <c r="J14" s="440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454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633</v>
      </c>
      <c r="Z28" s="108"/>
      <c r="AA28" s="108"/>
      <c r="AB28" s="108"/>
      <c r="AC28" s="108"/>
    </row>
    <row r="29" spans="4:41" ht="18" x14ac:dyDescent="0.25">
      <c r="D29" s="203" t="s">
        <v>469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195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9"/>
  <sheetViews>
    <sheetView topLeftCell="B23" zoomScale="85" zoomScaleNormal="85" workbookViewId="0">
      <selection activeCell="D24" sqref="D2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1.5703125" hidden="1" customWidth="1"/>
    <col min="11" max="11" width="20.28515625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41" t="s">
        <v>76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</row>
    <row r="2" spans="1:35" ht="19.5" x14ac:dyDescent="0.25">
      <c r="A2" s="441" t="s">
        <v>64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</row>
    <row r="3" spans="1:35" ht="19.5" x14ac:dyDescent="0.25">
      <c r="A3" s="442" t="str">
        <f>PRESIDENCIA!A3</f>
        <v>SUELDO  DEL 01 AL 15 DE FEBRERO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3" t="s">
        <v>109</v>
      </c>
      <c r="D5" s="48"/>
      <c r="E5" s="48"/>
      <c r="F5" s="48"/>
      <c r="G5" s="48"/>
      <c r="H5" s="48"/>
      <c r="I5" s="49" t="s">
        <v>22</v>
      </c>
      <c r="J5" s="49" t="s">
        <v>5</v>
      </c>
      <c r="K5" s="462" t="s">
        <v>1</v>
      </c>
      <c r="L5" s="463"/>
      <c r="M5" s="464"/>
      <c r="N5" s="50" t="s">
        <v>25</v>
      </c>
      <c r="O5" s="51"/>
      <c r="P5" s="465" t="s">
        <v>8</v>
      </c>
      <c r="Q5" s="466"/>
      <c r="R5" s="466"/>
      <c r="S5" s="466"/>
      <c r="T5" s="466"/>
      <c r="U5" s="467"/>
      <c r="V5" s="50" t="s">
        <v>29</v>
      </c>
      <c r="W5" s="50" t="s">
        <v>9</v>
      </c>
      <c r="X5" s="49" t="s">
        <v>52</v>
      </c>
      <c r="Y5" s="468" t="s">
        <v>2</v>
      </c>
      <c r="Z5" s="469"/>
      <c r="AA5" s="470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93</v>
      </c>
      <c r="C6" s="474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5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94</v>
      </c>
      <c r="F8" s="127" t="s">
        <v>206</v>
      </c>
      <c r="G8" s="125" t="s">
        <v>255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461</v>
      </c>
      <c r="C9" s="257" t="s">
        <v>108</v>
      </c>
      <c r="D9" s="258" t="s">
        <v>462</v>
      </c>
      <c r="E9" s="259" t="s">
        <v>463</v>
      </c>
      <c r="F9" s="259" t="s">
        <v>464</v>
      </c>
      <c r="G9" s="260">
        <v>45581</v>
      </c>
      <c r="H9" s="261" t="s">
        <v>486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275</v>
      </c>
      <c r="C10" s="257" t="s">
        <v>108</v>
      </c>
      <c r="D10" s="258" t="s">
        <v>285</v>
      </c>
      <c r="E10" s="259" t="s">
        <v>286</v>
      </c>
      <c r="F10" s="259" t="s">
        <v>287</v>
      </c>
      <c r="G10" s="260">
        <v>45139</v>
      </c>
      <c r="H10" s="261" t="s">
        <v>648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167</v>
      </c>
      <c r="C11" s="257" t="s">
        <v>108</v>
      </c>
      <c r="D11" s="258" t="s">
        <v>168</v>
      </c>
      <c r="E11" s="259" t="s">
        <v>169</v>
      </c>
      <c r="F11" s="259" t="s">
        <v>228</v>
      </c>
      <c r="G11" s="260">
        <v>43983</v>
      </c>
      <c r="H11" s="261" t="s">
        <v>623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253</v>
      </c>
      <c r="C12" s="273" t="s">
        <v>108</v>
      </c>
      <c r="D12" s="280" t="s">
        <v>250</v>
      </c>
      <c r="E12" s="281" t="s">
        <v>251</v>
      </c>
      <c r="F12" s="281" t="s">
        <v>252</v>
      </c>
      <c r="G12" s="282">
        <v>44958</v>
      </c>
      <c r="H12" s="261" t="s">
        <v>648</v>
      </c>
      <c r="I12" s="277">
        <v>15</v>
      </c>
      <c r="J12" s="263">
        <f t="shared" ref="J12:J13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:N13" si="19">IF(K12/15&lt;=SMG,0,L12/2)</f>
        <v>0</v>
      </c>
      <c r="O12" s="304">
        <f t="shared" ref="O12:O13" si="20">(K12+N12)/I12*30.4</f>
        <v>11911.733333333332</v>
      </c>
      <c r="P12" s="304">
        <f t="shared" ref="P12:P13" si="21">VLOOKUP(O12,Tarifa,1)</f>
        <v>7168.52</v>
      </c>
      <c r="Q12" s="288">
        <f t="shared" ref="Q12:Q13" si="22">O12-P12</f>
        <v>4743.2133333333313</v>
      </c>
      <c r="R12" s="289">
        <f t="shared" ref="R12:R13" si="23">VLOOKUP(O12,Tarifa,3)</f>
        <v>0.10879999999999999</v>
      </c>
      <c r="S12" s="288">
        <f t="shared" ref="S12:S13" si="24">Q12*R12</f>
        <v>516.06161066666641</v>
      </c>
      <c r="T12" s="290">
        <f t="shared" ref="T12:T13" si="25">VLOOKUP(O12,Tarifa,2)</f>
        <v>420.95</v>
      </c>
      <c r="U12" s="288">
        <f t="shared" ref="U12:U13" si="26">S12+T12</f>
        <v>937.01161066666646</v>
      </c>
      <c r="V12" s="288">
        <f t="shared" ref="V12:V13" si="27">VLOOKUP(O12,Credito,2)</f>
        <v>0</v>
      </c>
      <c r="W12" s="288">
        <f t="shared" ref="W12:W13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270" customFormat="1" ht="219.75" customHeight="1" x14ac:dyDescent="0.2">
      <c r="A13" s="255"/>
      <c r="B13" s="256" t="s">
        <v>519</v>
      </c>
      <c r="C13" s="256" t="s">
        <v>108</v>
      </c>
      <c r="D13" s="280" t="s">
        <v>511</v>
      </c>
      <c r="E13" s="281" t="s">
        <v>512</v>
      </c>
      <c r="F13" s="268" t="s">
        <v>513</v>
      </c>
      <c r="G13" s="314">
        <v>45698</v>
      </c>
      <c r="H13" s="261" t="s">
        <v>67</v>
      </c>
      <c r="I13" s="277">
        <v>15</v>
      </c>
      <c r="J13" s="263">
        <f t="shared" si="18"/>
        <v>278.41733333333337</v>
      </c>
      <c r="K13" s="264">
        <v>4176.26</v>
      </c>
      <c r="L13" s="265">
        <v>0</v>
      </c>
      <c r="M13" s="266">
        <f t="shared" ref="M13" si="29">SUM(K13:L13)</f>
        <v>4176.26</v>
      </c>
      <c r="N13" s="288">
        <f t="shared" si="19"/>
        <v>0</v>
      </c>
      <c r="O13" s="304">
        <f t="shared" si="20"/>
        <v>8463.886933333335</v>
      </c>
      <c r="P13" s="304">
        <f t="shared" si="21"/>
        <v>7168.52</v>
      </c>
      <c r="Q13" s="288">
        <f t="shared" si="22"/>
        <v>1295.3669333333346</v>
      </c>
      <c r="R13" s="289">
        <f t="shared" si="23"/>
        <v>0.10879999999999999</v>
      </c>
      <c r="S13" s="288">
        <f t="shared" si="24"/>
        <v>140.93592234666679</v>
      </c>
      <c r="T13" s="290">
        <f t="shared" si="25"/>
        <v>420.95</v>
      </c>
      <c r="U13" s="288">
        <f t="shared" si="26"/>
        <v>561.8859223466668</v>
      </c>
      <c r="V13" s="288">
        <f t="shared" si="27"/>
        <v>535.65</v>
      </c>
      <c r="W13" s="288">
        <f t="shared" si="28"/>
        <v>12.95</v>
      </c>
      <c r="X13" s="266">
        <f t="shared" ref="X13" si="30">-IF(W13&gt;0,0,0)</f>
        <v>0</v>
      </c>
      <c r="Y13" s="266">
        <f t="shared" ref="Y13" si="31">IF(K13/15&lt;=SMG,0,IF(W13&lt;0,0,W13))</f>
        <v>0</v>
      </c>
      <c r="Z13" s="267">
        <v>0</v>
      </c>
      <c r="AA13" s="266">
        <f t="shared" ref="AA13" si="32">SUM(Y13:Z13)</f>
        <v>0</v>
      </c>
      <c r="AB13" s="266">
        <f t="shared" ref="AB13" si="33">M13+X13-AA13</f>
        <v>4176.26</v>
      </c>
      <c r="AC13" s="278"/>
      <c r="AD13" s="269"/>
      <c r="AI13" s="271"/>
    </row>
    <row r="14" spans="1:35" s="91" customFormat="1" ht="264.75" customHeight="1" x14ac:dyDescent="0.3">
      <c r="A14" s="143"/>
      <c r="B14" s="234"/>
      <c r="C14" s="204"/>
      <c r="D14" s="205"/>
      <c r="E14" s="206"/>
      <c r="F14" s="206"/>
      <c r="G14" s="233"/>
      <c r="H14" s="150"/>
      <c r="I14" s="151"/>
      <c r="J14" s="152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  <c r="AD14" s="92"/>
      <c r="AI14" s="93"/>
    </row>
    <row r="15" spans="1:35" s="91" customFormat="1" ht="32.25" customHeight="1" x14ac:dyDescent="0.25">
      <c r="A15" s="143"/>
      <c r="B15" s="441" t="s">
        <v>76</v>
      </c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I15" s="93"/>
    </row>
    <row r="16" spans="1:35" s="91" customFormat="1" ht="24" customHeight="1" x14ac:dyDescent="0.25">
      <c r="A16" s="143"/>
      <c r="B16" s="441" t="s">
        <v>64</v>
      </c>
      <c r="C16" s="441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I16" s="93"/>
    </row>
    <row r="17" spans="1:35" s="91" customFormat="1" ht="27.75" customHeight="1" x14ac:dyDescent="0.3">
      <c r="A17" s="143"/>
      <c r="B17" s="471" t="str">
        <f>PRESIDENCIA!A3</f>
        <v>SUELDO  DEL 01 AL 15 DE FEBRERO DE 2026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6" t="s">
        <v>262</v>
      </c>
      <c r="C19" s="256" t="s">
        <v>108</v>
      </c>
      <c r="D19" s="280" t="s">
        <v>260</v>
      </c>
      <c r="E19" s="315" t="s">
        <v>263</v>
      </c>
      <c r="F19" s="316" t="s">
        <v>261</v>
      </c>
      <c r="G19" s="314">
        <v>45042</v>
      </c>
      <c r="H19" s="261" t="s">
        <v>485</v>
      </c>
      <c r="I19" s="277">
        <v>15</v>
      </c>
      <c r="J19" s="263">
        <f t="shared" ref="J19:J22" si="34">K19/I19</f>
        <v>623</v>
      </c>
      <c r="K19" s="264">
        <v>9345</v>
      </c>
      <c r="L19" s="265">
        <v>0</v>
      </c>
      <c r="M19" s="266">
        <f t="shared" ref="M19:M22" si="35">SUM(K19:L19)</f>
        <v>9345</v>
      </c>
      <c r="N19" s="288">
        <f t="shared" ref="N19:N22" si="36">IF(K19/15&lt;=SMG,0,L19/2)</f>
        <v>0</v>
      </c>
      <c r="O19" s="304">
        <f t="shared" ref="O19:O22" si="37">(K19+N19)/I19*30.4</f>
        <v>18939.2</v>
      </c>
      <c r="P19" s="304">
        <f t="shared" ref="P19:P22" si="38">VLOOKUP(O19,Tarifa,1)</f>
        <v>17533.650000000001</v>
      </c>
      <c r="Q19" s="288">
        <f t="shared" ref="Q19:Q22" si="39">O19-P19</f>
        <v>1405.5499999999993</v>
      </c>
      <c r="R19" s="289">
        <f t="shared" ref="R19:R22" si="40">VLOOKUP(O19,Tarifa,3)</f>
        <v>0.21360000000000001</v>
      </c>
      <c r="S19" s="288">
        <f t="shared" ref="S19:S22" si="41">Q19*R19</f>
        <v>300.22547999999983</v>
      </c>
      <c r="T19" s="290">
        <f t="shared" ref="T19:T22" si="42">VLOOKUP(O19,Tarifa,2)</f>
        <v>1856.84</v>
      </c>
      <c r="U19" s="288">
        <f t="shared" ref="U19:U22" si="43">S19+T19</f>
        <v>2157.0654799999998</v>
      </c>
      <c r="V19" s="288">
        <f t="shared" ref="V19:V22" si="44">VLOOKUP(O19,Credito,2)</f>
        <v>0</v>
      </c>
      <c r="W19" s="288">
        <f t="shared" ref="W19:W22" si="45">ROUND((U19-V19)/30.4*I19,2)</f>
        <v>1064.3399999999999</v>
      </c>
      <c r="X19" s="266">
        <f t="shared" ref="X19:X22" si="46">-IF(W19&gt;0,0,0)</f>
        <v>0</v>
      </c>
      <c r="Y19" s="266">
        <f t="shared" ref="Y19:Y22" si="47">IF(K19/15&lt;=SMG,0,IF(W19&lt;0,0,W19))</f>
        <v>1064.3399999999999</v>
      </c>
      <c r="Z19" s="267">
        <v>0</v>
      </c>
      <c r="AA19" s="266">
        <f t="shared" ref="AA19:AA22" si="48">SUM(Y19:Z19)</f>
        <v>1064.3399999999999</v>
      </c>
      <c r="AB19" s="266">
        <f t="shared" ref="AB19:AB21" si="49">M19+X19-AA19</f>
        <v>8280.66</v>
      </c>
      <c r="AC19" s="268"/>
      <c r="AD19" s="269"/>
      <c r="AI19" s="271"/>
    </row>
    <row r="20" spans="1:35" s="270" customFormat="1" ht="229.5" customHeight="1" x14ac:dyDescent="0.2">
      <c r="A20" s="255"/>
      <c r="B20" s="257" t="s">
        <v>496</v>
      </c>
      <c r="C20" s="257" t="s">
        <v>108</v>
      </c>
      <c r="D20" s="318" t="s">
        <v>146</v>
      </c>
      <c r="E20" s="134" t="s">
        <v>151</v>
      </c>
      <c r="F20" s="134" t="s">
        <v>221</v>
      </c>
      <c r="G20" s="200">
        <v>43512</v>
      </c>
      <c r="H20" s="261" t="s">
        <v>485</v>
      </c>
      <c r="I20" s="277">
        <v>15</v>
      </c>
      <c r="J20" s="263">
        <f t="shared" si="34"/>
        <v>623</v>
      </c>
      <c r="K20" s="264">
        <v>9345</v>
      </c>
      <c r="L20" s="265">
        <v>0</v>
      </c>
      <c r="M20" s="266">
        <f t="shared" si="35"/>
        <v>9345</v>
      </c>
      <c r="N20" s="288">
        <f t="shared" si="36"/>
        <v>0</v>
      </c>
      <c r="O20" s="304">
        <f t="shared" si="37"/>
        <v>18939.2</v>
      </c>
      <c r="P20" s="304">
        <f t="shared" si="38"/>
        <v>17533.650000000001</v>
      </c>
      <c r="Q20" s="288">
        <f t="shared" si="39"/>
        <v>1405.5499999999993</v>
      </c>
      <c r="R20" s="289">
        <f t="shared" si="40"/>
        <v>0.21360000000000001</v>
      </c>
      <c r="S20" s="288">
        <f t="shared" si="41"/>
        <v>300.22547999999983</v>
      </c>
      <c r="T20" s="290">
        <f t="shared" si="42"/>
        <v>1856.84</v>
      </c>
      <c r="U20" s="288">
        <f t="shared" si="43"/>
        <v>2157.0654799999998</v>
      </c>
      <c r="V20" s="288">
        <f t="shared" si="44"/>
        <v>0</v>
      </c>
      <c r="W20" s="288">
        <f t="shared" si="45"/>
        <v>1064.3399999999999</v>
      </c>
      <c r="X20" s="266">
        <f t="shared" si="46"/>
        <v>0</v>
      </c>
      <c r="Y20" s="266">
        <f t="shared" si="47"/>
        <v>1064.3399999999999</v>
      </c>
      <c r="Z20" s="267">
        <v>0</v>
      </c>
      <c r="AA20" s="266">
        <f t="shared" si="48"/>
        <v>1064.3399999999999</v>
      </c>
      <c r="AB20" s="266">
        <f t="shared" si="49"/>
        <v>8280.66</v>
      </c>
      <c r="AC20" s="268"/>
      <c r="AI20" s="271"/>
    </row>
    <row r="21" spans="1:35" s="270" customFormat="1" ht="229.5" customHeight="1" x14ac:dyDescent="0.2">
      <c r="A21" s="317"/>
      <c r="B21" s="257" t="s">
        <v>234</v>
      </c>
      <c r="C21" s="257" t="s">
        <v>108</v>
      </c>
      <c r="D21" s="318" t="s">
        <v>235</v>
      </c>
      <c r="E21" s="134" t="s">
        <v>236</v>
      </c>
      <c r="F21" s="134" t="s">
        <v>237</v>
      </c>
      <c r="G21" s="200">
        <v>44728</v>
      </c>
      <c r="H21" s="261" t="s">
        <v>485</v>
      </c>
      <c r="I21" s="277">
        <v>15</v>
      </c>
      <c r="J21" s="263">
        <f t="shared" si="34"/>
        <v>623</v>
      </c>
      <c r="K21" s="264">
        <v>9345</v>
      </c>
      <c r="L21" s="265">
        <v>0</v>
      </c>
      <c r="M21" s="266">
        <f t="shared" si="35"/>
        <v>9345</v>
      </c>
      <c r="N21" s="288">
        <f t="shared" si="36"/>
        <v>0</v>
      </c>
      <c r="O21" s="304">
        <f t="shared" si="37"/>
        <v>18939.2</v>
      </c>
      <c r="P21" s="304">
        <f t="shared" si="38"/>
        <v>17533.650000000001</v>
      </c>
      <c r="Q21" s="288">
        <f t="shared" si="39"/>
        <v>1405.5499999999993</v>
      </c>
      <c r="R21" s="289">
        <f t="shared" si="40"/>
        <v>0.21360000000000001</v>
      </c>
      <c r="S21" s="288">
        <f t="shared" si="41"/>
        <v>300.22547999999983</v>
      </c>
      <c r="T21" s="290">
        <f t="shared" si="42"/>
        <v>1856.84</v>
      </c>
      <c r="U21" s="288">
        <f t="shared" si="43"/>
        <v>2157.0654799999998</v>
      </c>
      <c r="V21" s="288">
        <f t="shared" si="44"/>
        <v>0</v>
      </c>
      <c r="W21" s="288">
        <f t="shared" si="45"/>
        <v>1064.3399999999999</v>
      </c>
      <c r="X21" s="266">
        <f t="shared" si="46"/>
        <v>0</v>
      </c>
      <c r="Y21" s="266">
        <f t="shared" si="47"/>
        <v>1064.3399999999999</v>
      </c>
      <c r="Z21" s="267">
        <v>0</v>
      </c>
      <c r="AA21" s="266">
        <f t="shared" si="48"/>
        <v>1064.3399999999999</v>
      </c>
      <c r="AB21" s="266">
        <f t="shared" si="49"/>
        <v>8280.66</v>
      </c>
      <c r="AC21" s="268"/>
      <c r="AI21" s="271"/>
    </row>
    <row r="22" spans="1:35" s="270" customFormat="1" ht="229.5" customHeight="1" x14ac:dyDescent="0.2">
      <c r="A22" s="317"/>
      <c r="B22" s="257" t="s">
        <v>306</v>
      </c>
      <c r="C22" s="257" t="s">
        <v>108</v>
      </c>
      <c r="D22" s="258" t="s">
        <v>307</v>
      </c>
      <c r="E22" s="259" t="s">
        <v>308</v>
      </c>
      <c r="F22" s="259" t="s">
        <v>309</v>
      </c>
      <c r="G22" s="320">
        <v>45475</v>
      </c>
      <c r="H22" s="261" t="s">
        <v>485</v>
      </c>
      <c r="I22" s="277">
        <v>15</v>
      </c>
      <c r="J22" s="263">
        <f t="shared" si="34"/>
        <v>498.46666666666664</v>
      </c>
      <c r="K22" s="264">
        <v>7477</v>
      </c>
      <c r="L22" s="265">
        <v>0</v>
      </c>
      <c r="M22" s="266">
        <f t="shared" si="35"/>
        <v>7477</v>
      </c>
      <c r="N22" s="288">
        <f t="shared" si="36"/>
        <v>0</v>
      </c>
      <c r="O22" s="304">
        <f t="shared" si="37"/>
        <v>15153.386666666665</v>
      </c>
      <c r="P22" s="304">
        <f t="shared" si="38"/>
        <v>14644.65</v>
      </c>
      <c r="Q22" s="288">
        <f t="shared" si="39"/>
        <v>508.73666666666577</v>
      </c>
      <c r="R22" s="289">
        <f t="shared" si="40"/>
        <v>0.1792</v>
      </c>
      <c r="S22" s="288">
        <f t="shared" si="41"/>
        <v>91.16561066666651</v>
      </c>
      <c r="T22" s="290">
        <f t="shared" si="42"/>
        <v>1339.14</v>
      </c>
      <c r="U22" s="288">
        <f t="shared" si="43"/>
        <v>1430.3056106666666</v>
      </c>
      <c r="V22" s="288">
        <f t="shared" si="44"/>
        <v>0</v>
      </c>
      <c r="W22" s="288">
        <f t="shared" si="45"/>
        <v>705.74</v>
      </c>
      <c r="X22" s="266">
        <f t="shared" si="46"/>
        <v>0</v>
      </c>
      <c r="Y22" s="266">
        <f t="shared" si="47"/>
        <v>705.74</v>
      </c>
      <c r="Z22" s="267">
        <v>0</v>
      </c>
      <c r="AA22" s="266">
        <f t="shared" si="48"/>
        <v>705.74</v>
      </c>
      <c r="AB22" s="266">
        <f>M22+X22-AA22</f>
        <v>6771.26</v>
      </c>
      <c r="AC22" s="268"/>
      <c r="AD22" s="319"/>
      <c r="AI22" s="271"/>
    </row>
    <row r="23" spans="1:35" s="270" customFormat="1" ht="229.5" customHeight="1" x14ac:dyDescent="0.2">
      <c r="A23" s="317"/>
      <c r="B23" s="257" t="s">
        <v>409</v>
      </c>
      <c r="C23" s="257" t="s">
        <v>108</v>
      </c>
      <c r="D23" s="258" t="s">
        <v>410</v>
      </c>
      <c r="E23" s="259" t="s">
        <v>411</v>
      </c>
      <c r="F23" s="259" t="s">
        <v>412</v>
      </c>
      <c r="G23" s="320">
        <v>45566</v>
      </c>
      <c r="H23" s="261" t="s">
        <v>487</v>
      </c>
      <c r="I23" s="277">
        <v>15</v>
      </c>
      <c r="J23" s="263">
        <f t="shared" ref="J23:J24" si="50">K23/I23</f>
        <v>468.73333333333335</v>
      </c>
      <c r="K23" s="264">
        <v>7031</v>
      </c>
      <c r="L23" s="265">
        <v>0</v>
      </c>
      <c r="M23" s="266">
        <f t="shared" ref="M23:M24" si="51">SUM(K23:L23)</f>
        <v>7031</v>
      </c>
      <c r="N23" s="288">
        <f t="shared" ref="N23:N24" si="52">IF(K23/15&lt;=SMG,0,L23/2)</f>
        <v>0</v>
      </c>
      <c r="O23" s="304">
        <f t="shared" ref="O23:O24" si="53">(K23+N23)/I23*30.4</f>
        <v>14249.493333333334</v>
      </c>
      <c r="P23" s="304">
        <f t="shared" ref="P23:P24" si="54">VLOOKUP(O23,Tarifa,1)</f>
        <v>12598.03</v>
      </c>
      <c r="Q23" s="288">
        <f t="shared" ref="Q23:Q24" si="55">O23-P23</f>
        <v>1651.4633333333331</v>
      </c>
      <c r="R23" s="289">
        <f t="shared" ref="R23:R24" si="56">VLOOKUP(O23,Tarifa,3)</f>
        <v>0.16</v>
      </c>
      <c r="S23" s="288">
        <f t="shared" ref="S23:S24" si="57">Q23*R23</f>
        <v>264.23413333333332</v>
      </c>
      <c r="T23" s="290">
        <f t="shared" ref="T23:T24" si="58">VLOOKUP(O23,Tarifa,2)</f>
        <v>1011.68</v>
      </c>
      <c r="U23" s="288">
        <f t="shared" ref="U23:U24" si="59">S23+T23</f>
        <v>1275.9141333333332</v>
      </c>
      <c r="V23" s="288">
        <f t="shared" ref="V23:V24" si="60">VLOOKUP(O23,Credito,2)</f>
        <v>0</v>
      </c>
      <c r="W23" s="288">
        <f t="shared" ref="W23:W24" si="61">ROUND((U23-V23)/30.4*I23,2)</f>
        <v>629.55999999999995</v>
      </c>
      <c r="X23" s="266">
        <f t="shared" ref="X23:X24" si="62">-IF(W23&gt;0,0,0)</f>
        <v>0</v>
      </c>
      <c r="Y23" s="266">
        <f t="shared" ref="Y23:Y24" si="63">IF(K23/15&lt;=SMG,0,IF(W23&lt;0,0,W23))</f>
        <v>629.55999999999995</v>
      </c>
      <c r="Z23" s="267">
        <v>0</v>
      </c>
      <c r="AA23" s="266">
        <f t="shared" ref="AA23:AA24" si="64">SUM(Y23:Z23)</f>
        <v>629.55999999999995</v>
      </c>
      <c r="AB23" s="266">
        <f t="shared" ref="AB23:AB24" si="65">M23+X23-AA23</f>
        <v>6401.4400000000005</v>
      </c>
      <c r="AC23" s="268"/>
      <c r="AD23" s="319"/>
      <c r="AI23" s="271"/>
    </row>
    <row r="24" spans="1:35" s="91" customFormat="1" ht="229.5" customHeight="1" x14ac:dyDescent="0.25">
      <c r="A24" s="143"/>
      <c r="B24" s="279" t="s">
        <v>350</v>
      </c>
      <c r="C24" s="273" t="s">
        <v>108</v>
      </c>
      <c r="D24" s="258" t="s">
        <v>351</v>
      </c>
      <c r="E24" s="259" t="s">
        <v>352</v>
      </c>
      <c r="F24" s="259" t="s">
        <v>353</v>
      </c>
      <c r="G24" s="260">
        <v>45459</v>
      </c>
      <c r="H24" s="261" t="s">
        <v>488</v>
      </c>
      <c r="I24" s="277">
        <v>15</v>
      </c>
      <c r="J24" s="263">
        <f t="shared" si="50"/>
        <v>384.4</v>
      </c>
      <c r="K24" s="264">
        <v>5766</v>
      </c>
      <c r="L24" s="265">
        <v>0</v>
      </c>
      <c r="M24" s="266">
        <f t="shared" si="51"/>
        <v>5766</v>
      </c>
      <c r="N24" s="288">
        <f t="shared" si="52"/>
        <v>0</v>
      </c>
      <c r="O24" s="304">
        <f t="shared" si="53"/>
        <v>11685.759999999998</v>
      </c>
      <c r="P24" s="304">
        <f t="shared" si="54"/>
        <v>7168.52</v>
      </c>
      <c r="Q24" s="288">
        <f t="shared" si="55"/>
        <v>4517.239999999998</v>
      </c>
      <c r="R24" s="289">
        <f t="shared" si="56"/>
        <v>0.10879999999999999</v>
      </c>
      <c r="S24" s="288">
        <f t="shared" si="57"/>
        <v>491.47571199999976</v>
      </c>
      <c r="T24" s="290">
        <f t="shared" si="58"/>
        <v>420.95</v>
      </c>
      <c r="U24" s="288">
        <f t="shared" si="59"/>
        <v>912.42571199999975</v>
      </c>
      <c r="V24" s="288">
        <f t="shared" si="60"/>
        <v>0</v>
      </c>
      <c r="W24" s="288">
        <f t="shared" si="61"/>
        <v>450.21</v>
      </c>
      <c r="X24" s="266">
        <f t="shared" si="62"/>
        <v>0</v>
      </c>
      <c r="Y24" s="266">
        <f t="shared" si="63"/>
        <v>450.21</v>
      </c>
      <c r="Z24" s="267">
        <v>0</v>
      </c>
      <c r="AA24" s="266">
        <f t="shared" si="64"/>
        <v>450.21</v>
      </c>
      <c r="AB24" s="266">
        <f t="shared" si="65"/>
        <v>5315.79</v>
      </c>
      <c r="AC24" s="268"/>
      <c r="AI24" s="93"/>
    </row>
    <row r="25" spans="1:35" s="91" customFormat="1" ht="67.5" customHeight="1" x14ac:dyDescent="0.35">
      <c r="A25" s="143"/>
      <c r="B25" s="146"/>
      <c r="C25" s="146"/>
      <c r="D25" s="237"/>
      <c r="E25" s="236"/>
      <c r="F25" s="236"/>
      <c r="G25" s="238"/>
      <c r="H25" s="196"/>
      <c r="I25" s="208"/>
      <c r="J25" s="209"/>
      <c r="K25" s="210"/>
      <c r="L25" s="211"/>
      <c r="M25" s="212"/>
      <c r="N25" s="213"/>
      <c r="O25" s="213"/>
      <c r="P25" s="213"/>
      <c r="Q25" s="213"/>
      <c r="R25" s="214"/>
      <c r="S25" s="213"/>
      <c r="T25" s="215"/>
      <c r="U25" s="213"/>
      <c r="V25" s="213"/>
      <c r="W25" s="213"/>
      <c r="X25" s="212"/>
      <c r="Y25" s="212"/>
      <c r="Z25" s="216"/>
      <c r="AA25" s="212"/>
      <c r="AB25" s="212"/>
      <c r="AC25" s="108"/>
      <c r="AI25" s="93"/>
    </row>
    <row r="26" spans="1:35" s="91" customFormat="1" ht="27.75" customHeight="1" x14ac:dyDescent="0.25">
      <c r="A26" s="143"/>
      <c r="B26" s="441" t="s">
        <v>76</v>
      </c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I26" s="93"/>
    </row>
    <row r="27" spans="1:35" s="91" customFormat="1" ht="27.75" customHeight="1" x14ac:dyDescent="0.25">
      <c r="A27" s="143"/>
      <c r="B27" s="441" t="s">
        <v>64</v>
      </c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I27" s="93"/>
    </row>
    <row r="28" spans="1:35" s="91" customFormat="1" ht="27.75" customHeight="1" x14ac:dyDescent="0.3">
      <c r="A28" s="143"/>
      <c r="B28" s="472" t="str">
        <f>PRESIDENCIA!A3</f>
        <v>SUELDO  DEL 01 AL 15 DE FEBRERO DE 2026</v>
      </c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2"/>
      <c r="S28" s="472"/>
      <c r="T28" s="472"/>
      <c r="U28" s="472"/>
      <c r="V28" s="472"/>
      <c r="W28" s="472"/>
      <c r="X28" s="472"/>
      <c r="Y28" s="472"/>
      <c r="Z28" s="472"/>
      <c r="AA28" s="472"/>
      <c r="AB28" s="472"/>
      <c r="AC28" s="472"/>
      <c r="AI28" s="93"/>
    </row>
    <row r="29" spans="1:35" s="91" customFormat="1" ht="30.75" customHeight="1" x14ac:dyDescent="0.35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91" customFormat="1" ht="176.25" customHeight="1" x14ac:dyDescent="0.25">
      <c r="A30" s="143"/>
      <c r="B30" s="256" t="s">
        <v>579</v>
      </c>
      <c r="C30" s="256" t="s">
        <v>108</v>
      </c>
      <c r="D30" s="280" t="s">
        <v>580</v>
      </c>
      <c r="E30" s="315" t="s">
        <v>581</v>
      </c>
      <c r="F30" s="316" t="s">
        <v>582</v>
      </c>
      <c r="G30" s="314">
        <v>45078</v>
      </c>
      <c r="H30" s="261" t="s">
        <v>583</v>
      </c>
      <c r="I30" s="277">
        <v>15</v>
      </c>
      <c r="J30" s="263">
        <f t="shared" ref="J30" si="66">K30/I30</f>
        <v>623</v>
      </c>
      <c r="K30" s="264">
        <v>9345</v>
      </c>
      <c r="L30" s="265">
        <v>0</v>
      </c>
      <c r="M30" s="266">
        <f t="shared" ref="M30" si="67">SUM(K30:L30)</f>
        <v>9345</v>
      </c>
      <c r="N30" s="288">
        <f t="shared" ref="N30" si="68">IF(K30/15&lt;=SMG,0,L30/2)</f>
        <v>0</v>
      </c>
      <c r="O30" s="304">
        <f t="shared" ref="O30" si="69">(K30+N30)/I30*30.4</f>
        <v>18939.2</v>
      </c>
      <c r="P30" s="304">
        <f t="shared" ref="P30" si="70">VLOOKUP(O30,Tarifa,1)</f>
        <v>17533.650000000001</v>
      </c>
      <c r="Q30" s="288">
        <f t="shared" ref="Q30" si="71">O30-P30</f>
        <v>1405.5499999999993</v>
      </c>
      <c r="R30" s="289">
        <f t="shared" ref="R30" si="72">VLOOKUP(O30,Tarifa,3)</f>
        <v>0.21360000000000001</v>
      </c>
      <c r="S30" s="288">
        <f t="shared" ref="S30" si="73">Q30*R30</f>
        <v>300.22547999999983</v>
      </c>
      <c r="T30" s="290">
        <f t="shared" ref="T30" si="74">VLOOKUP(O30,Tarifa,2)</f>
        <v>1856.84</v>
      </c>
      <c r="U30" s="288">
        <f t="shared" ref="U30" si="75">S30+T30</f>
        <v>2157.0654799999998</v>
      </c>
      <c r="V30" s="288">
        <f t="shared" ref="V30" si="76">VLOOKUP(O30,Credito,2)</f>
        <v>0</v>
      </c>
      <c r="W30" s="288">
        <f t="shared" ref="W30" si="77">ROUND((U30-V30)/30.4*I30,2)</f>
        <v>1064.3399999999999</v>
      </c>
      <c r="X30" s="266">
        <f t="shared" ref="X30" si="78">-IF(W30&gt;0,0,0)</f>
        <v>0</v>
      </c>
      <c r="Y30" s="266">
        <f t="shared" ref="Y30" si="79">IF(K30/15&lt;=SMG,0,IF(W30&lt;0,0,W30))</f>
        <v>1064.3399999999999</v>
      </c>
      <c r="Z30" s="267">
        <v>0</v>
      </c>
      <c r="AA30" s="266">
        <f t="shared" ref="AA30" si="80">SUM(Y30:Z30)</f>
        <v>1064.3399999999999</v>
      </c>
      <c r="AB30" s="266">
        <f t="shared" ref="AB30" si="81">M30+X30-AA30</f>
        <v>8280.66</v>
      </c>
      <c r="AC30" s="268"/>
      <c r="AI30" s="93"/>
    </row>
    <row r="31" spans="1:35" s="270" customFormat="1" ht="176.25" customHeight="1" x14ac:dyDescent="0.2">
      <c r="A31" s="255"/>
      <c r="B31" s="273" t="s">
        <v>354</v>
      </c>
      <c r="C31" s="273" t="s">
        <v>108</v>
      </c>
      <c r="D31" s="254" t="s">
        <v>355</v>
      </c>
      <c r="E31" s="135" t="s">
        <v>357</v>
      </c>
      <c r="F31" s="135" t="s">
        <v>358</v>
      </c>
      <c r="G31" s="157">
        <v>45459</v>
      </c>
      <c r="H31" s="261" t="s">
        <v>488</v>
      </c>
      <c r="I31" s="277">
        <v>6</v>
      </c>
      <c r="J31" s="263">
        <v>384.4</v>
      </c>
      <c r="K31" s="264">
        <v>2306.4</v>
      </c>
      <c r="L31" s="265">
        <v>0</v>
      </c>
      <c r="M31" s="266">
        <f t="shared" ref="M31" si="82">SUM(K31:L31)</f>
        <v>2306.4</v>
      </c>
      <c r="N31" s="288">
        <f t="shared" ref="N31" si="83">IF(K31/15&lt;=SMG,0,L31/2)</f>
        <v>0</v>
      </c>
      <c r="O31" s="304">
        <f t="shared" ref="O31" si="84">(K31+N31)/I31*30.4</f>
        <v>11685.76</v>
      </c>
      <c r="P31" s="304">
        <f t="shared" ref="P31" si="85">VLOOKUP(O31,Tarifa,1)</f>
        <v>7168.52</v>
      </c>
      <c r="Q31" s="288">
        <f t="shared" ref="Q31" si="86">O31-P31</f>
        <v>4517.24</v>
      </c>
      <c r="R31" s="289">
        <f t="shared" ref="R31" si="87">VLOOKUP(O31,Tarifa,3)</f>
        <v>0.10879999999999999</v>
      </c>
      <c r="S31" s="288">
        <f t="shared" ref="S31" si="88">Q31*R31</f>
        <v>491.47571199999993</v>
      </c>
      <c r="T31" s="290">
        <f t="shared" ref="T31" si="89">VLOOKUP(O31,Tarifa,2)</f>
        <v>420.95</v>
      </c>
      <c r="U31" s="288">
        <f t="shared" ref="U31" si="90">S31+T31</f>
        <v>912.42571199999998</v>
      </c>
      <c r="V31" s="288">
        <f t="shared" ref="V31" si="91">VLOOKUP(O31,Credito,2)</f>
        <v>0</v>
      </c>
      <c r="W31" s="288">
        <f t="shared" ref="W31" si="92">ROUND((U31-V31)/30.4*I31,2)</f>
        <v>180.08</v>
      </c>
      <c r="X31" s="266">
        <f t="shared" ref="X31:X32" si="93">-IF(W31&gt;0,0,0)</f>
        <v>0</v>
      </c>
      <c r="Y31" s="266">
        <f t="shared" ref="Y31:Y32" si="94">IF(K31/15&lt;=SMG,0,IF(W31&lt;0,0,W31))</f>
        <v>0</v>
      </c>
      <c r="Z31" s="267">
        <v>0</v>
      </c>
      <c r="AA31" s="266">
        <f t="shared" ref="AA31:AA32" si="95">SUM(Y31:Z31)</f>
        <v>0</v>
      </c>
      <c r="AB31" s="266">
        <f t="shared" ref="AB31" si="96">M31+X31-AA31</f>
        <v>2306.4</v>
      </c>
      <c r="AC31" s="268"/>
      <c r="AI31" s="271"/>
    </row>
    <row r="32" spans="1:35" s="270" customFormat="1" ht="176.25" customHeight="1" x14ac:dyDescent="0.2">
      <c r="A32" s="255"/>
      <c r="B32" s="257" t="s">
        <v>242</v>
      </c>
      <c r="C32" s="257" t="s">
        <v>108</v>
      </c>
      <c r="D32" s="318" t="s">
        <v>240</v>
      </c>
      <c r="E32" s="134" t="s">
        <v>238</v>
      </c>
      <c r="F32" s="134" t="s">
        <v>239</v>
      </c>
      <c r="G32" s="260">
        <v>44728</v>
      </c>
      <c r="H32" s="261" t="s">
        <v>241</v>
      </c>
      <c r="I32" s="277">
        <v>15</v>
      </c>
      <c r="J32" s="263">
        <f>K32/I32</f>
        <v>455.53333333333336</v>
      </c>
      <c r="K32" s="264">
        <v>6833</v>
      </c>
      <c r="L32" s="265">
        <v>0</v>
      </c>
      <c r="M32" s="264">
        <f>K32</f>
        <v>6833</v>
      </c>
      <c r="N32" s="288">
        <f>IF(K32/15&lt;=SMG,0,L32/2)</f>
        <v>0</v>
      </c>
      <c r="O32" s="304">
        <f>(K32+N32)/I32*30.4</f>
        <v>13848.213333333333</v>
      </c>
      <c r="P32" s="304">
        <f>VLOOKUP(O32,Tarifa,1)</f>
        <v>12598.03</v>
      </c>
      <c r="Q32" s="288">
        <f>O32-P32</f>
        <v>1250.1833333333325</v>
      </c>
      <c r="R32" s="289">
        <f>VLOOKUP(O32,Tarifa,3)</f>
        <v>0.16</v>
      </c>
      <c r="S32" s="288">
        <f>Q32*R32</f>
        <v>200.0293333333332</v>
      </c>
      <c r="T32" s="290">
        <f>VLOOKUP(O32,Tarifa,2)</f>
        <v>1011.68</v>
      </c>
      <c r="U32" s="288">
        <f>S32+T32</f>
        <v>1211.7093333333332</v>
      </c>
      <c r="V32" s="288">
        <f>VLOOKUP(O32,Credito,2)</f>
        <v>0</v>
      </c>
      <c r="W32" s="288">
        <f>ROUND((U32-V32)/30.4*I32,2)</f>
        <v>597.88</v>
      </c>
      <c r="X32" s="266">
        <f t="shared" si="93"/>
        <v>0</v>
      </c>
      <c r="Y32" s="266">
        <f t="shared" si="94"/>
        <v>597.88</v>
      </c>
      <c r="Z32" s="267">
        <v>0</v>
      </c>
      <c r="AA32" s="266">
        <f t="shared" si="95"/>
        <v>597.88</v>
      </c>
      <c r="AB32" s="266">
        <f>M32+X32-AA32+L32</f>
        <v>6235.12</v>
      </c>
      <c r="AC32" s="278"/>
      <c r="AI32" s="271"/>
    </row>
    <row r="33" spans="1:35" s="270" customFormat="1" ht="176.25" customHeight="1" x14ac:dyDescent="0.2">
      <c r="A33" s="255"/>
      <c r="B33" s="273" t="s">
        <v>267</v>
      </c>
      <c r="C33" s="273" t="s">
        <v>108</v>
      </c>
      <c r="D33" s="280" t="s">
        <v>268</v>
      </c>
      <c r="E33" s="281" t="s">
        <v>269</v>
      </c>
      <c r="F33" s="281" t="s">
        <v>270</v>
      </c>
      <c r="G33" s="321">
        <v>45078</v>
      </c>
      <c r="H33" s="261" t="s">
        <v>491</v>
      </c>
      <c r="I33" s="277">
        <v>15</v>
      </c>
      <c r="J33" s="263">
        <f>K33/I33</f>
        <v>327</v>
      </c>
      <c r="K33" s="264">
        <v>4905</v>
      </c>
      <c r="L33" s="265">
        <v>0</v>
      </c>
      <c r="M33" s="266">
        <f t="shared" ref="M33" si="97">SUM(K33:L33)</f>
        <v>4905</v>
      </c>
      <c r="N33" s="288">
        <f>IF(K33/15&lt;=SMG,0,L33/2)</f>
        <v>0</v>
      </c>
      <c r="O33" s="304">
        <f>(K33+N33)/I33*30.4</f>
        <v>9940.7999999999993</v>
      </c>
      <c r="P33" s="304">
        <f>VLOOKUP(O33,Tarifa,1)</f>
        <v>7168.52</v>
      </c>
      <c r="Q33" s="288">
        <f>O33-P33</f>
        <v>2772.2799999999988</v>
      </c>
      <c r="R33" s="289">
        <f>VLOOKUP(O33,Tarifa,3)</f>
        <v>0.10879999999999999</v>
      </c>
      <c r="S33" s="288">
        <f>Q33*R33</f>
        <v>301.62406399999986</v>
      </c>
      <c r="T33" s="290">
        <f>VLOOKUP(O33,Tarifa,2)</f>
        <v>420.95</v>
      </c>
      <c r="U33" s="288">
        <f>S33+T33</f>
        <v>722.57406399999991</v>
      </c>
      <c r="V33" s="288">
        <f>VLOOKUP(O33,Credito,2)</f>
        <v>535.65</v>
      </c>
      <c r="W33" s="288">
        <f>ROUND((U33-V33)/30.4*I33,2)</f>
        <v>92.23</v>
      </c>
      <c r="X33" s="266">
        <f>-IF(W33&gt;0,0,0)</f>
        <v>0</v>
      </c>
      <c r="Y33" s="266">
        <f>IF(K33/15&lt;=SMG,0,IF(W33&lt;0,0,W33))</f>
        <v>92.23</v>
      </c>
      <c r="Z33" s="267">
        <v>0</v>
      </c>
      <c r="AA33" s="266">
        <f>SUM(Y33:Z33)</f>
        <v>92.23</v>
      </c>
      <c r="AB33" s="266">
        <f>M33+X33-AA33</f>
        <v>4812.7700000000004</v>
      </c>
      <c r="AC33" s="275"/>
      <c r="AI33" s="271"/>
    </row>
    <row r="34" spans="1:35" s="270" customFormat="1" ht="176.25" customHeight="1" x14ac:dyDescent="0.2">
      <c r="A34" s="255"/>
      <c r="B34" s="279" t="s">
        <v>559</v>
      </c>
      <c r="C34" s="273" t="s">
        <v>108</v>
      </c>
      <c r="D34" s="258" t="s">
        <v>560</v>
      </c>
      <c r="E34" s="259" t="s">
        <v>561</v>
      </c>
      <c r="F34" s="259" t="s">
        <v>562</v>
      </c>
      <c r="G34" s="260">
        <v>45754</v>
      </c>
      <c r="H34" s="261" t="s">
        <v>67</v>
      </c>
      <c r="I34" s="262">
        <v>15</v>
      </c>
      <c r="J34" s="263">
        <f t="shared" ref="J34" si="98">K34/I34</f>
        <v>496.93333333333334</v>
      </c>
      <c r="K34" s="264">
        <v>7454</v>
      </c>
      <c r="L34" s="265">
        <v>0</v>
      </c>
      <c r="M34" s="266">
        <f>SUM(K34:L34)</f>
        <v>7454</v>
      </c>
      <c r="N34" s="288">
        <f>IF(K34/15&lt;=SMG,0,L34/2)</f>
        <v>0</v>
      </c>
      <c r="O34" s="304">
        <f>(K34+N34)/I34*30.4</f>
        <v>15106.773333333333</v>
      </c>
      <c r="P34" s="304">
        <f>VLOOKUP(O34,Tarifa,1)</f>
        <v>14644.65</v>
      </c>
      <c r="Q34" s="288">
        <f>O34-P34</f>
        <v>462.12333333333299</v>
      </c>
      <c r="R34" s="289">
        <f>VLOOKUP(O34,Tarifa,3)</f>
        <v>0.1792</v>
      </c>
      <c r="S34" s="288">
        <f>Q34*R34</f>
        <v>82.812501333333273</v>
      </c>
      <c r="T34" s="290">
        <f>VLOOKUP(O34,Tarifa,2)</f>
        <v>1339.14</v>
      </c>
      <c r="U34" s="288">
        <f>S34+T34</f>
        <v>1421.9525013333334</v>
      </c>
      <c r="V34" s="288">
        <f>VLOOKUP(O34,Credito,2)</f>
        <v>0</v>
      </c>
      <c r="W34" s="288">
        <f>ROUND((U34-V34)/30.4*I34,2)</f>
        <v>701.62</v>
      </c>
      <c r="X34" s="266">
        <f>-IF(W34&gt;0,0,0)</f>
        <v>0</v>
      </c>
      <c r="Y34" s="266">
        <f>IF(K34/15&lt;=SMG,0,IF(W34&lt;0,0,W34))</f>
        <v>701.62</v>
      </c>
      <c r="Z34" s="267">
        <v>0</v>
      </c>
      <c r="AA34" s="266">
        <f>SUM(Y34:Z34)</f>
        <v>701.62</v>
      </c>
      <c r="AB34" s="266">
        <f>M34+X34-AA34</f>
        <v>6752.38</v>
      </c>
      <c r="AC34" s="275"/>
      <c r="AI34" s="271"/>
    </row>
    <row r="35" spans="1:35" s="52" customFormat="1" ht="39" customHeight="1" thickBot="1" x14ac:dyDescent="0.35">
      <c r="A35" s="438" t="s">
        <v>44</v>
      </c>
      <c r="B35" s="439"/>
      <c r="C35" s="439"/>
      <c r="D35" s="439"/>
      <c r="E35" s="439"/>
      <c r="F35" s="439"/>
      <c r="G35" s="439"/>
      <c r="H35" s="439"/>
      <c r="I35" s="439"/>
      <c r="J35" s="440"/>
      <c r="K35" s="198">
        <f t="shared" ref="K35:AA35" si="99">SUM(K9:K34)</f>
        <v>119908.66</v>
      </c>
      <c r="L35" s="198">
        <f t="shared" si="99"/>
        <v>0</v>
      </c>
      <c r="M35" s="198">
        <f t="shared" si="99"/>
        <v>119908.66</v>
      </c>
      <c r="N35" s="199">
        <f t="shared" si="99"/>
        <v>0</v>
      </c>
      <c r="O35" s="199">
        <f t="shared" si="99"/>
        <v>250026.3402666667</v>
      </c>
      <c r="P35" s="199">
        <f t="shared" si="99"/>
        <v>202698.37999999995</v>
      </c>
      <c r="Q35" s="199">
        <f t="shared" si="99"/>
        <v>47327.960266666647</v>
      </c>
      <c r="R35" s="199">
        <f t="shared" si="99"/>
        <v>2.6128</v>
      </c>
      <c r="S35" s="199">
        <f t="shared" si="99"/>
        <v>7553.0460503466657</v>
      </c>
      <c r="T35" s="199">
        <f t="shared" si="99"/>
        <v>18368.38</v>
      </c>
      <c r="U35" s="199">
        <f t="shared" si="99"/>
        <v>25921.426050346661</v>
      </c>
      <c r="V35" s="199">
        <f t="shared" si="99"/>
        <v>1071.3</v>
      </c>
      <c r="W35" s="199">
        <f t="shared" si="99"/>
        <v>11991.429999999998</v>
      </c>
      <c r="X35" s="198">
        <f t="shared" si="99"/>
        <v>0</v>
      </c>
      <c r="Y35" s="198">
        <f t="shared" si="99"/>
        <v>11798.4</v>
      </c>
      <c r="Z35" s="198">
        <f t="shared" si="99"/>
        <v>0</v>
      </c>
      <c r="AA35" s="198">
        <f t="shared" si="99"/>
        <v>11798.4</v>
      </c>
      <c r="AB35" s="198">
        <f>SUM(AB9:AB34)</f>
        <v>108110.26</v>
      </c>
      <c r="AC35" s="108"/>
    </row>
    <row r="36" spans="1:35" s="52" customFormat="1" ht="26.25" customHeight="1" thickTop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35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4.7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14.25" x14ac:dyDescent="0.2"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35" s="52" customFormat="1" ht="18" x14ac:dyDescent="0.25">
      <c r="B47" s="91"/>
      <c r="C47" s="91"/>
      <c r="D47" s="203" t="s">
        <v>454</v>
      </c>
      <c r="E47" s="203"/>
      <c r="F47" s="203"/>
      <c r="G47" s="203"/>
      <c r="H47" s="203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203" t="s">
        <v>634</v>
      </c>
      <c r="Z47" s="108"/>
      <c r="AA47" s="108"/>
      <c r="AB47" s="108"/>
    </row>
    <row r="48" spans="1:35" s="52" customFormat="1" ht="18" x14ac:dyDescent="0.25">
      <c r="B48" s="91"/>
      <c r="C48" s="91"/>
      <c r="D48" s="203" t="s">
        <v>470</v>
      </c>
      <c r="E48" s="203"/>
      <c r="F48" s="203"/>
      <c r="G48" s="203"/>
      <c r="H48" s="203"/>
      <c r="I48" s="203"/>
      <c r="J48" s="203"/>
      <c r="K48" s="203"/>
      <c r="L48" s="203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03" t="s">
        <v>196</v>
      </c>
      <c r="Z48" s="108"/>
      <c r="AA48" s="203"/>
      <c r="AB48" s="203"/>
      <c r="AC48" s="61"/>
    </row>
    <row r="49" spans="2:28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</sheetData>
  <mergeCells count="14">
    <mergeCell ref="B16:AD16"/>
    <mergeCell ref="B17:AC17"/>
    <mergeCell ref="B28:AC28"/>
    <mergeCell ref="A35:J35"/>
    <mergeCell ref="C5:C7"/>
    <mergeCell ref="B26:AD26"/>
    <mergeCell ref="B27:AD27"/>
    <mergeCell ref="B15:AD15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5:G25 D32:F34 D22:F24 D20:G21 D29:G29 D31:G31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topLeftCell="A4" zoomScale="70" zoomScaleNormal="70" workbookViewId="0">
      <selection activeCell="H18" sqref="H18"/>
    </sheetView>
  </sheetViews>
  <sheetFormatPr baseColWidth="10" defaultRowHeight="12.75" x14ac:dyDescent="0.2"/>
  <cols>
    <col min="4" max="4" width="32.140625" customWidth="1"/>
    <col min="7" max="7" width="20.85546875" customWidth="1"/>
    <col min="8" max="8" width="35.28515625" customWidth="1"/>
    <col min="11" max="11" width="19.28515625" customWidth="1"/>
    <col min="13" max="13" width="14.7109375" customWidth="1"/>
    <col min="14" max="14" width="0.140625" hidden="1" customWidth="1"/>
    <col min="15" max="23" width="11.4257812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41" t="s">
        <v>76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</row>
    <row r="2" spans="1:29" ht="19.5" x14ac:dyDescent="0.25">
      <c r="A2" s="441" t="s">
        <v>64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</row>
    <row r="3" spans="1:29" ht="19.5" x14ac:dyDescent="0.25">
      <c r="A3" s="442" t="str">
        <f>PRESIDENCIA!A3</f>
        <v>SUELDO  DEL 01 AL 15 DE FEBRERO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73" t="s">
        <v>109</v>
      </c>
      <c r="D5" s="48"/>
      <c r="E5" s="48"/>
      <c r="F5" s="48"/>
      <c r="G5" s="48"/>
      <c r="H5" s="48"/>
      <c r="I5" s="49" t="s">
        <v>22</v>
      </c>
      <c r="J5" s="49" t="s">
        <v>5</v>
      </c>
      <c r="K5" s="462" t="s">
        <v>1</v>
      </c>
      <c r="L5" s="463"/>
      <c r="M5" s="464"/>
      <c r="N5" s="50" t="s">
        <v>25</v>
      </c>
      <c r="O5" s="51"/>
      <c r="P5" s="465" t="s">
        <v>8</v>
      </c>
      <c r="Q5" s="466"/>
      <c r="R5" s="466"/>
      <c r="S5" s="466"/>
      <c r="T5" s="466"/>
      <c r="U5" s="467"/>
      <c r="V5" s="50" t="s">
        <v>29</v>
      </c>
      <c r="W5" s="50" t="s">
        <v>9</v>
      </c>
      <c r="X5" s="49" t="s">
        <v>52</v>
      </c>
      <c r="Y5" s="468" t="s">
        <v>2</v>
      </c>
      <c r="Z5" s="469"/>
      <c r="AA5" s="470"/>
      <c r="AB5" s="49" t="s">
        <v>0</v>
      </c>
      <c r="AC5" s="48"/>
    </row>
    <row r="6" spans="1:29" ht="24" x14ac:dyDescent="0.2">
      <c r="A6" s="53" t="s">
        <v>20</v>
      </c>
      <c r="B6" s="47" t="s">
        <v>93</v>
      </c>
      <c r="C6" s="474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75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94</v>
      </c>
      <c r="F8" s="127" t="s">
        <v>206</v>
      </c>
      <c r="G8" s="125" t="s">
        <v>255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81" x14ac:dyDescent="0.2">
      <c r="A9" s="255" t="s">
        <v>83</v>
      </c>
      <c r="B9" s="256" t="s">
        <v>427</v>
      </c>
      <c r="C9" s="257" t="s">
        <v>108</v>
      </c>
      <c r="D9" s="258" t="s">
        <v>378</v>
      </c>
      <c r="E9" s="259" t="s">
        <v>455</v>
      </c>
      <c r="F9" s="259" t="s">
        <v>379</v>
      </c>
      <c r="G9" s="260">
        <v>45566</v>
      </c>
      <c r="H9" s="261" t="s">
        <v>484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454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634</v>
      </c>
      <c r="Y31" s="108"/>
      <c r="Z31" s="108"/>
      <c r="AA31" s="108"/>
    </row>
    <row r="32" spans="1:27" ht="18" x14ac:dyDescent="0.25">
      <c r="A32" s="91"/>
      <c r="B32" s="91"/>
      <c r="C32" s="203" t="s">
        <v>470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196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4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24" zoomScale="70" zoomScaleNormal="70" workbookViewId="0">
      <selection activeCell="D26" sqref="D2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" customWidth="1"/>
    <col min="9" max="9" width="8.28515625" hidden="1" customWidth="1"/>
    <col min="10" max="10" width="10.71093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8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5" x14ac:dyDescent="0.25">
      <c r="A3" s="442" t="str">
        <f>PRESIDENCIA!A3</f>
        <v>SUELDO  DEL 01 AL 15 DE FEBRERO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62" t="s">
        <v>1</v>
      </c>
      <c r="L5" s="463"/>
      <c r="M5" s="464"/>
      <c r="N5" s="50" t="s">
        <v>25</v>
      </c>
      <c r="O5" s="51"/>
      <c r="P5" s="465" t="s">
        <v>8</v>
      </c>
      <c r="Q5" s="466"/>
      <c r="R5" s="466"/>
      <c r="S5" s="466"/>
      <c r="T5" s="466"/>
      <c r="U5" s="467"/>
      <c r="V5" s="50" t="s">
        <v>29</v>
      </c>
      <c r="W5" s="50" t="s">
        <v>9</v>
      </c>
      <c r="X5" s="49" t="s">
        <v>52</v>
      </c>
      <c r="Y5" s="468" t="s">
        <v>2</v>
      </c>
      <c r="Z5" s="469"/>
      <c r="AA5" s="470"/>
      <c r="AB5" s="49" t="s">
        <v>0</v>
      </c>
      <c r="AC5" s="48"/>
    </row>
    <row r="6" spans="1:29" s="52" customFormat="1" ht="24" x14ac:dyDescent="0.2">
      <c r="A6" s="53" t="s">
        <v>99</v>
      </c>
      <c r="B6" s="47" t="s">
        <v>93</v>
      </c>
      <c r="C6" s="47" t="s">
        <v>114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249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94</v>
      </c>
      <c r="F8" s="175" t="s">
        <v>206</v>
      </c>
      <c r="G8" s="148" t="s">
        <v>255</v>
      </c>
      <c r="H8" s="175" t="s">
        <v>61</v>
      </c>
      <c r="I8" s="175"/>
      <c r="J8" s="175"/>
      <c r="K8" s="176">
        <f>SUM(K9:K26)</f>
        <v>56730.1</v>
      </c>
      <c r="L8" s="176">
        <f>SUM(L9:L26)</f>
        <v>0</v>
      </c>
      <c r="M8" s="176">
        <f>SUM(M9:M26)</f>
        <v>56730.1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SUM(X9:X26)</f>
        <v>0</v>
      </c>
      <c r="Y8" s="176">
        <f>SUM(Y9:Y26)</f>
        <v>1809.88</v>
      </c>
      <c r="Z8" s="176">
        <f>SUM(Z9:Z26)</f>
        <v>0</v>
      </c>
      <c r="AA8" s="176">
        <f>SUM(AA9:AA26)</f>
        <v>1809.88</v>
      </c>
      <c r="AB8" s="176">
        <f>SUM(AB9:AB27)</f>
        <v>60236.01</v>
      </c>
      <c r="AC8" s="96"/>
    </row>
    <row r="9" spans="1:29" s="324" customFormat="1" ht="212.25" customHeight="1" x14ac:dyDescent="0.2">
      <c r="A9" s="322"/>
      <c r="B9" s="273" t="s">
        <v>154</v>
      </c>
      <c r="C9" s="273" t="s">
        <v>108</v>
      </c>
      <c r="D9" s="258" t="s">
        <v>150</v>
      </c>
      <c r="E9" s="259" t="s">
        <v>153</v>
      </c>
      <c r="F9" s="259" t="s">
        <v>223</v>
      </c>
      <c r="G9" s="260">
        <v>43512</v>
      </c>
      <c r="H9" s="261" t="s">
        <v>149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243</v>
      </c>
      <c r="C10" s="273" t="s">
        <v>108</v>
      </c>
      <c r="D10" s="258" t="s">
        <v>245</v>
      </c>
      <c r="E10" s="268" t="s">
        <v>246</v>
      </c>
      <c r="F10" s="268" t="s">
        <v>247</v>
      </c>
      <c r="G10" s="314">
        <v>44743</v>
      </c>
      <c r="H10" s="261" t="s">
        <v>149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 t="shared" ref="X10" si="0"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23"/>
    </row>
    <row r="11" spans="1:29" s="324" customFormat="1" ht="212.25" customHeight="1" x14ac:dyDescent="0.2">
      <c r="A11" s="322"/>
      <c r="B11" s="273" t="s">
        <v>96</v>
      </c>
      <c r="C11" s="273" t="s">
        <v>108</v>
      </c>
      <c r="D11" s="258" t="s">
        <v>70</v>
      </c>
      <c r="E11" s="259" t="s">
        <v>97</v>
      </c>
      <c r="F11" s="259" t="s">
        <v>209</v>
      </c>
      <c r="G11" s="260">
        <v>39448</v>
      </c>
      <c r="H11" s="261" t="s">
        <v>489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535.65</v>
      </c>
      <c r="W11" s="288">
        <f>ROUND((U11-V11)/30.4*I11,2)</f>
        <v>167.63</v>
      </c>
      <c r="X11" s="266">
        <f t="shared" ref="X11:X37" si="1">-IF(W11&gt;0,0,0)</f>
        <v>0</v>
      </c>
      <c r="Y11" s="266">
        <f>IF(K11/15&lt;=SMG,0,IF(W11&lt;0,0,W11))</f>
        <v>167.63</v>
      </c>
      <c r="Z11" s="267">
        <v>0</v>
      </c>
      <c r="AA11" s="266">
        <f>SUM(Y11:Z11)</f>
        <v>167.63</v>
      </c>
      <c r="AB11" s="266">
        <f>M11+X11-AA11</f>
        <v>5430.37</v>
      </c>
      <c r="AC11" s="323"/>
    </row>
    <row r="12" spans="1:29" s="324" customFormat="1" ht="212.25" customHeight="1" x14ac:dyDescent="0.2">
      <c r="A12" s="322"/>
      <c r="B12" s="279" t="s">
        <v>162</v>
      </c>
      <c r="C12" s="273" t="s">
        <v>108</v>
      </c>
      <c r="D12" s="280" t="s">
        <v>160</v>
      </c>
      <c r="E12" s="281" t="s">
        <v>161</v>
      </c>
      <c r="F12" s="281" t="s">
        <v>226</v>
      </c>
      <c r="G12" s="282">
        <v>43617</v>
      </c>
      <c r="H12" s="261" t="s">
        <v>489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120</v>
      </c>
      <c r="C13" s="273" t="s">
        <v>108</v>
      </c>
      <c r="D13" s="280" t="s">
        <v>119</v>
      </c>
      <c r="E13" s="281" t="s">
        <v>121</v>
      </c>
      <c r="F13" s="281" t="s">
        <v>213</v>
      </c>
      <c r="G13" s="321">
        <v>42948</v>
      </c>
      <c r="H13" s="261" t="s">
        <v>490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12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56.6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52" t="s">
        <v>76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</row>
    <row r="18" spans="1:30" s="4" customFormat="1" ht="27" customHeight="1" x14ac:dyDescent="0.25">
      <c r="A18" s="194"/>
      <c r="B18" s="452" t="s">
        <v>64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</row>
    <row r="19" spans="1:30" s="4" customFormat="1" ht="27" customHeight="1" x14ac:dyDescent="0.3">
      <c r="A19" s="194"/>
      <c r="B19" s="476" t="str">
        <f>PRESIDENCIA!A3</f>
        <v>SUELDO  DEL 01 AL 15 DE FEBRERO DE 2026</v>
      </c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399</v>
      </c>
      <c r="C21" s="326" t="s">
        <v>108</v>
      </c>
      <c r="D21" s="327" t="s">
        <v>389</v>
      </c>
      <c r="E21" s="328" t="s">
        <v>400</v>
      </c>
      <c r="F21" s="328" t="s">
        <v>401</v>
      </c>
      <c r="G21" s="329">
        <v>45566</v>
      </c>
      <c r="H21" s="330" t="s">
        <v>95</v>
      </c>
      <c r="I21" s="262">
        <v>15</v>
      </c>
      <c r="J21" s="263">
        <f t="shared" ref="J21:J25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535.65</v>
      </c>
      <c r="W21" s="288">
        <f>ROUND((U21-V21)/30.4*I21,2)</f>
        <v>92.23</v>
      </c>
      <c r="X21" s="333">
        <f t="shared" ref="X21:X22" si="7">-IF(W21&gt;0,0,0)</f>
        <v>0</v>
      </c>
      <c r="Y21" s="333">
        <f t="shared" ref="Y21:Y22" si="8">IF(K21/15&lt;=SMG,0,IF(W21&lt;0,0,W21))</f>
        <v>92.23</v>
      </c>
      <c r="Z21" s="334">
        <v>0</v>
      </c>
      <c r="AA21" s="333">
        <f t="shared" ref="AA21" si="9">SUM(Y21:Z21)</f>
        <v>92.23</v>
      </c>
      <c r="AB21" s="333">
        <f t="shared" ref="AB21" si="10">M21+X21-AA21</f>
        <v>4812.7700000000004</v>
      </c>
      <c r="AC21" s="335"/>
    </row>
    <row r="22" spans="1:30" s="324" customFormat="1" ht="166.5" customHeight="1" x14ac:dyDescent="0.2">
      <c r="A22" s="325"/>
      <c r="B22" s="273" t="s">
        <v>282</v>
      </c>
      <c r="C22" s="273" t="s">
        <v>108</v>
      </c>
      <c r="D22" s="280" t="s">
        <v>281</v>
      </c>
      <c r="E22" s="281" t="s">
        <v>283</v>
      </c>
      <c r="F22" s="281" t="s">
        <v>284</v>
      </c>
      <c r="G22" s="321">
        <v>45123</v>
      </c>
      <c r="H22" s="261" t="s">
        <v>280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2">
      <c r="A23" s="322"/>
      <c r="B23" s="273" t="s">
        <v>163</v>
      </c>
      <c r="C23" s="273" t="s">
        <v>108</v>
      </c>
      <c r="D23" s="280" t="s">
        <v>164</v>
      </c>
      <c r="E23" s="281" t="s">
        <v>165</v>
      </c>
      <c r="F23" s="281" t="s">
        <v>227</v>
      </c>
      <c r="G23" s="321">
        <v>43709</v>
      </c>
      <c r="H23" s="261" t="s">
        <v>198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202</v>
      </c>
      <c r="C24" s="273" t="s">
        <v>108</v>
      </c>
      <c r="D24" s="258" t="s">
        <v>188</v>
      </c>
      <c r="E24" s="259" t="s">
        <v>189</v>
      </c>
      <c r="F24" s="259" t="s">
        <v>212</v>
      </c>
      <c r="G24" s="260">
        <v>44473</v>
      </c>
      <c r="H24" s="261" t="s">
        <v>388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2">
      <c r="A25" s="322"/>
      <c r="B25" s="279" t="s">
        <v>498</v>
      </c>
      <c r="C25" s="273" t="s">
        <v>108</v>
      </c>
      <c r="D25" s="258" t="s">
        <v>500</v>
      </c>
      <c r="E25" s="259" t="s">
        <v>501</v>
      </c>
      <c r="F25" s="259" t="s">
        <v>502</v>
      </c>
      <c r="G25" s="260">
        <v>45673</v>
      </c>
      <c r="H25" s="261" t="s">
        <v>356</v>
      </c>
      <c r="I25" s="262">
        <v>15</v>
      </c>
      <c r="J25" s="263">
        <f t="shared" si="5"/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2">
      <c r="A26" s="322"/>
      <c r="B26" s="279" t="s">
        <v>499</v>
      </c>
      <c r="C26" s="273" t="s">
        <v>108</v>
      </c>
      <c r="D26" s="258" t="s">
        <v>503</v>
      </c>
      <c r="E26" s="259" t="s">
        <v>505</v>
      </c>
      <c r="F26" s="259" t="s">
        <v>504</v>
      </c>
      <c r="G26" s="260">
        <v>45673</v>
      </c>
      <c r="H26" s="261" t="s">
        <v>356</v>
      </c>
      <c r="I26" s="262">
        <v>9</v>
      </c>
      <c r="J26" s="263">
        <v>384.4</v>
      </c>
      <c r="K26" s="264">
        <v>3459.6</v>
      </c>
      <c r="L26" s="265">
        <v>0</v>
      </c>
      <c r="M26" s="266">
        <f t="shared" ref="M26" si="26">SUM(K26:L26)</f>
        <v>3459.6</v>
      </c>
      <c r="N26" s="288">
        <f t="shared" ref="N26" si="27">IF(K26/15&lt;=SMG,0,L26/2)</f>
        <v>0</v>
      </c>
      <c r="O26" s="304">
        <f t="shared" ref="O26" si="28">(K26+N26)/I26*30.4</f>
        <v>11685.759999999998</v>
      </c>
      <c r="P26" s="304">
        <f t="shared" ref="P26" si="29">VLOOKUP(O26,Tarifa,1)</f>
        <v>7168.52</v>
      </c>
      <c r="Q26" s="288">
        <f t="shared" ref="Q26" si="30">O26-P26</f>
        <v>4517.239999999998</v>
      </c>
      <c r="R26" s="289">
        <f t="shared" ref="R26" si="31">VLOOKUP(O26,Tarifa,3)</f>
        <v>0.10879999999999999</v>
      </c>
      <c r="S26" s="288">
        <f t="shared" ref="S26" si="32">Q26*R26</f>
        <v>491.47571199999976</v>
      </c>
      <c r="T26" s="290">
        <f t="shared" ref="T26" si="33">VLOOKUP(O26,Tarifa,2)</f>
        <v>420.95</v>
      </c>
      <c r="U26" s="288">
        <f t="shared" ref="U26" si="34">S26+T26</f>
        <v>912.42571199999975</v>
      </c>
      <c r="V26" s="288">
        <f t="shared" ref="V26" si="35">VLOOKUP(O26,Credito,2)</f>
        <v>0</v>
      </c>
      <c r="W26" s="288">
        <f t="shared" ref="W26" si="36">ROUND((U26-V26)/30.4*I26,2)</f>
        <v>270.13</v>
      </c>
      <c r="X26" s="266">
        <f t="shared" ref="X26" si="37">-IF(W26&gt;0,0,0)</f>
        <v>0</v>
      </c>
      <c r="Y26" s="266">
        <f t="shared" ref="Y26" si="38">IF(K26/15&lt;=SMG,0,IF(W26&lt;0,0,W26))</f>
        <v>0</v>
      </c>
      <c r="Z26" s="267">
        <v>0</v>
      </c>
      <c r="AA26" s="266">
        <f t="shared" ref="AA26" si="39">SUM(Y26:Z26)</f>
        <v>0</v>
      </c>
      <c r="AB26" s="266">
        <f t="shared" ref="AB26" si="40">M26+X26-AA26</f>
        <v>3459.6</v>
      </c>
      <c r="AC26" s="323"/>
    </row>
    <row r="27" spans="1:30" s="324" customFormat="1" ht="166.5" customHeight="1" x14ac:dyDescent="0.2">
      <c r="A27" s="394"/>
      <c r="B27" s="279" t="s">
        <v>609</v>
      </c>
      <c r="C27" s="273" t="s">
        <v>108</v>
      </c>
      <c r="D27" s="258" t="s">
        <v>605</v>
      </c>
      <c r="E27" s="259" t="s">
        <v>606</v>
      </c>
      <c r="F27" s="259" t="s">
        <v>607</v>
      </c>
      <c r="G27" s="260">
        <v>45901</v>
      </c>
      <c r="H27" s="261" t="s">
        <v>356</v>
      </c>
      <c r="I27" s="262">
        <v>15</v>
      </c>
      <c r="J27" s="263">
        <f>K27/I27</f>
        <v>384.4</v>
      </c>
      <c r="K27" s="264">
        <v>5766</v>
      </c>
      <c r="L27" s="265">
        <v>0</v>
      </c>
      <c r="M27" s="266">
        <f t="shared" ref="M27" si="41">SUM(K27:L27)</f>
        <v>5766</v>
      </c>
      <c r="N27" s="288">
        <f t="shared" ref="N27" si="42">IF(K27/15&lt;=SMG,0,L27/2)</f>
        <v>0</v>
      </c>
      <c r="O27" s="304">
        <f t="shared" ref="O27" si="43">(K27+N27)/I27*30.4</f>
        <v>11685.759999999998</v>
      </c>
      <c r="P27" s="304">
        <f t="shared" ref="P27" si="44">VLOOKUP(O27,Tarifa,1)</f>
        <v>7168.52</v>
      </c>
      <c r="Q27" s="288">
        <f t="shared" ref="Q27" si="45">O27-P27</f>
        <v>4517.239999999998</v>
      </c>
      <c r="R27" s="289">
        <f t="shared" ref="R27" si="46">VLOOKUP(O27,Tarifa,3)</f>
        <v>0.10879999999999999</v>
      </c>
      <c r="S27" s="288">
        <f t="shared" ref="S27" si="47">Q27*R27</f>
        <v>491.47571199999976</v>
      </c>
      <c r="T27" s="290">
        <f t="shared" ref="T27" si="48">VLOOKUP(O27,Tarifa,2)</f>
        <v>420.95</v>
      </c>
      <c r="U27" s="288">
        <f t="shared" ref="U27" si="49">S27+T27</f>
        <v>912.42571199999975</v>
      </c>
      <c r="V27" s="288">
        <f t="shared" ref="V27" si="50">VLOOKUP(O27,Credito,2)</f>
        <v>0</v>
      </c>
      <c r="W27" s="288">
        <f t="shared" ref="W27" si="51">ROUND((U27-V27)/30.4*I27,2)</f>
        <v>450.21</v>
      </c>
      <c r="X27" s="266">
        <f t="shared" ref="X27" si="52">-IF(W27&gt;0,0,0)</f>
        <v>0</v>
      </c>
      <c r="Y27" s="266">
        <f t="shared" ref="Y27" si="53">IF(K27/15&lt;=SMG,0,IF(W27&lt;0,0,W27))</f>
        <v>450.21</v>
      </c>
      <c r="Z27" s="267">
        <v>0</v>
      </c>
      <c r="AA27" s="266">
        <f t="shared" ref="AA27" si="54">SUM(Y27:Z27)</f>
        <v>450.21</v>
      </c>
      <c r="AB27" s="266">
        <f t="shared" ref="AB27" si="55">M27+X27-AA27</f>
        <v>5315.79</v>
      </c>
      <c r="AC27" s="323"/>
    </row>
    <row r="28" spans="1:30" s="324" customFormat="1" ht="63" customHeight="1" x14ac:dyDescent="0.2">
      <c r="A28" s="394"/>
      <c r="B28" s="382"/>
      <c r="C28" s="383"/>
      <c r="D28" s="384"/>
      <c r="E28" s="385"/>
      <c r="F28" s="385"/>
      <c r="G28" s="386"/>
      <c r="H28" s="387"/>
      <c r="I28" s="388"/>
      <c r="J28" s="389"/>
      <c r="K28" s="390"/>
      <c r="L28" s="391"/>
      <c r="M28" s="392"/>
      <c r="N28" s="374"/>
      <c r="O28" s="375"/>
      <c r="P28" s="375"/>
      <c r="Q28" s="374"/>
      <c r="R28" s="376"/>
      <c r="S28" s="374"/>
      <c r="T28" s="377"/>
      <c r="U28" s="374"/>
      <c r="V28" s="374"/>
      <c r="W28" s="374"/>
      <c r="X28" s="392"/>
      <c r="Y28" s="392"/>
      <c r="Z28" s="393"/>
      <c r="AA28" s="392"/>
      <c r="AB28" s="392"/>
    </row>
    <row r="29" spans="1:30" s="4" customFormat="1" ht="34.5" customHeight="1" x14ac:dyDescent="0.25">
      <c r="A29" s="239"/>
      <c r="B29" s="452" t="s">
        <v>76</v>
      </c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</row>
    <row r="30" spans="1:30" s="4" customFormat="1" ht="27" customHeight="1" x14ac:dyDescent="0.25">
      <c r="A30" s="239"/>
      <c r="B30" s="452" t="s">
        <v>64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</row>
    <row r="31" spans="1:30" s="4" customFormat="1" ht="24" customHeight="1" x14ac:dyDescent="0.25">
      <c r="A31" s="239"/>
      <c r="B31" s="442" t="str">
        <f>PRESIDENCIA!A3</f>
        <v>SUELDO  DEL 01 AL 15 DE FEBRERO DE 2026</v>
      </c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2"/>
      <c r="AC31" s="442"/>
      <c r="AD31" s="442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93</v>
      </c>
      <c r="C33" s="111" t="s">
        <v>114</v>
      </c>
      <c r="D33" s="175" t="s">
        <v>113</v>
      </c>
      <c r="E33" s="175" t="s">
        <v>94</v>
      </c>
      <c r="F33" s="175" t="s">
        <v>206</v>
      </c>
      <c r="G33" s="148" t="s">
        <v>255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155</v>
      </c>
      <c r="C34" s="273" t="s">
        <v>108</v>
      </c>
      <c r="D34" s="258" t="s">
        <v>147</v>
      </c>
      <c r="E34" s="259" t="s">
        <v>152</v>
      </c>
      <c r="F34" s="259" t="s">
        <v>224</v>
      </c>
      <c r="G34" s="260">
        <v>43512</v>
      </c>
      <c r="H34" s="261" t="s">
        <v>492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93</v>
      </c>
      <c r="C35" s="111" t="s">
        <v>114</v>
      </c>
      <c r="D35" s="175" t="s">
        <v>69</v>
      </c>
      <c r="E35" s="175" t="s">
        <v>94</v>
      </c>
      <c r="F35" s="175" t="s">
        <v>206</v>
      </c>
      <c r="G35" s="148" t="s">
        <v>255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185</v>
      </c>
      <c r="C36" s="273" t="s">
        <v>108</v>
      </c>
      <c r="D36" s="258" t="s">
        <v>190</v>
      </c>
      <c r="E36" s="259" t="s">
        <v>191</v>
      </c>
      <c r="F36" s="259" t="s">
        <v>231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56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57">IF(K36/15&lt;=SMG,0,IF(W36&lt;0,0,W36))</f>
        <v>827.42</v>
      </c>
      <c r="Z36" s="267">
        <v>0</v>
      </c>
      <c r="AA36" s="266">
        <f t="shared" ref="AA36" si="58">SUM(Y36:Z36)</f>
        <v>827.42</v>
      </c>
      <c r="AB36" s="266">
        <f t="shared" ref="AB36" si="59">M36+X36-AA36</f>
        <v>7328.58</v>
      </c>
      <c r="AC36" s="323"/>
    </row>
    <row r="37" spans="1:35" s="324" customFormat="1" ht="186.75" customHeight="1" x14ac:dyDescent="0.2">
      <c r="A37" s="322"/>
      <c r="B37" s="279" t="s">
        <v>289</v>
      </c>
      <c r="C37" s="273" t="s">
        <v>108</v>
      </c>
      <c r="D37" s="258" t="s">
        <v>290</v>
      </c>
      <c r="E37" s="259" t="s">
        <v>291</v>
      </c>
      <c r="F37" s="259" t="s">
        <v>292</v>
      </c>
      <c r="G37" s="260">
        <v>45173</v>
      </c>
      <c r="H37" s="261" t="s">
        <v>148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60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93</v>
      </c>
      <c r="C38" s="111" t="s">
        <v>114</v>
      </c>
      <c r="D38" s="175" t="s">
        <v>113</v>
      </c>
      <c r="E38" s="175" t="s">
        <v>94</v>
      </c>
      <c r="F38" s="175" t="s">
        <v>206</v>
      </c>
      <c r="G38" s="148" t="s">
        <v>255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141</v>
      </c>
      <c r="C39" s="273" t="s">
        <v>108</v>
      </c>
      <c r="D39" s="258" t="s">
        <v>130</v>
      </c>
      <c r="E39" s="259" t="s">
        <v>137</v>
      </c>
      <c r="F39" s="259" t="s">
        <v>216</v>
      </c>
      <c r="G39" s="260">
        <v>43374</v>
      </c>
      <c r="H39" s="261" t="s">
        <v>129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38" t="s">
        <v>44</v>
      </c>
      <c r="B41" s="439"/>
      <c r="C41" s="439"/>
      <c r="D41" s="439"/>
      <c r="E41" s="439"/>
      <c r="F41" s="439"/>
      <c r="G41" s="439"/>
      <c r="H41" s="439"/>
      <c r="I41" s="439"/>
      <c r="J41" s="440"/>
      <c r="K41" s="198">
        <f>K8+K35+K38+K33</f>
        <v>84806.1</v>
      </c>
      <c r="L41" s="198">
        <f>L8+L35+L38+L33</f>
        <v>0</v>
      </c>
      <c r="M41" s="198">
        <f>M8+M35+M38+M33</f>
        <v>84806.1</v>
      </c>
      <c r="N41" s="199">
        <f t="shared" ref="N41:W41" si="61">SUM(N9:N40)</f>
        <v>0</v>
      </c>
      <c r="O41" s="199">
        <f t="shared" si="61"/>
        <v>188233.75999999998</v>
      </c>
      <c r="P41" s="199">
        <f t="shared" si="61"/>
        <v>140507.60000000003</v>
      </c>
      <c r="Q41" s="199">
        <f t="shared" si="61"/>
        <v>47726.159999999989</v>
      </c>
      <c r="R41" s="199">
        <f t="shared" si="61"/>
        <v>1.984</v>
      </c>
      <c r="S41" s="199">
        <f t="shared" si="61"/>
        <v>5482.4985173333316</v>
      </c>
      <c r="T41" s="199">
        <f t="shared" si="61"/>
        <v>9753.0400000000009</v>
      </c>
      <c r="U41" s="199">
        <f t="shared" si="61"/>
        <v>15235.538517333332</v>
      </c>
      <c r="V41" s="199">
        <f t="shared" si="61"/>
        <v>4820.8499999999995</v>
      </c>
      <c r="W41" s="199">
        <f t="shared" si="61"/>
        <v>4958.7400000000007</v>
      </c>
      <c r="X41" s="198">
        <f>X8+X35+X38+X33</f>
        <v>0</v>
      </c>
      <c r="Y41" s="198">
        <f>Y8+Y35+Y38+Y33</f>
        <v>4106.8900000000003</v>
      </c>
      <c r="Z41" s="198">
        <f>Z8+Z35+Z38+Z33</f>
        <v>0</v>
      </c>
      <c r="AA41" s="198">
        <f>AA8+AA35+AA38+AA33</f>
        <v>4106.8900000000003</v>
      </c>
      <c r="AB41" s="198">
        <f>AB8+AB35+AB38+AB33</f>
        <v>86015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454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628</v>
      </c>
      <c r="Z50" s="202"/>
      <c r="AA50" s="201"/>
      <c r="AB50" s="202"/>
      <c r="AC50" s="202"/>
    </row>
    <row r="51" spans="4:41" s="4" customFormat="1" ht="20.25" x14ac:dyDescent="0.3">
      <c r="D51" s="201" t="s">
        <v>469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196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F10" zoomScaleNormal="100" workbookViewId="0">
      <selection activeCell="D12" sqref="D1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41" t="s">
        <v>76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</row>
    <row r="2" spans="1:33" ht="19.5" x14ac:dyDescent="0.25">
      <c r="A2" s="441" t="s">
        <v>64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</row>
    <row r="3" spans="1:33" ht="19.5" x14ac:dyDescent="0.25">
      <c r="A3" s="442" t="str">
        <f>PRESIDENCIA!A3</f>
        <v>SUELDO  DEL 01 AL 15 DE FEBRERO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80" t="s">
        <v>114</v>
      </c>
      <c r="D5" s="48"/>
      <c r="E5" s="48"/>
      <c r="F5" s="48"/>
      <c r="G5" s="48"/>
      <c r="H5" s="48"/>
      <c r="I5" s="49" t="s">
        <v>22</v>
      </c>
      <c r="J5" s="49" t="s">
        <v>5</v>
      </c>
      <c r="K5" s="443" t="s">
        <v>1</v>
      </c>
      <c r="L5" s="444"/>
      <c r="M5" s="445"/>
      <c r="N5" s="116" t="s">
        <v>25</v>
      </c>
      <c r="O5" s="117"/>
      <c r="P5" s="446" t="s">
        <v>8</v>
      </c>
      <c r="Q5" s="447"/>
      <c r="R5" s="447"/>
      <c r="S5" s="447"/>
      <c r="T5" s="447"/>
      <c r="U5" s="448"/>
      <c r="V5" s="116" t="s">
        <v>29</v>
      </c>
      <c r="W5" s="116" t="s">
        <v>9</v>
      </c>
      <c r="X5" s="115" t="s">
        <v>52</v>
      </c>
      <c r="Y5" s="449" t="s">
        <v>2</v>
      </c>
      <c r="Z5" s="450"/>
      <c r="AA5" s="451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93</v>
      </c>
      <c r="C6" s="481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249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82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182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93</v>
      </c>
      <c r="C8" s="148" t="s">
        <v>114</v>
      </c>
      <c r="D8" s="217" t="s">
        <v>132</v>
      </c>
      <c r="E8" s="218" t="s">
        <v>94</v>
      </c>
      <c r="F8" s="218" t="s">
        <v>206</v>
      </c>
      <c r="G8" s="217" t="s">
        <v>255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108</v>
      </c>
      <c r="D9" s="340" t="s">
        <v>382</v>
      </c>
      <c r="E9" s="341" t="s">
        <v>383</v>
      </c>
      <c r="F9" s="341" t="s">
        <v>384</v>
      </c>
      <c r="G9" s="342">
        <v>45566</v>
      </c>
      <c r="H9" s="343" t="s">
        <v>649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387</v>
      </c>
      <c r="C10" s="273" t="s">
        <v>108</v>
      </c>
      <c r="D10" s="254" t="s">
        <v>385</v>
      </c>
      <c r="E10" s="135" t="s">
        <v>453</v>
      </c>
      <c r="F10" s="283" t="s">
        <v>386</v>
      </c>
      <c r="G10" s="260">
        <v>45566</v>
      </c>
      <c r="H10" s="261" t="s">
        <v>648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93</v>
      </c>
      <c r="C11" s="148" t="s">
        <v>114</v>
      </c>
      <c r="D11" s="218" t="s">
        <v>116</v>
      </c>
      <c r="E11" s="218" t="s">
        <v>94</v>
      </c>
      <c r="F11" s="218" t="s">
        <v>206</v>
      </c>
      <c r="G11" s="217" t="s">
        <v>255</v>
      </c>
      <c r="H11" s="218" t="s">
        <v>61</v>
      </c>
      <c r="I11" s="218"/>
      <c r="J11" s="218"/>
      <c r="K11" s="219">
        <f>SUM(K12:K13)</f>
        <v>6367.2</v>
      </c>
      <c r="L11" s="219">
        <f>SUM(L12:L13)</f>
        <v>0</v>
      </c>
      <c r="M11" s="219">
        <f>SUM(M12:M13)</f>
        <v>6367.2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SUM(X12:X13)</f>
        <v>0</v>
      </c>
      <c r="Y11" s="219">
        <f>SUM(Y12:Y13)</f>
        <v>0</v>
      </c>
      <c r="Z11" s="219">
        <f>SUM(Z12:Z13)</f>
        <v>0</v>
      </c>
      <c r="AA11" s="219">
        <f>SUM(AA12:AA13)</f>
        <v>0</v>
      </c>
      <c r="AB11" s="219">
        <f>SUM(AB12:AB13)</f>
        <v>6367.2</v>
      </c>
      <c r="AC11" s="97"/>
      <c r="AG11" s="60"/>
    </row>
    <row r="12" spans="1:33" s="293" customFormat="1" ht="198" customHeight="1" x14ac:dyDescent="0.2">
      <c r="A12" s="345" t="s">
        <v>85</v>
      </c>
      <c r="B12" s="273" t="s">
        <v>571</v>
      </c>
      <c r="C12" s="273" t="s">
        <v>108</v>
      </c>
      <c r="D12" s="254" t="s">
        <v>572</v>
      </c>
      <c r="E12" s="135" t="s">
        <v>573</v>
      </c>
      <c r="F12" s="135" t="s">
        <v>574</v>
      </c>
      <c r="G12" s="157">
        <v>45839</v>
      </c>
      <c r="H12" s="276" t="s">
        <v>91</v>
      </c>
      <c r="I12" s="262">
        <v>4</v>
      </c>
      <c r="J12" s="263">
        <v>530.79999999999995</v>
      </c>
      <c r="K12" s="264">
        <v>2123.1999999999998</v>
      </c>
      <c r="L12" s="265">
        <v>0</v>
      </c>
      <c r="M12" s="266">
        <f>SUM(K12:L12)</f>
        <v>2123.1999999999998</v>
      </c>
      <c r="N12" s="288">
        <f>IF(K12/15&lt;=SMG,0,L12/2)</f>
        <v>0</v>
      </c>
      <c r="O12" s="304">
        <f>(K12+N12)/I12*30.4</f>
        <v>16136.319999999998</v>
      </c>
      <c r="P12" s="304">
        <f>VLOOKUP(O12,Tarifa,1)</f>
        <v>14644.65</v>
      </c>
      <c r="Q12" s="288">
        <f>O12-P12</f>
        <v>1491.6699999999983</v>
      </c>
      <c r="R12" s="289">
        <f>VLOOKUP(O12,Tarifa,3)</f>
        <v>0.1792</v>
      </c>
      <c r="S12" s="288">
        <f>Q12*R12</f>
        <v>267.30726399999969</v>
      </c>
      <c r="T12" s="290">
        <f>VLOOKUP(O12,Tarifa,2)</f>
        <v>1339.14</v>
      </c>
      <c r="U12" s="288">
        <f>S12+T12</f>
        <v>1606.4472639999999</v>
      </c>
      <c r="V12" s="288">
        <f>VLOOKUP(O12,Credito,2)</f>
        <v>0</v>
      </c>
      <c r="W12" s="288">
        <f>ROUND((U12-V12)/30.4*I12,2)</f>
        <v>211.37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2123.1999999999998</v>
      </c>
      <c r="AC12" s="278"/>
      <c r="AG12" s="346"/>
    </row>
    <row r="13" spans="1:33" s="293" customFormat="1" ht="198" customHeight="1" x14ac:dyDescent="0.2">
      <c r="A13" s="347"/>
      <c r="B13" s="273" t="s">
        <v>601</v>
      </c>
      <c r="C13" s="273" t="s">
        <v>108</v>
      </c>
      <c r="D13" s="254" t="s">
        <v>602</v>
      </c>
      <c r="E13" s="135" t="s">
        <v>603</v>
      </c>
      <c r="F13" s="135" t="s">
        <v>604</v>
      </c>
      <c r="G13" s="157">
        <v>45459</v>
      </c>
      <c r="H13" s="276" t="s">
        <v>356</v>
      </c>
      <c r="I13" s="262">
        <v>15</v>
      </c>
      <c r="J13" s="263">
        <f>K13/I13</f>
        <v>282.93333333333334</v>
      </c>
      <c r="K13" s="264">
        <v>4244</v>
      </c>
      <c r="L13" s="265">
        <v>0</v>
      </c>
      <c r="M13" s="266">
        <f>SUM(K13:L13)</f>
        <v>4244</v>
      </c>
      <c r="N13" s="288">
        <f>IF(K13/15&lt;=SMG,0,L13/2)</f>
        <v>0</v>
      </c>
      <c r="O13" s="304">
        <f>(K13+N13)/I13*30.4</f>
        <v>8601.1733333333323</v>
      </c>
      <c r="P13" s="304">
        <f>VLOOKUP(O13,Tarifa,1)</f>
        <v>7168.52</v>
      </c>
      <c r="Q13" s="288">
        <f>O13-P13</f>
        <v>1432.6533333333318</v>
      </c>
      <c r="R13" s="289">
        <f>VLOOKUP(O13,Tarifa,3)</f>
        <v>0.10879999999999999</v>
      </c>
      <c r="S13" s="288">
        <f>Q13*R13</f>
        <v>155.87268266666649</v>
      </c>
      <c r="T13" s="290">
        <f>VLOOKUP(O13,Tarifa,2)</f>
        <v>420.95</v>
      </c>
      <c r="U13" s="288">
        <f>S13+T13</f>
        <v>576.82268266666642</v>
      </c>
      <c r="V13" s="288">
        <f>VLOOKUP(O13,Credito,2)</f>
        <v>535.65</v>
      </c>
      <c r="W13" s="288">
        <f>ROUND((U13-V13)/30.4*I13,2)</f>
        <v>20.32</v>
      </c>
      <c r="X13" s="266">
        <f>-IF(W13&gt;0,0,0)</f>
        <v>0</v>
      </c>
      <c r="Y13" s="266">
        <f>IF(K13/15&lt;=SMG,0,IF(W13&lt;0,0,W13))</f>
        <v>0</v>
      </c>
      <c r="Z13" s="267">
        <v>0</v>
      </c>
      <c r="AA13" s="266">
        <f>SUM(Y13:Z13)</f>
        <v>0</v>
      </c>
      <c r="AB13" s="266">
        <f>M13+X13-AA13</f>
        <v>4244</v>
      </c>
      <c r="AC13" s="278"/>
      <c r="AG13" s="346"/>
    </row>
    <row r="14" spans="1:33" s="52" customFormat="1" ht="57.75" customHeight="1" x14ac:dyDescent="0.3">
      <c r="A14" s="153"/>
      <c r="B14" s="148" t="s">
        <v>93</v>
      </c>
      <c r="C14" s="148" t="s">
        <v>114</v>
      </c>
      <c r="D14" s="218" t="s">
        <v>248</v>
      </c>
      <c r="E14" s="218" t="s">
        <v>94</v>
      </c>
      <c r="F14" s="218" t="s">
        <v>206</v>
      </c>
      <c r="G14" s="217" t="s">
        <v>255</v>
      </c>
      <c r="H14" s="218" t="s">
        <v>61</v>
      </c>
      <c r="I14" s="218"/>
      <c r="J14" s="218"/>
      <c r="K14" s="219">
        <f>SUM(K16:K22)</f>
        <v>8387</v>
      </c>
      <c r="L14" s="219">
        <f>SUM(L16:L22)</f>
        <v>0</v>
      </c>
      <c r="M14" s="219">
        <f>SUM(M16:M22)</f>
        <v>8387</v>
      </c>
      <c r="N14" s="219">
        <f t="shared" ref="N14:W14" si="1">SUM(N16)</f>
        <v>0</v>
      </c>
      <c r="O14" s="219">
        <f t="shared" si="1"/>
        <v>7983.04</v>
      </c>
      <c r="P14" s="219">
        <f t="shared" si="1"/>
        <v>7168.52</v>
      </c>
      <c r="Q14" s="219">
        <f t="shared" si="1"/>
        <v>814.51999999999953</v>
      </c>
      <c r="R14" s="219">
        <f t="shared" si="1"/>
        <v>0.10879999999999999</v>
      </c>
      <c r="S14" s="219">
        <f t="shared" si="1"/>
        <v>88.619775999999945</v>
      </c>
      <c r="T14" s="219">
        <f t="shared" si="1"/>
        <v>420.95</v>
      </c>
      <c r="U14" s="219">
        <f t="shared" si="1"/>
        <v>509.56977599999993</v>
      </c>
      <c r="V14" s="219">
        <f t="shared" si="1"/>
        <v>535.65</v>
      </c>
      <c r="W14" s="219">
        <f t="shared" si="1"/>
        <v>-12.87</v>
      </c>
      <c r="X14" s="219">
        <f>SUM(X16:X22)</f>
        <v>0</v>
      </c>
      <c r="Y14" s="219">
        <f>SUM(Y16:Y22)</f>
        <v>0</v>
      </c>
      <c r="Z14" s="219">
        <f>SUM(Z16:Z22)</f>
        <v>0</v>
      </c>
      <c r="AA14" s="219">
        <f>SUM(AA16:AA22)</f>
        <v>0</v>
      </c>
      <c r="AB14" s="219">
        <f>SUM(AB15:AB22)</f>
        <v>19285.98</v>
      </c>
      <c r="AC14" s="97"/>
      <c r="AG14" s="66"/>
    </row>
    <row r="15" spans="1:33" s="52" customFormat="1" ht="210.75" customHeight="1" x14ac:dyDescent="0.2">
      <c r="A15" s="153"/>
      <c r="B15" s="273" t="s">
        <v>565</v>
      </c>
      <c r="C15" s="273" t="s">
        <v>108</v>
      </c>
      <c r="D15" s="254" t="s">
        <v>564</v>
      </c>
      <c r="E15" s="135" t="s">
        <v>566</v>
      </c>
      <c r="F15" s="135" t="s">
        <v>567</v>
      </c>
      <c r="G15" s="157">
        <v>45778</v>
      </c>
      <c r="H15" s="276" t="s">
        <v>563</v>
      </c>
      <c r="I15" s="262">
        <v>15</v>
      </c>
      <c r="J15" s="263">
        <f>K15/I15</f>
        <v>844.9666666666667</v>
      </c>
      <c r="K15" s="264">
        <v>12674.5</v>
      </c>
      <c r="L15" s="265">
        <v>0</v>
      </c>
      <c r="M15" s="266">
        <f>SUM(K15:L15)</f>
        <v>12674.5</v>
      </c>
      <c r="N15" s="288">
        <f t="shared" ref="N15" si="2">IF(K15/15&lt;=SMG,0,L15/2)</f>
        <v>0</v>
      </c>
      <c r="O15" s="304">
        <f t="shared" ref="O15" si="3">(K15+N15)/I15*30.4</f>
        <v>25686.986666666668</v>
      </c>
      <c r="P15" s="304">
        <f t="shared" ref="P15" si="4">VLOOKUP(O15,Tarifa,1)</f>
        <v>17533.650000000001</v>
      </c>
      <c r="Q15" s="288">
        <f t="shared" ref="Q15" si="5">O15-P15</f>
        <v>8153.3366666666661</v>
      </c>
      <c r="R15" s="289">
        <f t="shared" ref="R15" si="6">VLOOKUP(O15,Tarifa,3)</f>
        <v>0.21360000000000001</v>
      </c>
      <c r="S15" s="288">
        <f t="shared" ref="S15" si="7">Q15*R15</f>
        <v>1741.5527119999999</v>
      </c>
      <c r="T15" s="290">
        <f t="shared" ref="T15" si="8">VLOOKUP(O15,Tarifa,2)</f>
        <v>1856.84</v>
      </c>
      <c r="U15" s="288">
        <f t="shared" ref="U15" si="9">S15+T15</f>
        <v>3598.3927119999998</v>
      </c>
      <c r="V15" s="288">
        <f t="shared" ref="V15" si="10">VLOOKUP(O15,Credito,2)</f>
        <v>0</v>
      </c>
      <c r="W15" s="288">
        <f t="shared" ref="W15" si="11">ROUND((U15-V15)/30.4*I15,2)</f>
        <v>1775.52</v>
      </c>
      <c r="X15" s="266">
        <f>-IF(W15&gt;0,0,0)</f>
        <v>0</v>
      </c>
      <c r="Y15" s="266">
        <f t="shared" ref="Y15" si="12">IF(K15/15&lt;=SMG,0,IF(W15&lt;0,0,W15))</f>
        <v>1775.52</v>
      </c>
      <c r="Z15" s="267">
        <v>0</v>
      </c>
      <c r="AA15" s="266">
        <f t="shared" ref="AA15" si="13">SUM(Y15:Z15)</f>
        <v>1775.52</v>
      </c>
      <c r="AB15" s="266">
        <f t="shared" ref="AB15" si="14">M15+X15-AA15</f>
        <v>10898.98</v>
      </c>
      <c r="AC15" s="401"/>
      <c r="AG15" s="66"/>
    </row>
    <row r="16" spans="1:33" s="293" customFormat="1" ht="210.75" customHeight="1" x14ac:dyDescent="0.2">
      <c r="A16" s="347"/>
      <c r="B16" s="279" t="s">
        <v>293</v>
      </c>
      <c r="C16" s="273" t="s">
        <v>108</v>
      </c>
      <c r="D16" s="258" t="s">
        <v>294</v>
      </c>
      <c r="E16" s="259" t="s">
        <v>295</v>
      </c>
      <c r="F16" s="259" t="s">
        <v>296</v>
      </c>
      <c r="G16" s="260">
        <v>45154</v>
      </c>
      <c r="H16" s="261" t="s">
        <v>660</v>
      </c>
      <c r="I16" s="262">
        <v>15</v>
      </c>
      <c r="J16" s="263">
        <f>K16/I16</f>
        <v>262.60000000000002</v>
      </c>
      <c r="K16" s="264">
        <v>3939</v>
      </c>
      <c r="L16" s="265">
        <v>0</v>
      </c>
      <c r="M16" s="266">
        <f t="shared" ref="M16" si="15">SUM(K16:L16)</f>
        <v>3939</v>
      </c>
      <c r="N16" s="288">
        <f>IF(K16/15&lt;=SMG,0,L16/2)</f>
        <v>0</v>
      </c>
      <c r="O16" s="304">
        <f>(K16+N16)/I16*30.4</f>
        <v>7983.04</v>
      </c>
      <c r="P16" s="304">
        <f>VLOOKUP(O16,Tarifa,1)</f>
        <v>7168.52</v>
      </c>
      <c r="Q16" s="288">
        <f>O16-P16</f>
        <v>814.51999999999953</v>
      </c>
      <c r="R16" s="289">
        <f>VLOOKUP(O16,Tarifa,3)</f>
        <v>0.10879999999999999</v>
      </c>
      <c r="S16" s="288">
        <f>Q16*R16</f>
        <v>88.619775999999945</v>
      </c>
      <c r="T16" s="290">
        <f>VLOOKUP(O16,Tarifa,2)</f>
        <v>420.95</v>
      </c>
      <c r="U16" s="288">
        <f>S16+T16</f>
        <v>509.56977599999993</v>
      </c>
      <c r="V16" s="288">
        <f>VLOOKUP(O16,Credito,2)</f>
        <v>535.65</v>
      </c>
      <c r="W16" s="288">
        <f>ROUND((U16-V16)/30.4*I16,2)</f>
        <v>-12.87</v>
      </c>
      <c r="X16" s="266">
        <f>-IF(W16&gt;0,0,0)</f>
        <v>0</v>
      </c>
      <c r="Y16" s="266">
        <f t="shared" ref="Y16" si="16">IF(K16/15&lt;=SMG,0,IF(W16&lt;0,0,W16))</f>
        <v>0</v>
      </c>
      <c r="Z16" s="267">
        <v>0</v>
      </c>
      <c r="AA16" s="266">
        <f t="shared" ref="AA16" si="17">SUM(Y16:Z16)</f>
        <v>0</v>
      </c>
      <c r="AB16" s="266">
        <f t="shared" ref="AB16" si="18">M16+X16-AA16</f>
        <v>3939</v>
      </c>
      <c r="AC16" s="278"/>
      <c r="AG16" s="346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41" t="s">
        <v>76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G18" s="66"/>
    </row>
    <row r="19" spans="1:33" s="52" customFormat="1" ht="36.75" customHeight="1" x14ac:dyDescent="0.25">
      <c r="A19" s="153"/>
      <c r="B19" s="441" t="s">
        <v>64</v>
      </c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  <c r="AG19" s="66"/>
    </row>
    <row r="20" spans="1:33" s="52" customFormat="1" ht="31.5" customHeight="1" x14ac:dyDescent="0.25">
      <c r="A20" s="153"/>
      <c r="B20" s="442" t="str">
        <f>PRESIDENCIA!A3</f>
        <v>SUELDO  DEL 01 AL 15 DE FEBRERO DE 2026</v>
      </c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7"/>
      <c r="B22" s="279" t="s">
        <v>618</v>
      </c>
      <c r="C22" s="273" t="s">
        <v>108</v>
      </c>
      <c r="D22" s="280" t="s">
        <v>619</v>
      </c>
      <c r="E22" s="281" t="s">
        <v>620</v>
      </c>
      <c r="F22" s="281" t="s">
        <v>621</v>
      </c>
      <c r="G22" s="321">
        <v>45945</v>
      </c>
      <c r="H22" s="261" t="s">
        <v>381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6"/>
    </row>
    <row r="23" spans="1:33" s="52" customFormat="1" ht="60.75" customHeight="1" x14ac:dyDescent="0.3">
      <c r="A23" s="153"/>
      <c r="B23" s="148" t="s">
        <v>93</v>
      </c>
      <c r="C23" s="148" t="s">
        <v>114</v>
      </c>
      <c r="D23" s="218" t="s">
        <v>276</v>
      </c>
      <c r="E23" s="218" t="s">
        <v>94</v>
      </c>
      <c r="F23" s="218" t="s">
        <v>206</v>
      </c>
      <c r="G23" s="217" t="s">
        <v>255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7"/>
      <c r="B24" s="279" t="s">
        <v>288</v>
      </c>
      <c r="C24" s="273" t="s">
        <v>108</v>
      </c>
      <c r="D24" s="280" t="s">
        <v>277</v>
      </c>
      <c r="E24" s="281" t="s">
        <v>278</v>
      </c>
      <c r="F24" s="281" t="s">
        <v>279</v>
      </c>
      <c r="G24" s="321">
        <v>45108</v>
      </c>
      <c r="H24" s="261" t="s">
        <v>650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6"/>
    </row>
    <row r="25" spans="1:33" s="293" customFormat="1" ht="227.25" customHeight="1" x14ac:dyDescent="0.2">
      <c r="A25" s="347"/>
      <c r="B25" s="279" t="s">
        <v>297</v>
      </c>
      <c r="C25" s="273" t="s">
        <v>108</v>
      </c>
      <c r="D25" s="280" t="s">
        <v>301</v>
      </c>
      <c r="E25" s="281" t="s">
        <v>302</v>
      </c>
      <c r="F25" s="281" t="s">
        <v>303</v>
      </c>
      <c r="G25" s="321">
        <v>45200</v>
      </c>
      <c r="H25" s="261" t="s">
        <v>651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6"/>
    </row>
    <row r="26" spans="1:33" s="52" customFormat="1" ht="47.25" customHeight="1" x14ac:dyDescent="0.25">
      <c r="A26" s="153"/>
      <c r="B26" s="195" t="s">
        <v>93</v>
      </c>
      <c r="C26" s="195" t="s">
        <v>114</v>
      </c>
      <c r="D26" s="195" t="s">
        <v>402</v>
      </c>
      <c r="E26" s="240" t="s">
        <v>94</v>
      </c>
      <c r="F26" s="240" t="s">
        <v>206</v>
      </c>
      <c r="G26" s="195" t="s">
        <v>255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7"/>
      <c r="B27" s="279" t="s">
        <v>403</v>
      </c>
      <c r="C27" s="273" t="s">
        <v>108</v>
      </c>
      <c r="D27" s="258" t="s">
        <v>404</v>
      </c>
      <c r="E27" s="259" t="s">
        <v>405</v>
      </c>
      <c r="F27" s="259" t="s">
        <v>406</v>
      </c>
      <c r="G27" s="260">
        <v>45566</v>
      </c>
      <c r="H27" s="261" t="s">
        <v>652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6"/>
    </row>
    <row r="28" spans="1:33" s="293" customFormat="1" ht="118.5" customHeight="1" x14ac:dyDescent="0.3">
      <c r="A28" s="347"/>
      <c r="B28" s="195" t="s">
        <v>93</v>
      </c>
      <c r="C28" s="195" t="s">
        <v>114</v>
      </c>
      <c r="D28" s="221" t="s">
        <v>117</v>
      </c>
      <c r="E28" s="222" t="s">
        <v>94</v>
      </c>
      <c r="F28" s="222" t="s">
        <v>206</v>
      </c>
      <c r="G28" s="221" t="s">
        <v>255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6"/>
    </row>
    <row r="29" spans="1:33" s="293" customFormat="1" ht="241.5" customHeight="1" x14ac:dyDescent="0.2">
      <c r="A29" s="347"/>
      <c r="B29" s="279" t="s">
        <v>394</v>
      </c>
      <c r="C29" s="273" t="s">
        <v>108</v>
      </c>
      <c r="D29" s="258" t="s">
        <v>391</v>
      </c>
      <c r="E29" s="259" t="s">
        <v>392</v>
      </c>
      <c r="F29" s="259" t="s">
        <v>393</v>
      </c>
      <c r="G29" s="260">
        <v>45566</v>
      </c>
      <c r="H29" s="261" t="s">
        <v>92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6"/>
    </row>
    <row r="30" spans="1:33" s="293" customFormat="1" ht="69.400000000000006" customHeight="1" x14ac:dyDescent="0.2">
      <c r="A30" s="347"/>
      <c r="B30" s="382"/>
      <c r="C30" s="383"/>
      <c r="D30" s="384"/>
      <c r="E30" s="385"/>
      <c r="F30" s="385"/>
      <c r="G30" s="386"/>
      <c r="H30" s="387"/>
      <c r="I30" s="388"/>
      <c r="J30" s="389"/>
      <c r="K30" s="390"/>
      <c r="L30" s="391"/>
      <c r="M30" s="392"/>
      <c r="N30" s="374"/>
      <c r="O30" s="375"/>
      <c r="P30" s="375"/>
      <c r="Q30" s="374"/>
      <c r="R30" s="376"/>
      <c r="S30" s="374"/>
      <c r="T30" s="377"/>
      <c r="U30" s="374"/>
      <c r="V30" s="374"/>
      <c r="W30" s="374"/>
      <c r="X30" s="392"/>
      <c r="Y30" s="392"/>
      <c r="Z30" s="393"/>
      <c r="AA30" s="392"/>
      <c r="AB30" s="392"/>
      <c r="AC30" s="348"/>
      <c r="AG30" s="346"/>
    </row>
    <row r="31" spans="1:33" s="52" customFormat="1" ht="39.75" customHeight="1" x14ac:dyDescent="0.25">
      <c r="A31" s="153"/>
      <c r="B31" s="441" t="s">
        <v>76</v>
      </c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G31" s="66"/>
    </row>
    <row r="32" spans="1:33" s="52" customFormat="1" ht="27" customHeight="1" x14ac:dyDescent="0.25">
      <c r="A32" s="153"/>
      <c r="B32" s="441" t="s">
        <v>64</v>
      </c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G32" s="66"/>
    </row>
    <row r="33" spans="1:33" s="52" customFormat="1" ht="32.25" customHeight="1" x14ac:dyDescent="0.25">
      <c r="A33" s="153"/>
      <c r="B33" s="477" t="str">
        <f>PRESIDENCIA!A3</f>
        <v>SUELDO  DEL 01 AL 15 DE FEBRERO DE 2026</v>
      </c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93</v>
      </c>
      <c r="C35" s="148" t="s">
        <v>114</v>
      </c>
      <c r="D35" s="218" t="s">
        <v>131</v>
      </c>
      <c r="E35" s="218" t="s">
        <v>94</v>
      </c>
      <c r="F35" s="218" t="s">
        <v>206</v>
      </c>
      <c r="G35" s="217" t="s">
        <v>255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8" customFormat="1" ht="225" customHeight="1" x14ac:dyDescent="0.2">
      <c r="A36" s="349"/>
      <c r="B36" s="279" t="s">
        <v>142</v>
      </c>
      <c r="C36" s="273" t="s">
        <v>108</v>
      </c>
      <c r="D36" s="258" t="s">
        <v>133</v>
      </c>
      <c r="E36" s="281" t="s">
        <v>138</v>
      </c>
      <c r="F36" s="281" t="s">
        <v>218</v>
      </c>
      <c r="G36" s="321">
        <v>43101</v>
      </c>
      <c r="H36" s="261" t="s">
        <v>390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50"/>
    </row>
    <row r="37" spans="1:33" s="348" customFormat="1" ht="225" customHeight="1" x14ac:dyDescent="0.2">
      <c r="A37" s="349"/>
      <c r="B37" s="279" t="s">
        <v>396</v>
      </c>
      <c r="C37" s="273" t="s">
        <v>108</v>
      </c>
      <c r="D37" s="258" t="s">
        <v>395</v>
      </c>
      <c r="E37" s="281" t="s">
        <v>397</v>
      </c>
      <c r="F37" s="281" t="s">
        <v>398</v>
      </c>
      <c r="G37" s="321">
        <v>45292</v>
      </c>
      <c r="H37" s="261" t="s">
        <v>134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50"/>
    </row>
    <row r="38" spans="1:33" s="348" customFormat="1" ht="225" customHeight="1" x14ac:dyDescent="0.2">
      <c r="A38" s="349"/>
      <c r="B38" s="279" t="s">
        <v>527</v>
      </c>
      <c r="C38" s="273" t="s">
        <v>108</v>
      </c>
      <c r="D38" s="258" t="s">
        <v>529</v>
      </c>
      <c r="E38" s="281" t="s">
        <v>530</v>
      </c>
      <c r="F38" s="281" t="s">
        <v>531</v>
      </c>
      <c r="G38" s="321">
        <v>45732</v>
      </c>
      <c r="H38" s="276" t="s">
        <v>622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50"/>
    </row>
    <row r="39" spans="1:33" s="348" customFormat="1" ht="225" customHeight="1" x14ac:dyDescent="0.2">
      <c r="A39" s="349"/>
      <c r="B39" s="279" t="s">
        <v>528</v>
      </c>
      <c r="C39" s="273" t="s">
        <v>108</v>
      </c>
      <c r="D39" s="258" t="s">
        <v>532</v>
      </c>
      <c r="E39" s="281" t="s">
        <v>533</v>
      </c>
      <c r="F39" s="281" t="s">
        <v>534</v>
      </c>
      <c r="G39" s="321">
        <v>45732</v>
      </c>
      <c r="H39" s="276" t="s">
        <v>588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50"/>
    </row>
    <row r="40" spans="1:33" s="348" customFormat="1" ht="225" customHeight="1" x14ac:dyDescent="0.2">
      <c r="A40" s="396"/>
      <c r="B40" s="279" t="s">
        <v>539</v>
      </c>
      <c r="C40" s="273" t="s">
        <v>452</v>
      </c>
      <c r="D40" s="258" t="s">
        <v>540</v>
      </c>
      <c r="E40" s="281" t="s">
        <v>541</v>
      </c>
      <c r="F40" s="281" t="s">
        <v>542</v>
      </c>
      <c r="G40" s="321">
        <v>45732</v>
      </c>
      <c r="H40" s="276" t="s">
        <v>588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50"/>
    </row>
    <row r="41" spans="1:33" s="348" customFormat="1" ht="225" customHeight="1" x14ac:dyDescent="0.2">
      <c r="A41" s="396"/>
      <c r="B41" s="279" t="s">
        <v>535</v>
      </c>
      <c r="C41" s="273" t="s">
        <v>452</v>
      </c>
      <c r="D41" s="258" t="s">
        <v>536</v>
      </c>
      <c r="E41" s="281" t="s">
        <v>537</v>
      </c>
      <c r="F41" s="281" t="s">
        <v>538</v>
      </c>
      <c r="G41" s="321">
        <v>45732</v>
      </c>
      <c r="H41" s="276" t="s">
        <v>588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50"/>
    </row>
    <row r="42" spans="1:33" s="348" customFormat="1" ht="111" customHeight="1" x14ac:dyDescent="0.25">
      <c r="A42" s="396"/>
      <c r="B42" s="441" t="s">
        <v>76</v>
      </c>
      <c r="C42" s="441"/>
      <c r="D42" s="441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</row>
    <row r="43" spans="1:33" s="348" customFormat="1" ht="30.75" customHeight="1" x14ac:dyDescent="0.25">
      <c r="A43" s="396"/>
      <c r="B43" s="441" t="s">
        <v>64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</row>
    <row r="44" spans="1:33" s="348" customFormat="1" ht="42" customHeight="1" x14ac:dyDescent="0.2">
      <c r="A44" s="396"/>
      <c r="B44" s="479" t="str">
        <f>PRESIDENCIA!A3</f>
        <v>SUELDO  DEL 01 AL 15 DE FEBRERO DE 2026</v>
      </c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79"/>
      <c r="R44" s="479"/>
      <c r="S44" s="479"/>
      <c r="T44" s="479"/>
      <c r="U44" s="479"/>
      <c r="V44" s="479"/>
      <c r="W44" s="479"/>
      <c r="X44" s="479"/>
      <c r="Y44" s="479"/>
      <c r="Z44" s="479"/>
      <c r="AA44" s="479"/>
      <c r="AB44" s="479"/>
      <c r="AC44" s="479"/>
    </row>
    <row r="45" spans="1:33" s="348" customFormat="1" ht="19.5" customHeight="1" x14ac:dyDescent="0.2">
      <c r="A45" s="396"/>
      <c r="B45" s="382"/>
      <c r="C45" s="383"/>
      <c r="D45" s="384"/>
      <c r="E45" s="397"/>
      <c r="F45" s="397"/>
      <c r="G45" s="398"/>
      <c r="H45" s="399"/>
      <c r="I45" s="388"/>
      <c r="J45" s="389"/>
      <c r="K45" s="390"/>
      <c r="L45" s="391"/>
      <c r="M45" s="392"/>
      <c r="N45" s="374"/>
      <c r="O45" s="375"/>
      <c r="P45" s="375"/>
      <c r="Q45" s="374"/>
      <c r="R45" s="376"/>
      <c r="S45" s="374"/>
      <c r="T45" s="377"/>
      <c r="U45" s="374"/>
      <c r="V45" s="374"/>
      <c r="W45" s="374"/>
      <c r="X45" s="392"/>
      <c r="Y45" s="392"/>
      <c r="Z45" s="393"/>
      <c r="AA45" s="392"/>
      <c r="AB45" s="392"/>
      <c r="AC45" s="400"/>
    </row>
    <row r="46" spans="1:33" s="348" customFormat="1" ht="164.25" customHeight="1" x14ac:dyDescent="0.2">
      <c r="A46" s="349"/>
      <c r="B46" s="279" t="s">
        <v>543</v>
      </c>
      <c r="C46" s="273" t="s">
        <v>452</v>
      </c>
      <c r="D46" s="258" t="s">
        <v>546</v>
      </c>
      <c r="E46" s="281" t="s">
        <v>547</v>
      </c>
      <c r="F46" s="281" t="s">
        <v>548</v>
      </c>
      <c r="G46" s="321">
        <v>45732</v>
      </c>
      <c r="H46" s="276" t="s">
        <v>588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50"/>
    </row>
    <row r="47" spans="1:33" s="348" customFormat="1" ht="164.25" customHeight="1" x14ac:dyDescent="0.2">
      <c r="A47" s="349"/>
      <c r="B47" s="279" t="s">
        <v>544</v>
      </c>
      <c r="C47" s="273" t="s">
        <v>452</v>
      </c>
      <c r="D47" s="258" t="s">
        <v>549</v>
      </c>
      <c r="E47" s="281" t="s">
        <v>550</v>
      </c>
      <c r="F47" s="281" t="s">
        <v>551</v>
      </c>
      <c r="G47" s="321">
        <v>45732</v>
      </c>
      <c r="H47" s="276" t="s">
        <v>588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50"/>
    </row>
    <row r="48" spans="1:33" s="348" customFormat="1" ht="164.25" customHeight="1" x14ac:dyDescent="0.2">
      <c r="A48" s="349"/>
      <c r="B48" s="279" t="s">
        <v>545</v>
      </c>
      <c r="C48" s="273" t="s">
        <v>452</v>
      </c>
      <c r="D48" s="258" t="s">
        <v>552</v>
      </c>
      <c r="E48" s="281" t="s">
        <v>553</v>
      </c>
      <c r="F48" s="281" t="s">
        <v>554</v>
      </c>
      <c r="G48" s="321">
        <v>45732</v>
      </c>
      <c r="H48" s="276" t="s">
        <v>588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50"/>
    </row>
    <row r="49" spans="1:29" s="348" customFormat="1" ht="164.25" customHeight="1" x14ac:dyDescent="0.2">
      <c r="A49" s="349"/>
      <c r="B49" s="279" t="s">
        <v>555</v>
      </c>
      <c r="C49" s="273" t="s">
        <v>452</v>
      </c>
      <c r="D49" s="258" t="s">
        <v>556</v>
      </c>
      <c r="E49" s="281" t="s">
        <v>557</v>
      </c>
      <c r="F49" s="281" t="s">
        <v>558</v>
      </c>
      <c r="G49" s="321">
        <v>45732</v>
      </c>
      <c r="H49" s="276" t="s">
        <v>588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50"/>
    </row>
    <row r="50" spans="1:29" s="348" customFormat="1" ht="164.25" customHeight="1" x14ac:dyDescent="0.2">
      <c r="A50" s="349"/>
      <c r="B50" s="273" t="s">
        <v>104</v>
      </c>
      <c r="C50" s="273" t="s">
        <v>108</v>
      </c>
      <c r="D50" s="254" t="s">
        <v>90</v>
      </c>
      <c r="E50" s="135" t="s">
        <v>105</v>
      </c>
      <c r="F50" s="135" t="s">
        <v>211</v>
      </c>
      <c r="G50" s="157">
        <v>42278</v>
      </c>
      <c r="H50" s="276" t="s">
        <v>588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50"/>
    </row>
    <row r="51" spans="1:29" s="348" customFormat="1" ht="164.25" customHeight="1" x14ac:dyDescent="0.2">
      <c r="A51" s="349"/>
      <c r="B51" s="273" t="s">
        <v>584</v>
      </c>
      <c r="C51" s="273" t="s">
        <v>108</v>
      </c>
      <c r="D51" s="254" t="s">
        <v>585</v>
      </c>
      <c r="E51" s="135" t="s">
        <v>586</v>
      </c>
      <c r="F51" s="135" t="s">
        <v>587</v>
      </c>
      <c r="G51" s="157">
        <v>45870</v>
      </c>
      <c r="H51" s="276" t="s">
        <v>588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78" t="s">
        <v>44</v>
      </c>
      <c r="B53" s="478"/>
      <c r="C53" s="478"/>
      <c r="D53" s="478"/>
      <c r="E53" s="478"/>
      <c r="F53" s="478"/>
      <c r="G53" s="478"/>
      <c r="H53" s="478"/>
      <c r="I53" s="478"/>
      <c r="J53" s="478"/>
      <c r="K53" s="225">
        <f>K8+K11+K14+K23+K26+K28+K35</f>
        <v>148737.20000000001</v>
      </c>
      <c r="L53" s="225">
        <f>L8+L11+L14+L23+L26+L28+L35</f>
        <v>0</v>
      </c>
      <c r="M53" s="225">
        <f>M8+M11+M14+M23+M26+M28+M35</f>
        <v>148737.20000000001</v>
      </c>
      <c r="N53" s="225" t="e">
        <f>N8+N11+N14+N23+N26+#REF!+N35</f>
        <v>#REF!</v>
      </c>
      <c r="O53" s="225" t="e">
        <f>O8+O11+O14+O23+O26+#REF!+O35</f>
        <v>#REF!</v>
      </c>
      <c r="P53" s="225" t="e">
        <f>P8+P11+P14+P23+P26+#REF!+P35</f>
        <v>#REF!</v>
      </c>
      <c r="Q53" s="225" t="e">
        <f>Q8+Q11+Q14+Q23+Q26+#REF!+Q35</f>
        <v>#REF!</v>
      </c>
      <c r="R53" s="225" t="e">
        <f>R8+R11+R14+R23+R26+#REF!+R35</f>
        <v>#REF!</v>
      </c>
      <c r="S53" s="225" t="e">
        <f>S8+S11+S14+S23+S26+#REF!+S35</f>
        <v>#REF!</v>
      </c>
      <c r="T53" s="225" t="e">
        <f>T8+T11+T14+T23+T26+#REF!+T35</f>
        <v>#REF!</v>
      </c>
      <c r="U53" s="225" t="e">
        <f>U8+U11+U14+U23+U26+#REF!+U35</f>
        <v>#REF!</v>
      </c>
      <c r="V53" s="225" t="e">
        <f>V8+V11+V14+V23+V26+#REF!+V35</f>
        <v>#REF!</v>
      </c>
      <c r="W53" s="225" t="e">
        <f>W8+W11+W14+W23+W26+#REF!+W35</f>
        <v>#REF!</v>
      </c>
      <c r="X53" s="225">
        <f>X8+X11+X14+X23+X26+X28+X35</f>
        <v>0</v>
      </c>
      <c r="Y53" s="225">
        <f>Y8+Y11+Y14+Y23+Y26+Y28+Y35</f>
        <v>12310.44</v>
      </c>
      <c r="Z53" s="225">
        <f>Z8+Z11+Z14+Z23+Z26+Z28+Z35</f>
        <v>0</v>
      </c>
      <c r="AA53" s="225">
        <f>AA8+AA11+AA14+AA23+AA26+AA28+AA35</f>
        <v>12310.44</v>
      </c>
      <c r="AB53" s="225">
        <f>AB8+AB11+AB14+AB23+AB26+AB28+AB35</f>
        <v>147325.74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454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628</v>
      </c>
      <c r="Z72" s="108"/>
      <c r="AA72" s="108"/>
      <c r="AB72" s="108"/>
    </row>
    <row r="73" spans="4:39" s="52" customFormat="1" ht="18" x14ac:dyDescent="0.25">
      <c r="D73" s="203" t="s">
        <v>469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196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1:AC31"/>
    <mergeCell ref="B32:AC32"/>
    <mergeCell ref="B33:AC33"/>
    <mergeCell ref="A53:J53"/>
    <mergeCell ref="B42:AC42"/>
    <mergeCell ref="B43:AC43"/>
    <mergeCell ref="B44:AC44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5"/>
  <sheetViews>
    <sheetView topLeftCell="B1" zoomScale="70" zoomScaleNormal="70" workbookViewId="0">
      <selection activeCell="M15" sqref="M1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5" bestFit="1" customWidth="1"/>
    <col min="10" max="10" width="11.7109375" bestFit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12.85546875" hidden="1" customWidth="1"/>
    <col min="21" max="21" width="14.8554687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29" ht="18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29" ht="19.5" x14ac:dyDescent="0.25">
      <c r="A3" s="442" t="str">
        <f>PRESIDENCIA!A3</f>
        <v>SUELDO  DEL 01 AL 15 DE FEBRERO DE 2026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62" t="s">
        <v>1</v>
      </c>
      <c r="L6" s="463"/>
      <c r="M6" s="464"/>
      <c r="N6" s="50" t="s">
        <v>25</v>
      </c>
      <c r="O6" s="51"/>
      <c r="P6" s="465" t="s">
        <v>8</v>
      </c>
      <c r="Q6" s="466"/>
      <c r="R6" s="466"/>
      <c r="S6" s="466"/>
      <c r="T6" s="466"/>
      <c r="U6" s="467"/>
      <c r="V6" s="50" t="s">
        <v>29</v>
      </c>
      <c r="W6" s="50" t="s">
        <v>9</v>
      </c>
      <c r="X6" s="49" t="s">
        <v>52</v>
      </c>
      <c r="Y6" s="468" t="s">
        <v>2</v>
      </c>
      <c r="Z6" s="469"/>
      <c r="AA6" s="470"/>
      <c r="AB6" s="49" t="s">
        <v>0</v>
      </c>
      <c r="AC6" s="33"/>
    </row>
    <row r="7" spans="1:29" ht="24" x14ac:dyDescent="0.2">
      <c r="A7" s="26" t="s">
        <v>20</v>
      </c>
      <c r="B7" s="47" t="s">
        <v>93</v>
      </c>
      <c r="C7" s="47" t="s">
        <v>109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249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83" t="s">
        <v>103</v>
      </c>
      <c r="C9" s="484"/>
      <c r="D9" s="485"/>
      <c r="E9" s="127" t="s">
        <v>94</v>
      </c>
      <c r="F9" s="127" t="s">
        <v>206</v>
      </c>
      <c r="G9" s="125" t="s">
        <v>255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624</v>
      </c>
      <c r="C10" s="273" t="s">
        <v>108</v>
      </c>
      <c r="D10" s="258" t="s">
        <v>625</v>
      </c>
      <c r="E10" s="259" t="s">
        <v>626</v>
      </c>
      <c r="F10" s="259" t="s">
        <v>627</v>
      </c>
      <c r="G10" s="351">
        <v>46024</v>
      </c>
      <c r="H10" s="261" t="s">
        <v>183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7">
        <f>S10+T10</f>
        <v>7163.4498559999993</v>
      </c>
      <c r="V10" s="357">
        <f>VLOOKUP(O10,Credito,2)</f>
        <v>0</v>
      </c>
      <c r="W10" s="357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 t="s">
        <v>83</v>
      </c>
      <c r="B11" s="256" t="s">
        <v>257</v>
      </c>
      <c r="C11" s="257" t="s">
        <v>108</v>
      </c>
      <c r="D11" s="258" t="s">
        <v>258</v>
      </c>
      <c r="E11" s="259" t="s">
        <v>256</v>
      </c>
      <c r="F11" s="283" t="s">
        <v>259</v>
      </c>
      <c r="G11" s="284">
        <v>44991</v>
      </c>
      <c r="H11" s="276" t="s">
        <v>655</v>
      </c>
      <c r="I11" s="277">
        <v>15</v>
      </c>
      <c r="J11" s="294">
        <v>362.4</v>
      </c>
      <c r="K11" s="264">
        <v>7281</v>
      </c>
      <c r="L11" s="265">
        <v>0</v>
      </c>
      <c r="M11" s="266">
        <f>SUM(K11:L11)</f>
        <v>7281</v>
      </c>
      <c r="N11" s="288">
        <f>IF(K11/15&lt;=SMG,0,L11/2)</f>
        <v>0</v>
      </c>
      <c r="O11" s="304">
        <f>(K11+N11)/I11*30.4</f>
        <v>14756.159999999998</v>
      </c>
      <c r="P11" s="304">
        <f>VLOOKUP(O11,Tarifa,1)</f>
        <v>14644.65</v>
      </c>
      <c r="Q11" s="288">
        <f>O11-P11</f>
        <v>111.5099999999984</v>
      </c>
      <c r="R11" s="289">
        <f>VLOOKUP(O11,Tarifa,3)</f>
        <v>0.1792</v>
      </c>
      <c r="S11" s="288">
        <f>Q11*R11</f>
        <v>19.982591999999713</v>
      </c>
      <c r="T11" s="290">
        <f>VLOOKUP(O11,Tarifa,2)</f>
        <v>1339.14</v>
      </c>
      <c r="U11" s="288">
        <f>S11+T11</f>
        <v>1359.1225919999997</v>
      </c>
      <c r="V11" s="288">
        <f>VLOOKUP(O11,Credito,2)</f>
        <v>0</v>
      </c>
      <c r="W11" s="288">
        <f>ROUND((U11-V11)/30.4*I11,2)</f>
        <v>670.62</v>
      </c>
      <c r="X11" s="266">
        <f>-IF(W11&gt;0,0,0)</f>
        <v>0</v>
      </c>
      <c r="Y11" s="266">
        <f>IF(K11/15&lt;=SMG,0,IF(W11&lt;0,0,W11))</f>
        <v>670.62</v>
      </c>
      <c r="Z11" s="267">
        <v>0</v>
      </c>
      <c r="AA11" s="266">
        <f>SUM(Y11:Z11)</f>
        <v>670.62</v>
      </c>
      <c r="AB11" s="266">
        <f>M11+X11-AA11</f>
        <v>6610.38</v>
      </c>
      <c r="AC11" s="323"/>
    </row>
    <row r="12" spans="1:29" s="4" customFormat="1" ht="36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4"/>
      <c r="L12" s="144"/>
      <c r="M12" s="144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29" s="4" customFormat="1" ht="60" customHeight="1" thickBot="1" x14ac:dyDescent="0.35">
      <c r="A13" s="438" t="s">
        <v>44</v>
      </c>
      <c r="B13" s="439"/>
      <c r="C13" s="439"/>
      <c r="D13" s="439"/>
      <c r="E13" s="439"/>
      <c r="F13" s="439"/>
      <c r="G13" s="439"/>
      <c r="H13" s="439"/>
      <c r="I13" s="439"/>
      <c r="J13" s="440"/>
      <c r="K13" s="198">
        <f t="shared" ref="K13:AA13" si="0">SUM(K10:K12)</f>
        <v>27873</v>
      </c>
      <c r="L13" s="198">
        <f t="shared" si="0"/>
        <v>0</v>
      </c>
      <c r="M13" s="198">
        <f t="shared" si="0"/>
        <v>27873</v>
      </c>
      <c r="N13" s="199">
        <f t="shared" si="0"/>
        <v>0</v>
      </c>
      <c r="O13" s="199">
        <f t="shared" si="0"/>
        <v>56489.279999999992</v>
      </c>
      <c r="P13" s="199">
        <f t="shared" si="0"/>
        <v>50007.49</v>
      </c>
      <c r="Q13" s="199">
        <f t="shared" si="0"/>
        <v>6481.7899999999972</v>
      </c>
      <c r="R13" s="199">
        <f t="shared" si="0"/>
        <v>0.41439999999999999</v>
      </c>
      <c r="S13" s="199">
        <f t="shared" si="0"/>
        <v>1518.2724479999993</v>
      </c>
      <c r="T13" s="199">
        <f t="shared" si="0"/>
        <v>7004.3</v>
      </c>
      <c r="U13" s="199">
        <f t="shared" si="0"/>
        <v>8522.572447999999</v>
      </c>
      <c r="V13" s="199">
        <f t="shared" si="0"/>
        <v>0</v>
      </c>
      <c r="W13" s="199">
        <f t="shared" si="0"/>
        <v>4205.22</v>
      </c>
      <c r="X13" s="198">
        <f t="shared" si="0"/>
        <v>0</v>
      </c>
      <c r="Y13" s="198">
        <f t="shared" si="0"/>
        <v>4205.22</v>
      </c>
      <c r="Z13" s="198">
        <f t="shared" si="0"/>
        <v>0</v>
      </c>
      <c r="AA13" s="198">
        <f t="shared" si="0"/>
        <v>4205.22</v>
      </c>
      <c r="AB13" s="198">
        <f>SUM(AB10:AB11)</f>
        <v>23667.780000000002</v>
      </c>
    </row>
    <row r="14" spans="1:29" ht="35.1" customHeight="1" thickTop="1" x14ac:dyDescent="0.2"/>
    <row r="15" spans="1:29" ht="35.1" customHeight="1" x14ac:dyDescent="0.2"/>
    <row r="16" spans="1:29" ht="35.1" customHeight="1" x14ac:dyDescent="0.2"/>
    <row r="17" spans="4:41" ht="35.1" customHeight="1" x14ac:dyDescent="0.2"/>
    <row r="20" spans="4:41" x14ac:dyDescent="0.2">
      <c r="AC20" s="43"/>
    </row>
    <row r="22" spans="4:41" ht="18" x14ac:dyDescent="0.25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4:41" ht="18" x14ac:dyDescent="0.25">
      <c r="D23" s="203" t="s">
        <v>454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203" t="s">
        <v>635</v>
      </c>
      <c r="Z23" s="203"/>
      <c r="AA23" s="203"/>
      <c r="AB23" s="203"/>
      <c r="AC23" s="108"/>
    </row>
    <row r="24" spans="4:41" ht="18" x14ac:dyDescent="0.25">
      <c r="D24" s="203" t="s">
        <v>469</v>
      </c>
      <c r="E24" s="203"/>
      <c r="F24" s="203"/>
      <c r="G24" s="203"/>
      <c r="H24" s="203"/>
      <c r="I24" s="203"/>
      <c r="J24" s="203"/>
      <c r="K24" s="203"/>
      <c r="L24" s="203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232</v>
      </c>
      <c r="Z24" s="203"/>
      <c r="AA24" s="203"/>
      <c r="AB24" s="203"/>
      <c r="AC24" s="203"/>
      <c r="AD24" s="42"/>
      <c r="AE24" s="42"/>
      <c r="AF24" s="42"/>
      <c r="AG24" s="42"/>
      <c r="AH24" s="42"/>
      <c r="AI24" s="42"/>
      <c r="AJ24" s="42"/>
      <c r="AK24" s="42"/>
      <c r="AN24" s="42"/>
      <c r="AO24" s="42"/>
    </row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</sheetData>
  <mergeCells count="8">
    <mergeCell ref="A13:J13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5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3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</row>
    <row r="2" spans="1:30" ht="18" x14ac:dyDescent="0.25">
      <c r="A2" s="452" t="s">
        <v>64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</row>
    <row r="3" spans="1:30" ht="18" x14ac:dyDescent="0.25">
      <c r="A3" s="486" t="str">
        <f>PRESIDENCIA!A3</f>
        <v>SUELDO  DEL 01 AL 15 DE FEBRERO DE 2026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53" t="s">
        <v>1</v>
      </c>
      <c r="L5" s="454"/>
      <c r="M5" s="455"/>
      <c r="N5" s="24" t="s">
        <v>25</v>
      </c>
      <c r="O5" s="25"/>
      <c r="P5" s="456" t="s">
        <v>8</v>
      </c>
      <c r="Q5" s="457"/>
      <c r="R5" s="457"/>
      <c r="S5" s="457"/>
      <c r="T5" s="457"/>
      <c r="U5" s="458"/>
      <c r="V5" s="24" t="s">
        <v>29</v>
      </c>
      <c r="W5" s="24" t="s">
        <v>9</v>
      </c>
      <c r="X5" s="23" t="s">
        <v>52</v>
      </c>
      <c r="Y5" s="459" t="s">
        <v>2</v>
      </c>
      <c r="Z5" s="460"/>
      <c r="AA5" s="461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93</v>
      </c>
      <c r="C6" s="45" t="s">
        <v>109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249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94</v>
      </c>
      <c r="F8" s="37" t="s">
        <v>206</v>
      </c>
      <c r="G8" s="191" t="s">
        <v>255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439</v>
      </c>
      <c r="C9" s="273" t="s">
        <v>108</v>
      </c>
      <c r="D9" s="258" t="s">
        <v>413</v>
      </c>
      <c r="E9" s="259" t="s">
        <v>440</v>
      </c>
      <c r="F9" s="352" t="s">
        <v>441</v>
      </c>
      <c r="G9" s="353">
        <v>45566</v>
      </c>
      <c r="H9" s="259" t="s">
        <v>73</v>
      </c>
      <c r="I9" s="277">
        <v>15</v>
      </c>
      <c r="J9" s="354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5"/>
    </row>
    <row r="10" spans="1:30" s="308" customFormat="1" ht="230.25" customHeight="1" x14ac:dyDescent="0.2">
      <c r="A10" s="255" t="s">
        <v>82</v>
      </c>
      <c r="B10" s="279" t="s">
        <v>437</v>
      </c>
      <c r="C10" s="273" t="s">
        <v>108</v>
      </c>
      <c r="D10" s="258" t="s">
        <v>414</v>
      </c>
      <c r="E10" s="259" t="s">
        <v>419</v>
      </c>
      <c r="F10" s="259" t="s">
        <v>420</v>
      </c>
      <c r="G10" s="353">
        <v>45566</v>
      </c>
      <c r="H10" s="259" t="s">
        <v>73</v>
      </c>
      <c r="I10" s="277">
        <v>15</v>
      </c>
      <c r="J10" s="354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5"/>
    </row>
    <row r="11" spans="1:30" s="308" customFormat="1" ht="230.25" customHeight="1" x14ac:dyDescent="0.2">
      <c r="A11" s="255" t="s">
        <v>83</v>
      </c>
      <c r="B11" s="279" t="s">
        <v>438</v>
      </c>
      <c r="C11" s="273" t="s">
        <v>108</v>
      </c>
      <c r="D11" s="258" t="s">
        <v>435</v>
      </c>
      <c r="E11" s="259" t="s">
        <v>450</v>
      </c>
      <c r="F11" s="259" t="s">
        <v>444</v>
      </c>
      <c r="G11" s="353">
        <v>45566</v>
      </c>
      <c r="H11" s="259" t="s">
        <v>73</v>
      </c>
      <c r="I11" s="277">
        <v>15</v>
      </c>
      <c r="J11" s="354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6"/>
    </row>
    <row r="12" spans="1:30" s="308" customFormat="1" ht="230.25" customHeight="1" x14ac:dyDescent="0.2">
      <c r="A12" s="255" t="s">
        <v>84</v>
      </c>
      <c r="B12" s="279" t="s">
        <v>436</v>
      </c>
      <c r="C12" s="273" t="s">
        <v>108</v>
      </c>
      <c r="D12" s="258" t="s">
        <v>415</v>
      </c>
      <c r="E12" s="259" t="s">
        <v>417</v>
      </c>
      <c r="F12" s="259" t="s">
        <v>418</v>
      </c>
      <c r="G12" s="353">
        <v>45566</v>
      </c>
      <c r="H12" s="259" t="s">
        <v>73</v>
      </c>
      <c r="I12" s="277">
        <v>15</v>
      </c>
      <c r="J12" s="354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5"/>
    </row>
    <row r="13" spans="1:30" s="308" customFormat="1" ht="230.25" customHeight="1" x14ac:dyDescent="0.2">
      <c r="A13" s="255" t="s">
        <v>85</v>
      </c>
      <c r="B13" s="279" t="s">
        <v>442</v>
      </c>
      <c r="C13" s="273" t="s">
        <v>108</v>
      </c>
      <c r="D13" s="280" t="s">
        <v>416</v>
      </c>
      <c r="E13" s="281" t="s">
        <v>346</v>
      </c>
      <c r="F13" s="283" t="s">
        <v>347</v>
      </c>
      <c r="G13" s="353">
        <v>45566</v>
      </c>
      <c r="H13" s="281" t="s">
        <v>73</v>
      </c>
      <c r="I13" s="277">
        <v>15</v>
      </c>
      <c r="J13" s="354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5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52" t="s">
        <v>76</v>
      </c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</row>
    <row r="16" spans="1:30" ht="23.25" customHeight="1" x14ac:dyDescent="0.25">
      <c r="A16" s="143"/>
      <c r="B16" s="452" t="s">
        <v>64</v>
      </c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</row>
    <row r="17" spans="1:31" ht="23.25" customHeight="1" x14ac:dyDescent="0.25">
      <c r="A17" s="143"/>
      <c r="B17" s="442" t="str">
        <f>PRESIDENCIA!A3</f>
        <v>SUELDO  DEL 01 AL 15 DE FEBRERO DE 2026</v>
      </c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425</v>
      </c>
      <c r="C19" s="273" t="s">
        <v>108</v>
      </c>
      <c r="D19" s="258" t="s">
        <v>426</v>
      </c>
      <c r="E19" s="259" t="s">
        <v>433</v>
      </c>
      <c r="F19" s="259" t="s">
        <v>434</v>
      </c>
      <c r="G19" s="353">
        <v>45566</v>
      </c>
      <c r="H19" s="259" t="s">
        <v>73</v>
      </c>
      <c r="I19" s="277">
        <v>15</v>
      </c>
      <c r="J19" s="354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5"/>
    </row>
    <row r="20" spans="1:31" s="308" customFormat="1" ht="216.75" customHeight="1" x14ac:dyDescent="0.2">
      <c r="A20" s="255" t="s">
        <v>87</v>
      </c>
      <c r="B20" s="279" t="s">
        <v>422</v>
      </c>
      <c r="C20" s="273" t="s">
        <v>108</v>
      </c>
      <c r="D20" s="258" t="s">
        <v>421</v>
      </c>
      <c r="E20" s="259" t="s">
        <v>423</v>
      </c>
      <c r="F20" s="259" t="s">
        <v>424</v>
      </c>
      <c r="G20" s="353">
        <v>45566</v>
      </c>
      <c r="H20" s="259" t="s">
        <v>73</v>
      </c>
      <c r="I20" s="277">
        <v>15</v>
      </c>
      <c r="J20" s="354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5"/>
    </row>
    <row r="21" spans="1:31" s="308" customFormat="1" ht="216.75" customHeight="1" x14ac:dyDescent="0.2">
      <c r="A21" s="255" t="s">
        <v>88</v>
      </c>
      <c r="B21" s="279" t="s">
        <v>445</v>
      </c>
      <c r="C21" s="273" t="s">
        <v>108</v>
      </c>
      <c r="D21" s="258" t="s">
        <v>431</v>
      </c>
      <c r="E21" s="259" t="s">
        <v>478</v>
      </c>
      <c r="F21" s="259" t="s">
        <v>447</v>
      </c>
      <c r="G21" s="353">
        <v>45566</v>
      </c>
      <c r="H21" s="259" t="s">
        <v>73</v>
      </c>
      <c r="I21" s="277">
        <v>15</v>
      </c>
      <c r="J21" s="354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5"/>
    </row>
    <row r="22" spans="1:31" s="308" customFormat="1" ht="216.75" customHeight="1" x14ac:dyDescent="0.2">
      <c r="A22" s="255" t="s">
        <v>89</v>
      </c>
      <c r="B22" s="279" t="s">
        <v>446</v>
      </c>
      <c r="C22" s="273" t="s">
        <v>108</v>
      </c>
      <c r="D22" s="258" t="s">
        <v>432</v>
      </c>
      <c r="E22" s="259" t="s">
        <v>448</v>
      </c>
      <c r="F22" s="259" t="s">
        <v>449</v>
      </c>
      <c r="G22" s="353">
        <v>45566</v>
      </c>
      <c r="H22" s="259" t="s">
        <v>73</v>
      </c>
      <c r="I22" s="277">
        <v>15</v>
      </c>
      <c r="J22" s="354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5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38" t="s">
        <v>44</v>
      </c>
      <c r="B24" s="439"/>
      <c r="C24" s="439"/>
      <c r="D24" s="439"/>
      <c r="E24" s="439"/>
      <c r="F24" s="439"/>
      <c r="G24" s="439"/>
      <c r="H24" s="439"/>
      <c r="I24" s="439"/>
      <c r="J24" s="440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454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628</v>
      </c>
      <c r="Z39" s="203" t="s">
        <v>629</v>
      </c>
      <c r="AA39" s="91"/>
      <c r="AB39" s="91"/>
    </row>
    <row r="40" spans="4:42" ht="15" x14ac:dyDescent="0.25">
      <c r="D40" s="94" t="s">
        <v>469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201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tarifa</vt:lpstr>
      <vt:lpstr>PRESIDENCIA</vt:lpstr>
      <vt:lpstr>CONTRALORIA </vt:lpstr>
      <vt:lpstr>OBRAS PUBLICAS</vt:lpstr>
      <vt:lpstr>OBRAS PUBLICAS DIRECTOR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2026-02-16T17:18:32Z</cp:lastPrinted>
  <dcterms:created xsi:type="dcterms:W3CDTF">2000-05-05T04:08:27Z</dcterms:created>
  <dcterms:modified xsi:type="dcterms:W3CDTF">2026-02-16T21:24:47Z</dcterms:modified>
</cp:coreProperties>
</file>