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MARZO 1\"/>
    </mc:Choice>
  </mc:AlternateContent>
  <xr:revisionPtr revIDLastSave="0" documentId="13_ncr:1_{6CE0BE5B-E629-4690-BE86-3E1E77E9D32F}" xr6:coauthVersionLast="47" xr6:coauthVersionMax="47" xr10:uidLastSave="{00000000-0000-0000-0000-000000000000}"/>
  <bookViews>
    <workbookView xWindow="-120" yWindow="-120" windowWidth="29040" windowHeight="15840" tabRatio="772" firstSheet="2" activeTab="1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20" l="1"/>
  <c r="AB11" i="118" l="1"/>
  <c r="B5" i="138"/>
  <c r="AB14" i="118"/>
  <c r="K11" i="118"/>
  <c r="M11" i="118" l="1"/>
  <c r="N11" i="118"/>
  <c r="O11" i="118" s="1"/>
  <c r="R11" i="118" l="1"/>
  <c r="T11" i="118"/>
  <c r="V11" i="118"/>
  <c r="P11" i="118"/>
  <c r="Q11" i="118" s="1"/>
  <c r="S11" i="118" s="1"/>
  <c r="U11" i="118" s="1"/>
  <c r="W11" i="118" s="1"/>
  <c r="X11" i="118" l="1"/>
  <c r="Y11" i="118"/>
  <c r="AA11" i="118" s="1"/>
  <c r="Z38" i="140" l="1"/>
  <c r="L38" i="140"/>
  <c r="K38" i="140"/>
  <c r="N37" i="140"/>
  <c r="O37" i="140" s="1"/>
  <c r="M37" i="140"/>
  <c r="J37" i="140"/>
  <c r="N36" i="140"/>
  <c r="O36" i="140" s="1"/>
  <c r="M36" i="140"/>
  <c r="J36" i="140"/>
  <c r="N35" i="140"/>
  <c r="O35" i="140" s="1"/>
  <c r="M35" i="140"/>
  <c r="J35" i="140"/>
  <c r="N34" i="140"/>
  <c r="O34" i="140" s="1"/>
  <c r="M34" i="140"/>
  <c r="J34" i="140"/>
  <c r="N33" i="140"/>
  <c r="O33" i="140" s="1"/>
  <c r="M33" i="140"/>
  <c r="J33" i="140"/>
  <c r="N28" i="140"/>
  <c r="O28" i="140" s="1"/>
  <c r="V28" i="140" s="1"/>
  <c r="M28" i="140"/>
  <c r="J28" i="140"/>
  <c r="N27" i="140"/>
  <c r="O27" i="140" s="1"/>
  <c r="V27" i="140" s="1"/>
  <c r="M27" i="140"/>
  <c r="J27" i="140"/>
  <c r="N26" i="140"/>
  <c r="O26" i="140" s="1"/>
  <c r="V26" i="140" s="1"/>
  <c r="M26" i="140"/>
  <c r="J26" i="140"/>
  <c r="N25" i="140"/>
  <c r="O25" i="140" s="1"/>
  <c r="V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2" i="140"/>
  <c r="O22" i="140" s="1"/>
  <c r="M22" i="140"/>
  <c r="J22" i="140"/>
  <c r="N21" i="140"/>
  <c r="O21" i="140" s="1"/>
  <c r="M21" i="140"/>
  <c r="J21" i="140"/>
  <c r="B19" i="140"/>
  <c r="B31" i="140" s="1"/>
  <c r="N16" i="140"/>
  <c r="O16" i="140" s="1"/>
  <c r="M16" i="140"/>
  <c r="J16" i="140"/>
  <c r="N15" i="140"/>
  <c r="O15" i="140" s="1"/>
  <c r="M15" i="140"/>
  <c r="J15" i="140"/>
  <c r="N14" i="140"/>
  <c r="O14" i="140" s="1"/>
  <c r="M14" i="140"/>
  <c r="J14" i="140"/>
  <c r="N13" i="140"/>
  <c r="O13" i="140" s="1"/>
  <c r="M13" i="140"/>
  <c r="J13" i="140"/>
  <c r="N12" i="140"/>
  <c r="O12" i="140" s="1"/>
  <c r="M12" i="140"/>
  <c r="J12" i="140"/>
  <c r="N11" i="140"/>
  <c r="O11" i="140" s="1"/>
  <c r="M11" i="140"/>
  <c r="J11" i="140"/>
  <c r="N10" i="140"/>
  <c r="O10" i="140" s="1"/>
  <c r="M10" i="140"/>
  <c r="J10" i="140"/>
  <c r="N9" i="140"/>
  <c r="N38" i="140" s="1"/>
  <c r="M9" i="140"/>
  <c r="J9" i="140"/>
  <c r="B3" i="140"/>
  <c r="N9" i="132"/>
  <c r="O9" i="140" l="1"/>
  <c r="O38" i="140" s="1"/>
  <c r="M38" i="140"/>
  <c r="V21" i="140"/>
  <c r="T21" i="140"/>
  <c r="R21" i="140"/>
  <c r="P21" i="140"/>
  <c r="Q21" i="140" s="1"/>
  <c r="S21" i="140" s="1"/>
  <c r="V22" i="140"/>
  <c r="T22" i="140"/>
  <c r="R22" i="140"/>
  <c r="P22" i="140"/>
  <c r="Q22" i="140" s="1"/>
  <c r="P9" i="140"/>
  <c r="R9" i="140"/>
  <c r="T9" i="140"/>
  <c r="V9" i="140"/>
  <c r="P10" i="140"/>
  <c r="Q10" i="140" s="1"/>
  <c r="R10" i="140"/>
  <c r="T10" i="140"/>
  <c r="V10" i="140"/>
  <c r="P11" i="140"/>
  <c r="Q11" i="140" s="1"/>
  <c r="R11" i="140"/>
  <c r="T11" i="140"/>
  <c r="V11" i="140"/>
  <c r="P12" i="140"/>
  <c r="Q12" i="140" s="1"/>
  <c r="R12" i="140"/>
  <c r="T12" i="140"/>
  <c r="V12" i="140"/>
  <c r="P13" i="140"/>
  <c r="Q13" i="140" s="1"/>
  <c r="R13" i="140"/>
  <c r="T13" i="140"/>
  <c r="V13" i="140"/>
  <c r="P14" i="140"/>
  <c r="Q14" i="140" s="1"/>
  <c r="R14" i="140"/>
  <c r="T14" i="140"/>
  <c r="V14" i="140"/>
  <c r="P15" i="140"/>
  <c r="Q15" i="140" s="1"/>
  <c r="R15" i="140"/>
  <c r="T15" i="140"/>
  <c r="V15" i="140"/>
  <c r="P16" i="140"/>
  <c r="Q16" i="140" s="1"/>
  <c r="R16" i="140"/>
  <c r="T16" i="140"/>
  <c r="V16" i="140"/>
  <c r="V33" i="140"/>
  <c r="T33" i="140"/>
  <c r="R33" i="140"/>
  <c r="P33" i="140"/>
  <c r="Q33" i="140" s="1"/>
  <c r="V35" i="140"/>
  <c r="T35" i="140"/>
  <c r="R35" i="140"/>
  <c r="P35" i="140"/>
  <c r="Q35" i="140" s="1"/>
  <c r="V37" i="140"/>
  <c r="T37" i="140"/>
  <c r="R37" i="140"/>
  <c r="P37" i="140"/>
  <c r="Q37" i="140" s="1"/>
  <c r="Q9" i="140"/>
  <c r="V34" i="140"/>
  <c r="T34" i="140"/>
  <c r="R34" i="140"/>
  <c r="P34" i="140"/>
  <c r="Q34" i="140" s="1"/>
  <c r="V36" i="140"/>
  <c r="T36" i="140"/>
  <c r="R36" i="140"/>
  <c r="P36" i="140"/>
  <c r="Q36" i="140" s="1"/>
  <c r="P23" i="140"/>
  <c r="Q23" i="140" s="1"/>
  <c r="R23" i="140"/>
  <c r="T23" i="140"/>
  <c r="P24" i="140"/>
  <c r="Q24" i="140" s="1"/>
  <c r="R24" i="140"/>
  <c r="T24" i="140"/>
  <c r="P25" i="140"/>
  <c r="Q25" i="140" s="1"/>
  <c r="R25" i="140"/>
  <c r="T25" i="140"/>
  <c r="P26" i="140"/>
  <c r="Q26" i="140" s="1"/>
  <c r="R26" i="140"/>
  <c r="T26" i="140"/>
  <c r="P27" i="140"/>
  <c r="Q27" i="140" s="1"/>
  <c r="R27" i="140"/>
  <c r="T27" i="140"/>
  <c r="P28" i="140"/>
  <c r="Q28" i="140" s="1"/>
  <c r="R28" i="140"/>
  <c r="T28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U21" i="140" l="1"/>
  <c r="W21" i="140" s="1"/>
  <c r="S28" i="140"/>
  <c r="U28" i="140" s="1"/>
  <c r="W28" i="140" s="1"/>
  <c r="S26" i="140"/>
  <c r="U26" i="140" s="1"/>
  <c r="W26" i="140" s="1"/>
  <c r="S24" i="140"/>
  <c r="U24" i="140" s="1"/>
  <c r="W24" i="140" s="1"/>
  <c r="S36" i="140"/>
  <c r="U36" i="140" s="1"/>
  <c r="W36" i="140" s="1"/>
  <c r="Y36" i="140" s="1"/>
  <c r="AA36" i="140" s="1"/>
  <c r="S34" i="140"/>
  <c r="U34" i="140" s="1"/>
  <c r="W34" i="140" s="1"/>
  <c r="S16" i="140"/>
  <c r="U16" i="140" s="1"/>
  <c r="W16" i="140" s="1"/>
  <c r="S15" i="140"/>
  <c r="U15" i="140" s="1"/>
  <c r="W15" i="140" s="1"/>
  <c r="S14" i="140"/>
  <c r="U14" i="140" s="1"/>
  <c r="W14" i="140" s="1"/>
  <c r="S13" i="140"/>
  <c r="S12" i="140"/>
  <c r="U12" i="140" s="1"/>
  <c r="W12" i="140" s="1"/>
  <c r="S11" i="140"/>
  <c r="U11" i="140" s="1"/>
  <c r="W11" i="140" s="1"/>
  <c r="S10" i="140"/>
  <c r="U10" i="140" s="1"/>
  <c r="W10" i="140" s="1"/>
  <c r="S37" i="140"/>
  <c r="U37" i="140" s="1"/>
  <c r="W37" i="140" s="1"/>
  <c r="Y37" i="140" s="1"/>
  <c r="AA37" i="140" s="1"/>
  <c r="S35" i="140"/>
  <c r="U35" i="140" s="1"/>
  <c r="W35" i="140" s="1"/>
  <c r="Y35" i="140" s="1"/>
  <c r="AA35" i="140" s="1"/>
  <c r="S33" i="140"/>
  <c r="U33" i="140" s="1"/>
  <c r="W33" i="140" s="1"/>
  <c r="Y33" i="140" s="1"/>
  <c r="AA33" i="140" s="1"/>
  <c r="S27" i="140"/>
  <c r="U27" i="140" s="1"/>
  <c r="W27" i="140" s="1"/>
  <c r="X27" i="140" s="1"/>
  <c r="S25" i="140"/>
  <c r="U25" i="140" s="1"/>
  <c r="W25" i="140" s="1"/>
  <c r="Y25" i="140" s="1"/>
  <c r="AA25" i="140" s="1"/>
  <c r="S23" i="140"/>
  <c r="U23" i="140" s="1"/>
  <c r="W23" i="140" s="1"/>
  <c r="X23" i="140" s="1"/>
  <c r="S22" i="140"/>
  <c r="U22" i="140" s="1"/>
  <c r="W22" i="140" s="1"/>
  <c r="Y22" i="140" s="1"/>
  <c r="AA22" i="140" s="1"/>
  <c r="U13" i="140"/>
  <c r="W13" i="140" s="1"/>
  <c r="Y13" i="140" s="1"/>
  <c r="AA13" i="140" s="1"/>
  <c r="X36" i="140"/>
  <c r="Y34" i="140"/>
  <c r="AA34" i="140" s="1"/>
  <c r="X34" i="140"/>
  <c r="Y23" i="140"/>
  <c r="AA23" i="140" s="1"/>
  <c r="X37" i="140"/>
  <c r="X33" i="140"/>
  <c r="Q38" i="140"/>
  <c r="S9" i="140"/>
  <c r="T38" i="140"/>
  <c r="P38" i="140"/>
  <c r="X21" i="140"/>
  <c r="Y21" i="140"/>
  <c r="AA21" i="140" s="1"/>
  <c r="V38" i="140"/>
  <c r="R38" i="140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N9" i="137"/>
  <c r="O9" i="137" s="1"/>
  <c r="M9" i="137"/>
  <c r="J9" i="137"/>
  <c r="A3" i="137"/>
  <c r="N36" i="135"/>
  <c r="O36" i="135" s="1"/>
  <c r="M36" i="135"/>
  <c r="J36" i="135"/>
  <c r="X15" i="140" l="1"/>
  <c r="Y15" i="140"/>
  <c r="AA15" i="140" s="1"/>
  <c r="X11" i="140"/>
  <c r="AB11" i="140" s="1"/>
  <c r="Y11" i="140"/>
  <c r="AA11" i="140" s="1"/>
  <c r="X24" i="140"/>
  <c r="Y24" i="140"/>
  <c r="AA24" i="140" s="1"/>
  <c r="AB24" i="140" s="1"/>
  <c r="X28" i="140"/>
  <c r="AB28" i="140" s="1"/>
  <c r="Y28" i="140"/>
  <c r="AA28" i="140" s="1"/>
  <c r="X25" i="140"/>
  <c r="Y27" i="140"/>
  <c r="AA27" i="140" s="1"/>
  <c r="AB27" i="140" s="1"/>
  <c r="X13" i="140"/>
  <c r="AB13" i="140" s="1"/>
  <c r="X22" i="140"/>
  <c r="AB22" i="140" s="1"/>
  <c r="Y10" i="140"/>
  <c r="AA10" i="140" s="1"/>
  <c r="X10" i="140"/>
  <c r="AB10" i="140" s="1"/>
  <c r="Y12" i="140"/>
  <c r="AA12" i="140" s="1"/>
  <c r="X12" i="140"/>
  <c r="AB12" i="140" s="1"/>
  <c r="Y14" i="140"/>
  <c r="AA14" i="140" s="1"/>
  <c r="X14" i="140"/>
  <c r="AB14" i="140" s="1"/>
  <c r="Y16" i="140"/>
  <c r="AA16" i="140" s="1"/>
  <c r="X16" i="140"/>
  <c r="AB16" i="140" s="1"/>
  <c r="X26" i="140"/>
  <c r="Y26" i="140"/>
  <c r="AA26" i="140" s="1"/>
  <c r="X35" i="140"/>
  <c r="AB23" i="140"/>
  <c r="AB21" i="140"/>
  <c r="AB25" i="140"/>
  <c r="T12" i="132"/>
  <c r="S38" i="140"/>
  <c r="U9" i="140"/>
  <c r="AB33" i="140"/>
  <c r="AB35" i="140"/>
  <c r="AB37" i="140"/>
  <c r="AB15" i="140"/>
  <c r="AB34" i="140"/>
  <c r="AB36" i="140"/>
  <c r="AB26" i="140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12" i="132"/>
  <c r="X12" i="132" s="1"/>
  <c r="V9" i="137"/>
  <c r="R9" i="137"/>
  <c r="T9" i="137"/>
  <c r="P9" i="137"/>
  <c r="Q9" i="137" s="1"/>
  <c r="V36" i="135"/>
  <c r="T36" i="135"/>
  <c r="R36" i="135"/>
  <c r="P36" i="135"/>
  <c r="Q36" i="135" s="1"/>
  <c r="Z13" i="132" l="1"/>
  <c r="AB13" i="132" s="1"/>
  <c r="S36" i="135"/>
  <c r="U36" i="135" s="1"/>
  <c r="W36" i="135" s="1"/>
  <c r="Y11" i="132"/>
  <c r="AC11" i="132" s="1"/>
  <c r="AC13" i="132"/>
  <c r="U38" i="140"/>
  <c r="W9" i="140"/>
  <c r="Y9" i="132"/>
  <c r="AC9" i="132" s="1"/>
  <c r="Y20" i="132"/>
  <c r="AC20" i="132" s="1"/>
  <c r="Z12" i="132"/>
  <c r="AB12" i="132" s="1"/>
  <c r="Y12" i="132"/>
  <c r="S9" i="137"/>
  <c r="U9" i="137" s="1"/>
  <c r="W9" i="137" s="1"/>
  <c r="Y9" i="137" s="1"/>
  <c r="AA9" i="137" s="1"/>
  <c r="X9" i="137"/>
  <c r="Y36" i="135" l="1"/>
  <c r="AA36" i="135" s="1"/>
  <c r="X36" i="135"/>
  <c r="W38" i="140"/>
  <c r="X9" i="140"/>
  <c r="Y9" i="140"/>
  <c r="AC12" i="132"/>
  <c r="AB9" i="137"/>
  <c r="AB36" i="135"/>
  <c r="X38" i="140" l="1"/>
  <c r="AB9" i="140"/>
  <c r="AB38" i="140" s="1"/>
  <c r="Y38" i="140"/>
  <c r="AA9" i="140"/>
  <c r="AA38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U26" i="121"/>
  <c r="W26" i="121" s="1"/>
  <c r="X26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24" i="120"/>
  <c r="O24" i="120" s="1"/>
  <c r="V24" i="120" l="1"/>
  <c r="T24" i="120"/>
  <c r="R24" i="120"/>
  <c r="P24" i="120"/>
  <c r="Q24" i="120" s="1"/>
  <c r="S24" i="120" l="1"/>
  <c r="U24" i="120" l="1"/>
  <c r="W24" i="120" s="1"/>
  <c r="N12" i="133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2" i="120"/>
  <c r="O32" i="120" s="1"/>
  <c r="M32" i="120"/>
  <c r="J32" i="120"/>
  <c r="N31" i="120"/>
  <c r="O31" i="120" s="1"/>
  <c r="M31" i="120"/>
  <c r="J31" i="120"/>
  <c r="N30" i="120"/>
  <c r="O30" i="120" s="1"/>
  <c r="M30" i="120"/>
  <c r="J30" i="120"/>
  <c r="N23" i="120"/>
  <c r="O23" i="120" s="1"/>
  <c r="M23" i="120"/>
  <c r="J23" i="120"/>
  <c r="N22" i="120"/>
  <c r="O22" i="120" s="1"/>
  <c r="M22" i="120"/>
  <c r="J22" i="120"/>
  <c r="X24" i="120" l="1"/>
  <c r="Y24" i="120"/>
  <c r="AA24" i="120" s="1"/>
  <c r="V12" i="133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2" i="120"/>
  <c r="T32" i="120"/>
  <c r="R32" i="120"/>
  <c r="P32" i="120"/>
  <c r="Q32" i="120" s="1"/>
  <c r="R30" i="120"/>
  <c r="P30" i="120"/>
  <c r="Q30" i="120" s="1"/>
  <c r="V30" i="120"/>
  <c r="T30" i="120"/>
  <c r="R31" i="120"/>
  <c r="P31" i="120"/>
  <c r="Q31" i="120" s="1"/>
  <c r="V31" i="120"/>
  <c r="T31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AB24" i="120" l="1"/>
  <c r="S32" i="120"/>
  <c r="U32" i="120" s="1"/>
  <c r="W32" i="120" s="1"/>
  <c r="X32" i="120" s="1"/>
  <c r="S49" i="123"/>
  <c r="S51" i="123"/>
  <c r="U51" i="123" s="1"/>
  <c r="W51" i="123" s="1"/>
  <c r="X51" i="123" s="1"/>
  <c r="S30" i="120"/>
  <c r="U30" i="120" s="1"/>
  <c r="W30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1" i="120"/>
  <c r="U31" i="120" s="1"/>
  <c r="W31" i="120" s="1"/>
  <c r="X31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X22" i="120"/>
  <c r="AB22" i="120" s="1"/>
  <c r="X30" i="120"/>
  <c r="Y30" i="120"/>
  <c r="AA30" i="120" s="1"/>
  <c r="Y32" i="120"/>
  <c r="AA32" i="120" s="1"/>
  <c r="AB32" i="120" s="1"/>
  <c r="S41" i="123"/>
  <c r="Y51" i="123"/>
  <c r="AA51" i="123" s="1"/>
  <c r="AB51" i="123" s="1"/>
  <c r="Y31" i="120"/>
  <c r="AA31" i="120" s="1"/>
  <c r="AB31" i="120" s="1"/>
  <c r="X12" i="133"/>
  <c r="AB12" i="133" s="1"/>
  <c r="U41" i="123"/>
  <c r="W41" i="123" s="1"/>
  <c r="X41" i="12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0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5" i="133"/>
  <c r="O15" i="133" s="1"/>
  <c r="M15" i="133"/>
  <c r="N22" i="119"/>
  <c r="O22" i="119" s="1"/>
  <c r="M22" i="119"/>
  <c r="M21" i="119" s="1"/>
  <c r="Z21" i="119"/>
  <c r="L21" i="119"/>
  <c r="K21" i="119"/>
  <c r="N14" i="133"/>
  <c r="O14" i="133" s="1"/>
  <c r="M14" i="133"/>
  <c r="J14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5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M10" i="121" s="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3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3" i="120"/>
  <c r="L33" i="120"/>
  <c r="M22" i="121"/>
  <c r="P11" i="136"/>
  <c r="R11" i="136"/>
  <c r="T11" i="136"/>
  <c r="V11" i="136"/>
  <c r="Z12" i="119"/>
  <c r="L12" i="119"/>
  <c r="K12" i="119"/>
  <c r="Z16" i="133"/>
  <c r="L16" i="133"/>
  <c r="K16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5" i="133"/>
  <c r="T15" i="133"/>
  <c r="P15" i="133"/>
  <c r="Q15" i="133" s="1"/>
  <c r="V15" i="133"/>
  <c r="T11" i="133"/>
  <c r="V11" i="133"/>
  <c r="P10" i="133"/>
  <c r="Q10" i="133" s="1"/>
  <c r="R14" i="133"/>
  <c r="V14" i="133"/>
  <c r="T14" i="133"/>
  <c r="P14" i="133"/>
  <c r="Q14" i="133" s="1"/>
  <c r="K53" i="123"/>
  <c r="Z53" i="123"/>
  <c r="L53" i="123"/>
  <c r="P24" i="132"/>
  <c r="T9" i="133"/>
  <c r="V9" i="133"/>
  <c r="M16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P20" i="120"/>
  <c r="Q20" i="120" s="1"/>
  <c r="R20" i="120"/>
  <c r="T20" i="120"/>
  <c r="V20" i="120"/>
  <c r="R24" i="121"/>
  <c r="V24" i="121"/>
  <c r="T24" i="121"/>
  <c r="N16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6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3" i="120"/>
  <c r="R12" i="121"/>
  <c r="O41" i="121"/>
  <c r="V9" i="121"/>
  <c r="P9" i="121"/>
  <c r="T9" i="121"/>
  <c r="R9" i="121"/>
  <c r="N41" i="121"/>
  <c r="B18" i="132"/>
  <c r="O33" i="120"/>
  <c r="N33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4" i="133"/>
  <c r="U14" i="133" s="1"/>
  <c r="W14" i="133" s="1"/>
  <c r="X14" i="133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5" i="133"/>
  <c r="U15" i="133" s="1"/>
  <c r="W15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6" i="133"/>
  <c r="V16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20" i="120"/>
  <c r="U20" i="120" s="1"/>
  <c r="W20" i="120" s="1"/>
  <c r="S11" i="120"/>
  <c r="U11" i="120" s="1"/>
  <c r="W11" i="120" s="1"/>
  <c r="P16" i="133"/>
  <c r="R16" i="133"/>
  <c r="M53" i="123"/>
  <c r="Q24" i="132"/>
  <c r="P33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3" i="120"/>
  <c r="V33" i="120"/>
  <c r="T33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5" i="133"/>
  <c r="Y15" i="133"/>
  <c r="AA15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4" i="133"/>
  <c r="AA14" i="133" s="1"/>
  <c r="AB14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13" i="120"/>
  <c r="AA13" i="120" s="1"/>
  <c r="AB13" i="120" s="1"/>
  <c r="X19" i="120"/>
  <c r="AB19" i="120" s="1"/>
  <c r="X20" i="120"/>
  <c r="Y20" i="120"/>
  <c r="AA20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6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3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5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AB20" i="120"/>
  <c r="T24" i="132"/>
  <c r="S38" i="135"/>
  <c r="AB46" i="123"/>
  <c r="AB37" i="123"/>
  <c r="AA27" i="123"/>
  <c r="AA26" i="123" s="1"/>
  <c r="AB13" i="133"/>
  <c r="S16" i="133"/>
  <c r="U9" i="133"/>
  <c r="AB10" i="121"/>
  <c r="X35" i="121"/>
  <c r="AA36" i="121"/>
  <c r="AA35" i="121" s="1"/>
  <c r="Y35" i="121"/>
  <c r="U9" i="121"/>
  <c r="S41" i="121"/>
  <c r="S33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3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6" i="133"/>
  <c r="W9" i="133"/>
  <c r="AB36" i="121"/>
  <c r="AB35" i="121" s="1"/>
  <c r="U41" i="121"/>
  <c r="W9" i="121"/>
  <c r="U33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6" i="133"/>
  <c r="Y9" i="121"/>
  <c r="W41" i="121"/>
  <c r="X9" i="121"/>
  <c r="W33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6" i="133"/>
  <c r="AA9" i="133"/>
  <c r="AA16" i="133" s="1"/>
  <c r="X16" i="133"/>
  <c r="X8" i="121"/>
  <c r="X41" i="121" s="1"/>
  <c r="Y8" i="121"/>
  <c r="Y41" i="121" s="1"/>
  <c r="AA9" i="121"/>
  <c r="AA8" i="121" s="1"/>
  <c r="AA41" i="121" s="1"/>
  <c r="Y33" i="120"/>
  <c r="AA33" i="120"/>
  <c r="X33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6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<sst xmlns="http://schemas.openxmlformats.org/spreadsheetml/2006/main" count="1801" uniqueCount="646">
  <si>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</si>
  <si>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</si>
  <si>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</si>
  <si>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</si>
  <si>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</si>
  <si>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</si>
  <si>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</si>
  <si>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</si>
  <si>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</si>
  <si>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</si>
  <si>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</si>
  <si>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</si>
  <si>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</si>
  <si>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</si>
  <si>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</si>
  <si>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</si>
  <si>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</si>
  <si>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</si>
  <si>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</si>
  <si>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</si>
  <si>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</si>
  <si>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</si>
  <si>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</si>
  <si>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</si>
  <si>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</si>
  <si>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</si>
  <si>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</si>
  <si>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</si>
  <si>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</si>
  <si>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</si>
  <si>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</si>
  <si>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</si>
  <si>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</si>
  <si>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</si>
  <si>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</si>
  <si>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</si>
  <si>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</si>
  <si>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</si>
  <si>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</si>
  <si>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</si>
  <si>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</si>
  <si>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</si>
  <si>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</si>
  <si>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</si>
  <si>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</si>
  <si>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</si>
  <si>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</si>
  <si>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</si>
  <si>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</si>
  <si>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</si>
  <si>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</si>
  <si>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</si>
  <si>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</si>
  <si>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</si>
  <si>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</si>
  <si>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</si>
  <si>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</si>
  <si>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</si>
  <si>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</si>
  <si>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</si>
  <si>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</si>
  <si>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</si>
  <si>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</si>
  <si>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</si>
  <si>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</si>
  <si>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</si>
  <si>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</si>
  <si>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</si>
  <si>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</si>
  <si>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</si>
  <si>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</si>
  <si>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</si>
  <si>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</si>
  <si>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</si>
  <si>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</si>
  <si>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</si>
  <si>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</si>
  <si>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</si>
  <si>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</si>
  <si>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</si>
  <si>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</si>
  <si>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</si>
  <si>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</si>
  <si>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</si>
  <si>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</si>
  <si>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</si>
  <si>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</si>
  <si>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</si>
  <si>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</si>
  <si>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</si>
  <si>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</si>
  <si>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</si>
  <si>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</si>
  <si>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</si>
  <si>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</si>
  <si>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</si>
  <si>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</si>
  <si>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</si>
  <si>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</si>
  <si>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</si>
  <si>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</si>
  <si>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</si>
  <si>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</si>
  <si>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</si>
  <si>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</si>
  <si>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</si>
  <si>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</si>
  <si>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</si>
  <si>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</si>
  <si>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</si>
  <si>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</si>
  <si>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</si>
  <si>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</si>
  <si>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</si>
  <si>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</si>
  <si>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</si>
  <si>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</si>
  <si>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</si>
  <si>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</si>
  <si>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</si>
  <si>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</si>
  <si>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</si>
  <si>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</si>
  <si>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</si>
  <si>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</si>
  <si>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</si>
  <si>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</si>
  <si>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</si>
  <si>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</si>
  <si>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</si>
  <si>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</si>
  <si>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</si>
  <si>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</si>
  <si>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</si>
  <si>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</si>
  <si>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</si>
  <si>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</si>
  <si>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</si>
  <si>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</si>
  <si>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</si>
  <si>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</si>
  <si>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</si>
  <si>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</si>
  <si>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</si>
  <si>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</si>
  <si>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</si>
  <si>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</si>
  <si>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</si>
  <si>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</si>
  <si>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</si>
  <si>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</si>
  <si>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</si>
  <si>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</si>
  <si>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</si>
  <si>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</si>
  <si>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</si>
  <si>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</si>
  <si>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</si>
  <si>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</si>
  <si>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</si>
  <si>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</si>
  <si>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</si>
  <si>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</si>
  <si>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</si>
  <si>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</si>
  <si>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</si>
  <si>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</si>
  <si>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</si>
  <si>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</si>
  <si>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</si>
  <si>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</si>
  <si>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</si>
  <si>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</si>
  <si>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</si>
  <si>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</si>
  <si>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</si>
  <si>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</si>
  <si>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</si>
  <si>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</si>
  <si>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</si>
  <si>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</si>
  <si>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</si>
  <si>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</si>
  <si>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</si>
  <si>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</si>
  <si>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</si>
  <si>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</si>
  <si>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</si>
  <si>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</si>
  <si>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</si>
  <si>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</si>
  <si>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</si>
  <si>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</si>
  <si>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</si>
  <si>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</si>
  <si>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</si>
  <si>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</si>
  <si>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</si>
  <si>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</si>
  <si>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</si>
  <si>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</si>
  <si>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</si>
  <si>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</si>
  <si>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</si>
  <si>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</si>
  <si>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</si>
  <si>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</si>
  <si>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</si>
  <si>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</si>
  <si>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</si>
  <si>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</si>
  <si>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</si>
  <si>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</si>
  <si>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</si>
  <si>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</si>
  <si>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</si>
  <si>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</si>
  <si>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</si>
  <si>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</si>
  <si>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</si>
  <si>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</si>
  <si>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</si>
  <si>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</si>
  <si>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</si>
  <si>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</si>
  <si>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</si>
  <si>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</si>
  <si>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</si>
  <si>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</si>
  <si>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</si>
  <si>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</si>
  <si>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</si>
  <si>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</si>
  <si>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</si>
  <si>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</si>
  <si>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</si>
  <si>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</si>
  <si>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</si>
  <si>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</si>
  <si>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</si>
  <si>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</si>
  <si>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</si>
  <si>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</si>
  <si>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</si>
  <si>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</si>
  <si>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</si>
  <si>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</si>
  <si>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</si>
  <si>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</si>
  <si>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</si>
  <si>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</si>
  <si>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</si>
  <si>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</si>
  <si>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</si>
  <si>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</si>
  <si>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</si>
  <si>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</si>
  <si>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</si>
  <si>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</si>
  <si>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</si>
  <si>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</si>
  <si>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</si>
  <si>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</si>
  <si>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</si>
  <si>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</si>
  <si>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</si>
  <si>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</si>
  <si>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</si>
  <si>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</si>
  <si>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</si>
  <si>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</si>
  <si>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</si>
  <si>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</si>
  <si>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</si>
  <si>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</si>
  <si>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</si>
  <si>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</si>
  <si>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</si>
  <si>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</si>
  <si>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</si>
  <si>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</si>
  <si>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</si>
  <si>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</si>
  <si>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</si>
  <si>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</si>
  <si>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</si>
  <si>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</si>
  <si>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</si>
  <si>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</si>
  <si>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</si>
  <si>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</si>
  <si>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</si>
  <si>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</si>
  <si>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</si>
  <si>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</si>
  <si>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</si>
  <si>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</si>
  <si>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</si>
  <si>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</si>
  <si>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</si>
  <si>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</si>
  <si>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</si>
  <si>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</si>
  <si>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</si>
  <si>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</si>
  <si>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</si>
  <si>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</si>
  <si>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</si>
  <si>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</si>
  <si>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</si>
  <si>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</si>
  <si>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</si>
  <si>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</si>
  <si>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</si>
  <si>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</si>
  <si>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</si>
  <si>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</si>
  <si>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</si>
  <si>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</si>
  <si>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</si>
  <si>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</si>
  <si>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</si>
  <si>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</si>
  <si>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</si>
  <si>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</si>
  <si>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</si>
  <si>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</si>
  <si>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</si>
  <si>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</si>
  <si>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</si>
  <si>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</si>
  <si>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</si>
  <si>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</si>
  <si>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</si>
  <si>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</si>
  <si>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</si>
  <si>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</si>
  <si>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</si>
  <si>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</si>
  <si>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</si>
  <si>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</si>
  <si>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</si>
  <si>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</si>
  <si>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</si>
  <si>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</si>
  <si>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</si>
  <si>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</si>
  <si>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</si>
  <si>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</si>
  <si>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</si>
  <si>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</si>
  <si>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</si>
  <si>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</si>
  <si>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</si>
  <si>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</si>
  <si>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</si>
  <si>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</si>
  <si>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</si>
  <si>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</si>
  <si>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</si>
  <si>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</si>
  <si>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</si>
  <si>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</si>
  <si>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</si>
  <si>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</si>
  <si>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</si>
  <si>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</si>
  <si>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</si>
  <si>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</si>
  <si>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</si>
  <si>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</si>
  <si>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</si>
  <si>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</si>
  <si>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</si>
  <si>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</si>
  <si>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</si>
  <si>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</si>
  <si>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</si>
  <si>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</si>
  <si>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</si>
  <si>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</si>
  <si>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</si>
  <si>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</si>
  <si>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</si>
  <si>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</si>
  <si>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</si>
  <si>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</si>
  <si>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</si>
  <si>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</si>
  <si>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</si>
  <si>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</si>
  <si>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</si>
  <si>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</si>
  <si>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</si>
  <si>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</si>
  <si>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</si>
  <si>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</si>
  <si>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</si>
  <si>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</si>
  <si>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</si>
  <si>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</si>
  <si>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</si>
  <si>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</si>
  <si>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</si>
  <si>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</si>
  <si>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</si>
  <si>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</si>
  <si>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</si>
  <si>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</si>
  <si>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</si>
  <si>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</si>
  <si>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</si>
  <si>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</si>
  <si>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</si>
  <si>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</si>
  <si>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</si>
  <si>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</si>
  <si>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</si>
  <si>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</si>
  <si>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</si>
  <si>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</si>
  <si>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</si>
  <si>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</si>
  <si>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</si>
  <si>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</si>
  <si>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</si>
  <si>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</si>
  <si>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</si>
  <si>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</si>
  <si>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</si>
  <si>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</si>
  <si>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</si>
  <si>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</si>
  <si>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</si>
  <si>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</si>
  <si>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</si>
  <si>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</si>
  <si>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</si>
  <si>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</si>
  <si>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</si>
  <si>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</si>
  <si>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</si>
  <si>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</si>
  <si>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</si>
  <si>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</si>
  <si>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</si>
  <si>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</si>
  <si>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</si>
  <si>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</si>
  <si>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</si>
  <si>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</si>
  <si>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</si>
  <si>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</si>
  <si>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</si>
  <si>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</si>
  <si>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</si>
  <si>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</si>
  <si>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</si>
  <si>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</si>
  <si>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</si>
  <si>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</si>
  <si>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</si>
  <si>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</si>
  <si>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</si>
  <si>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</si>
  <si>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</si>
  <si>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</si>
  <si>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</si>
  <si>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</si>
  <si>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</si>
  <si>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</si>
  <si>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</si>
  <si>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</si>
  <si>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</si>
  <si>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</si>
  <si>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</si>
  <si>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</si>
  <si>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</si>
  <si>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</si>
  <si>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</si>
  <si>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</si>
  <si>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</si>
  <si>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</si>
  <si>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</si>
  <si>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</si>
  <si>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</si>
  <si>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</si>
  <si>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</si>
  <si>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</si>
  <si>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</si>
  <si>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</si>
  <si>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</si>
  <si>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</si>
  <si>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</si>
  <si>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</si>
  <si>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</si>
  <si>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</si>
  <si>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</si>
  <si>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</si>
  <si>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</si>
  <si>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</si>
  <si>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</si>
  <si>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</si>
  <si>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</si>
  <si>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</si>
  <si>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</si>
  <si>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</si>
  <si>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</si>
  <si>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</si>
  <si>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</si>
  <si>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</si>
  <si>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</si>
  <si>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</si>
  <si>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</si>
  <si>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</si>
  <si>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</si>
  <si>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</si>
  <si>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</si>
  <si>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</si>
  <si>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</si>
  <si>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</si>
  <si>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</si>
  <si>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</si>
  <si>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</si>
  <si>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</si>
  <si>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</si>
  <si>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</si>
  <si>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</si>
  <si>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</si>
  <si>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</si>
  <si>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</si>
  <si>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</si>
  <si>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</si>
  <si>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</si>
  <si>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</si>
  <si>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</si>
  <si>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</si>
  <si>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</si>
  <si>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</si>
  <si>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</si>
  <si>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</si>
  <si>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</si>
  <si>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</si>
  <si>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</si>
  <si>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</si>
  <si>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</si>
  <si>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</si>
  <si>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</si>
  <si>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</si>
  <si>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</si>
  <si>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</si>
  <si>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</si>
  <si>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</si>
  <si>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</si>
  <si>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</si>
  <si>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</si>
  <si>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</si>
  <si>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</si>
  <si>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</si>
  <si>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</si>
  <si>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</si>
  <si>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</si>
  <si>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</si>
  <si>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</si>
  <si>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</si>
  <si>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</si>
  <si>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</si>
  <si>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</si>
  <si>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</si>
  <si>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</si>
  <si>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</si>
  <si>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</si>
  <si>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</si>
  <si>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</si>
  <si>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</si>
  <si>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</si>
  <si>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</si>
  <si>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</si>
  <si>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</si>
  <si>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</si>
  <si>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</si>
  <si>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</si>
  <si>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</si>
  <si>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</si>
  <si>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</si>
  <si>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</si>
  <si>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</si>
  <si>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</si>
  <si>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</si>
  <si>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</si>
  <si>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</si>
  <si>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</si>
  <si>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</si>
  <si>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</si>
  <si>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</si>
  <si>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</si>
  <si>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</si>
  <si>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</si>
  <si>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</si>
  <si>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</si>
  <si>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</si>
  <si>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</si>
  <si>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</si>
  <si>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</si>
  <si>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</si>
  <si>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</si>
  <si>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</si>
  <si>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</si>
  <si>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</si>
  <si>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</si>
  <si>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</si>
  <si>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</si>
  <si>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</si>
  <si>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</si>
  <si>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</si>
  <si>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</si>
  <si>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</si>
  <si>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</si>
  <si>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</si>
  <si>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</si>
  <si>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</si>
  <si>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</si>
  <si>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</si>
  <si>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</si>
  <si>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</si>
  <si>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</si>
  <si>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</si>
  <si>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</si>
  <si>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</si>
  <si>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</si>
  <si>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</si>
  <si>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</si>
  <si>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</si>
  <si>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</si>
  <si>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</si>
  <si>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</si>
  <si>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</si>
  <si>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</si>
  <si>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</si>
  <si>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</si>
  <si>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SUELDO  DEL 01 AL 15 DE MARZO DE 2026</t>
  </si>
  <si>
    <t>OMAR ARTURO GALLEGOS DIAZ</t>
  </si>
  <si>
    <t>GADO9426HJCLZM00</t>
  </si>
  <si>
    <t>GAD0940126AQA</t>
  </si>
  <si>
    <t>AUXILIAR CONTABLE DE HACIENDA PÚBLICA MUNICIPAL</t>
  </si>
  <si>
    <t>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</si>
</sst>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1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057" y="0"/>
          <a:ext cx="1145721" cy="920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31" t="s">
        <v>10</v>
      </c>
      <c r="C7" s="431"/>
      <c r="D7" s="431"/>
      <c r="E7" s="7"/>
      <c r="F7" s="432" t="s">
        <v>48</v>
      </c>
      <c r="G7" s="433"/>
      <c r="I7" s="110" t="s">
        <v>173</v>
      </c>
    </row>
    <row r="8" spans="1:9" ht="14.25" customHeight="1" x14ac:dyDescent="0.2">
      <c r="B8" s="434" t="s">
        <v>9</v>
      </c>
      <c r="C8" s="434"/>
      <c r="D8" s="434"/>
      <c r="E8" s="7"/>
      <c r="F8" s="435" t="s">
        <v>49</v>
      </c>
      <c r="G8" s="436"/>
      <c r="I8" s="109">
        <v>117.31</v>
      </c>
    </row>
    <row r="9" spans="1:9" ht="8.25" customHeight="1" x14ac:dyDescent="0.2">
      <c r="B9" s="428"/>
      <c r="C9" s="428"/>
      <c r="D9" s="428"/>
      <c r="E9" s="7"/>
      <c r="F9" s="429"/>
      <c r="G9" s="430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617</v>
      </c>
      <c r="C28" s="7"/>
      <c r="D28" s="7"/>
    </row>
    <row r="29" spans="1:8" x14ac:dyDescent="0.2">
      <c r="B29" s="32" t="s">
        <v>618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32" t="s">
        <v>53</v>
      </c>
      <c r="G32" s="433"/>
    </row>
    <row r="33" spans="2:7" x14ac:dyDescent="0.2">
      <c r="E33" s="7"/>
      <c r="F33" s="435" t="s">
        <v>54</v>
      </c>
      <c r="G33" s="436"/>
    </row>
    <row r="34" spans="2:7" ht="5.25" customHeight="1" x14ac:dyDescent="0.2">
      <c r="E34" s="7"/>
      <c r="F34" s="429"/>
      <c r="G34" s="430"/>
    </row>
    <row r="35" spans="2:7" x14ac:dyDescent="0.2">
      <c r="B35" s="431" t="s">
        <v>10</v>
      </c>
      <c r="C35" s="431"/>
      <c r="D35" s="431"/>
      <c r="E35" s="7"/>
      <c r="F35" s="9" t="s">
        <v>16</v>
      </c>
      <c r="G35" s="9" t="s">
        <v>17</v>
      </c>
    </row>
    <row r="36" spans="2:7" x14ac:dyDescent="0.2">
      <c r="B36" s="434" t="s">
        <v>9</v>
      </c>
      <c r="C36" s="434"/>
      <c r="D36" s="434"/>
      <c r="E36" s="7"/>
      <c r="F36" s="9"/>
      <c r="G36" s="9" t="s">
        <v>18</v>
      </c>
    </row>
    <row r="37" spans="2:7" x14ac:dyDescent="0.2">
      <c r="B37" s="428"/>
      <c r="C37" s="428"/>
      <c r="D37" s="42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52" t="s">
        <v>1</v>
      </c>
      <c r="K5" s="453"/>
      <c r="L5" s="454"/>
      <c r="M5" s="24" t="s">
        <v>25</v>
      </c>
      <c r="N5" s="25"/>
      <c r="O5" s="455" t="s">
        <v>8</v>
      </c>
      <c r="P5" s="456"/>
      <c r="Q5" s="456"/>
      <c r="R5" s="456"/>
      <c r="S5" s="456"/>
      <c r="T5" s="457"/>
      <c r="U5" s="24" t="s">
        <v>29</v>
      </c>
      <c r="V5" s="24" t="s">
        <v>9</v>
      </c>
      <c r="W5" s="23" t="s">
        <v>52</v>
      </c>
      <c r="X5" s="458" t="s">
        <v>2</v>
      </c>
      <c r="Y5" s="459"/>
      <c r="Z5" s="460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446</v>
      </c>
      <c r="B9" s="273" t="s">
        <v>107</v>
      </c>
      <c r="C9" s="258" t="s">
        <v>402</v>
      </c>
      <c r="D9" s="259" t="s">
        <v>403</v>
      </c>
      <c r="E9" s="357" t="s">
        <v>438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38"/>
      <c r="B11" s="438"/>
      <c r="C11" s="438"/>
      <c r="D11" s="438"/>
      <c r="E11" s="438"/>
      <c r="F11" s="438"/>
      <c r="G11" s="438"/>
      <c r="H11" s="438"/>
      <c r="I11" s="439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449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615</v>
      </c>
      <c r="Y23" s="91"/>
      <c r="Z23" s="91"/>
      <c r="AA23" s="91"/>
      <c r="AB23" s="91"/>
    </row>
    <row r="24" spans="3:28" ht="15" x14ac:dyDescent="0.25">
      <c r="C24" s="486" t="s">
        <v>464</v>
      </c>
      <c r="D24" s="487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activeCell="AD9" sqref="AD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0.7109375" bestFit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</row>
    <row r="2" spans="1:31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</row>
    <row r="3" spans="1:31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488" t="s">
        <v>92</v>
      </c>
      <c r="C5" s="488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52" t="s">
        <v>1</v>
      </c>
      <c r="M5" s="453"/>
      <c r="N5" s="454"/>
      <c r="O5" s="24" t="s">
        <v>25</v>
      </c>
      <c r="P5" s="25"/>
      <c r="Q5" s="455" t="s">
        <v>8</v>
      </c>
      <c r="R5" s="456"/>
      <c r="S5" s="456"/>
      <c r="T5" s="456"/>
      <c r="U5" s="456"/>
      <c r="V5" s="457"/>
      <c r="W5" s="24" t="s">
        <v>29</v>
      </c>
      <c r="X5" s="24" t="s">
        <v>9</v>
      </c>
      <c r="Y5" s="23" t="s">
        <v>52</v>
      </c>
      <c r="Z5" s="458" t="s">
        <v>2</v>
      </c>
      <c r="AA5" s="459"/>
      <c r="AB5" s="460"/>
      <c r="AC5" s="23" t="s">
        <v>0</v>
      </c>
      <c r="AD5" s="33"/>
    </row>
    <row r="6" spans="1:31" ht="12.75" customHeight="1" x14ac:dyDescent="0.2">
      <c r="A6" s="26" t="s">
        <v>20</v>
      </c>
      <c r="B6" s="489"/>
      <c r="C6" s="489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636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490"/>
      <c r="C7" s="490"/>
      <c r="D7" s="29"/>
      <c r="E7" s="29"/>
      <c r="F7" s="29"/>
      <c r="G7" s="29"/>
      <c r="H7" s="29"/>
      <c r="I7" s="29"/>
      <c r="J7" s="29"/>
      <c r="K7" s="29" t="s">
        <v>637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477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638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638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>
        <v>15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>
        <v>15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51" t="s">
        <v>76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</row>
    <row r="17" spans="1:31" s="91" customFormat="1" ht="26.25" customHeight="1" x14ac:dyDescent="0.25">
      <c r="A17" s="146"/>
      <c r="B17" s="451" t="s">
        <v>64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</row>
    <row r="18" spans="1:31" s="91" customFormat="1" ht="27.75" customHeight="1" x14ac:dyDescent="0.25">
      <c r="A18" s="146"/>
      <c r="B18" s="441" t="str">
        <f>A3</f>
        <v>SUELDO  DEL 01 AL 15 DE MARZO DE 2026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470</v>
      </c>
      <c r="E20" s="135" t="s">
        <v>471</v>
      </c>
      <c r="F20" s="135" t="s">
        <v>472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>
        <v>15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555</v>
      </c>
      <c r="E21" s="403" t="s">
        <v>557</v>
      </c>
      <c r="F21" s="134" t="s">
        <v>556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0</v>
      </c>
      <c r="N21" s="266">
        <f t="shared" ref="N21" si="75">SUM(L21:M21)</f>
        <v>5766</v>
      </c>
      <c r="O21" s="288">
        <f t="shared" ref="O21" si="76">IF(L21/15&lt;=SMG,0,M21/2)</f>
        <v>0</v>
      </c>
      <c r="P21" s="304">
        <f t="shared" ref="P21" si="77">(L21+O21)/I21*30.4</f>
        <v>11685.759999999998</v>
      </c>
      <c r="Q21" s="304">
        <f t="shared" ref="Q21" si="78">VLOOKUP(P21,Tarifa,1)</f>
        <v>7168.52</v>
      </c>
      <c r="R21" s="288">
        <f t="shared" ref="R21" si="79">P21-Q21</f>
        <v>4517.239999999998</v>
      </c>
      <c r="S21" s="289">
        <f t="shared" ref="S21" si="80">VLOOKUP(P21,Tarifa,3)</f>
        <v>0.10879999999999999</v>
      </c>
      <c r="T21" s="288">
        <f t="shared" ref="T21" si="81">R21*S21</f>
        <v>491.47571199999976</v>
      </c>
      <c r="U21" s="290">
        <f t="shared" ref="U21" si="82">VLOOKUP(P21,Tarifa,2)</f>
        <v>420.95</v>
      </c>
      <c r="V21" s="288">
        <f t="shared" ref="V21" si="83">T21+U21</f>
        <v>912.42571199999975</v>
      </c>
      <c r="W21" s="288">
        <f t="shared" ref="W21" si="84">VLOOKUP(P21,Credito,2)</f>
        <v>0</v>
      </c>
      <c r="X21" s="288">
        <f t="shared" ref="X21" si="85">ROUND((V21-W21)/30.4*I21,2)</f>
        <v>450.21</v>
      </c>
      <c r="Y21" s="266">
        <f t="shared" ref="Y21:Y22" si="86">-IF(X21&gt;0,0,0)</f>
        <v>0</v>
      </c>
      <c r="Z21" s="266">
        <f t="shared" ref="Z21:Z22" si="87">IF(L21/15&lt;=SMG,0,IF(X21&lt;0,0,X21))</f>
        <v>450.21</v>
      </c>
      <c r="AA21" s="267">
        <v>0</v>
      </c>
      <c r="AB21" s="266">
        <f t="shared" ref="AB21" si="88">SUM(Z21:AA21)</f>
        <v>450.21</v>
      </c>
      <c r="AC21" s="266">
        <f t="shared" ref="AC21" si="89">N21+Y21-AB21</f>
        <v>5315.79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37" t="s">
        <v>44</v>
      </c>
      <c r="B24" s="438"/>
      <c r="C24" s="438"/>
      <c r="D24" s="438"/>
      <c r="E24" s="438"/>
      <c r="F24" s="438"/>
      <c r="G24" s="438"/>
      <c r="H24" s="438"/>
      <c r="I24" s="438"/>
      <c r="J24" s="439"/>
      <c r="K24" s="416"/>
      <c r="L24" s="198">
        <f t="shared" ref="L24:AC24" si="90">SUM(L9:L23)</f>
        <v>45964</v>
      </c>
      <c r="M24" s="198">
        <f t="shared" si="90"/>
        <v>0</v>
      </c>
      <c r="N24" s="198">
        <f t="shared" si="90"/>
        <v>45964</v>
      </c>
      <c r="O24" s="199">
        <f t="shared" si="90"/>
        <v>0</v>
      </c>
      <c r="P24" s="199">
        <f t="shared" si="90"/>
        <v>93153.706666666651</v>
      </c>
      <c r="Q24" s="199">
        <f t="shared" si="90"/>
        <v>64824.290000000008</v>
      </c>
      <c r="R24" s="199">
        <f t="shared" si="90"/>
        <v>28329.416666666653</v>
      </c>
      <c r="S24" s="199">
        <f t="shared" si="90"/>
        <v>0.94079999999999997</v>
      </c>
      <c r="T24" s="199">
        <f t="shared" si="90"/>
        <v>3114.7740159999985</v>
      </c>
      <c r="U24" s="199">
        <f t="shared" si="90"/>
        <v>4285.7899999999991</v>
      </c>
      <c r="V24" s="199">
        <f t="shared" si="90"/>
        <v>7400.5640159999994</v>
      </c>
      <c r="W24" s="199">
        <f t="shared" si="90"/>
        <v>535.65</v>
      </c>
      <c r="X24" s="199">
        <f t="shared" si="90"/>
        <v>3387.29</v>
      </c>
      <c r="Y24" s="198">
        <f t="shared" si="90"/>
        <v>0</v>
      </c>
      <c r="Z24" s="198">
        <f t="shared" si="90"/>
        <v>3402.88</v>
      </c>
      <c r="AA24" s="198">
        <f t="shared" si="90"/>
        <v>0</v>
      </c>
      <c r="AB24" s="198">
        <f t="shared" si="90"/>
        <v>3402.88</v>
      </c>
      <c r="AC24" s="198">
        <f t="shared" si="90"/>
        <v>42561.120000000003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449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609</v>
      </c>
      <c r="AA40" s="108"/>
      <c r="AB40" s="108"/>
      <c r="AC40" s="108"/>
    </row>
    <row r="41" spans="4:30" ht="18" x14ac:dyDescent="0.25">
      <c r="D41" s="203" t="s">
        <v>464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51" t="s">
        <v>75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"/>
    </row>
    <row r="2" spans="1:30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"/>
    </row>
    <row r="3" spans="1:30" ht="18" x14ac:dyDescent="0.25">
      <c r="A3" s="401"/>
      <c r="B3" s="451" t="str">
        <f>PRESIDENCIA!A3</f>
        <v>SUELDO  DEL 01 AL 15 DE MARZO DE 2026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496" t="s">
        <v>106</v>
      </c>
      <c r="C8" s="497"/>
      <c r="D8" s="498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461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460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462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492" t="s">
        <v>339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  <c r="AD17" s="4"/>
    </row>
    <row r="18" spans="1:30" ht="23.25" customHeight="1" x14ac:dyDescent="0.25">
      <c r="A18" s="146"/>
      <c r="B18" s="492" t="s">
        <v>340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  <c r="AD18" s="4"/>
    </row>
    <row r="19" spans="1:30" ht="23.25" customHeight="1" x14ac:dyDescent="0.25">
      <c r="A19" s="146"/>
      <c r="B19" s="491" t="str">
        <f>PRESIDENCIA!A3</f>
        <v>SUELDO  DEL 01 AL 15 DE MARZO DE 2026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"/>
    </row>
    <row r="20" spans="1:30" ht="20.25" customHeight="1" x14ac:dyDescent="0.25">
      <c r="A20" s="146"/>
      <c r="B20" s="494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361</v>
      </c>
      <c r="C25" s="273" t="s">
        <v>107</v>
      </c>
      <c r="D25" s="367" t="s">
        <v>362</v>
      </c>
      <c r="E25" s="349" t="s">
        <v>363</v>
      </c>
      <c r="F25" s="268" t="s">
        <v>364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507</v>
      </c>
      <c r="C26" s="273" t="s">
        <v>107</v>
      </c>
      <c r="D26" s="367" t="s">
        <v>502</v>
      </c>
      <c r="E26" s="349" t="s">
        <v>513</v>
      </c>
      <c r="F26" s="268" t="s">
        <v>503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508</v>
      </c>
      <c r="C27" s="273" t="s">
        <v>107</v>
      </c>
      <c r="D27" s="367" t="s">
        <v>504</v>
      </c>
      <c r="E27" s="349" t="s">
        <v>505</v>
      </c>
      <c r="F27" s="268" t="s">
        <v>506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511</v>
      </c>
      <c r="C28" s="273" t="s">
        <v>107</v>
      </c>
      <c r="D28" s="367" t="s">
        <v>512</v>
      </c>
      <c r="E28" s="349" t="s">
        <v>509</v>
      </c>
      <c r="F28" s="268" t="s">
        <v>510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492" t="s">
        <v>339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  <c r="AD29" s="324"/>
    </row>
    <row r="30" spans="1:30" s="366" customFormat="1" ht="32.25" customHeight="1" x14ac:dyDescent="0.25">
      <c r="A30" s="361"/>
      <c r="B30" s="492" t="s">
        <v>340</v>
      </c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324"/>
    </row>
    <row r="31" spans="1:30" s="414" customFormat="1" ht="32.25" customHeight="1" x14ac:dyDescent="0.2">
      <c r="A31" s="413"/>
      <c r="B31" s="499" t="str">
        <f>B19</f>
        <v>SUELDO  DEL 01 AL 15 DE MARZO DE 2026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499"/>
      <c r="AB31" s="499"/>
      <c r="AC31" s="499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573</v>
      </c>
      <c r="C33" s="326" t="s">
        <v>107</v>
      </c>
      <c r="D33" s="404" t="s">
        <v>574</v>
      </c>
      <c r="E33" s="405" t="s">
        <v>575</v>
      </c>
      <c r="F33" s="406" t="s">
        <v>576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577</v>
      </c>
      <c r="C34" s="273" t="s">
        <v>107</v>
      </c>
      <c r="D34" s="367" t="s">
        <v>587</v>
      </c>
      <c r="E34" s="349" t="s">
        <v>578</v>
      </c>
      <c r="F34" s="268" t="s">
        <v>579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589</v>
      </c>
      <c r="C35" s="273" t="s">
        <v>107</v>
      </c>
      <c r="D35" s="367" t="s">
        <v>590</v>
      </c>
      <c r="E35" s="349" t="s">
        <v>591</v>
      </c>
      <c r="F35" s="268" t="s">
        <v>592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593</v>
      </c>
      <c r="C36" s="273" t="s">
        <v>107</v>
      </c>
      <c r="D36" s="367" t="s">
        <v>594</v>
      </c>
      <c r="E36" s="349" t="s">
        <v>596</v>
      </c>
      <c r="F36" s="268" t="s">
        <v>595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623</v>
      </c>
      <c r="C37" s="273" t="s">
        <v>107</v>
      </c>
      <c r="D37" s="367" t="s">
        <v>624</v>
      </c>
      <c r="E37" s="349" t="s">
        <v>625</v>
      </c>
      <c r="F37" s="268" t="s">
        <v>626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37" t="s">
        <v>44</v>
      </c>
      <c r="B38" s="438"/>
      <c r="C38" s="438"/>
      <c r="D38" s="438"/>
      <c r="E38" s="438"/>
      <c r="F38" s="438"/>
      <c r="G38" s="438"/>
      <c r="H38" s="438"/>
      <c r="I38" s="438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449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609</v>
      </c>
      <c r="AA58" s="108"/>
      <c r="AB58" s="108"/>
      <c r="AC58" s="108"/>
    </row>
    <row r="59" spans="4:42" ht="18" x14ac:dyDescent="0.25">
      <c r="D59" s="203" t="s">
        <v>464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4"/>
  <sheetViews>
    <sheetView topLeftCell="E7" zoomScale="68" zoomScaleNormal="68" workbookViewId="0">
      <selection activeCell="AA9" sqref="AA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51" t="s">
        <v>75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8" x14ac:dyDescent="0.25">
      <c r="A3" s="401"/>
      <c r="B3" s="451" t="str">
        <f>PRESIDENCIA!A3</f>
        <v>SUELDO  DEL 01 AL 15 DE MARZO DE 2026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496" t="s">
        <v>106</v>
      </c>
      <c r="C8" s="497"/>
      <c r="D8" s="498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6" si="0">K9/I9</f>
        <v>975.9666666666667</v>
      </c>
      <c r="K9" s="285">
        <v>14639.5</v>
      </c>
      <c r="L9" s="285">
        <v>14639.5</v>
      </c>
      <c r="M9" s="287">
        <f t="shared" ref="M9:M16" si="1">SUM(K9:L9)</f>
        <v>29279</v>
      </c>
      <c r="N9" s="288">
        <f>IF(K9/15&lt;=SMG,0,L9/2)</f>
        <v>7319.75</v>
      </c>
      <c r="O9" s="304">
        <f>(K9+N9)/I9*30.4</f>
        <v>44504.08</v>
      </c>
      <c r="P9" s="304">
        <f>VLOOKUP(O9,Tarifa,1)</f>
        <v>35362.839999999997</v>
      </c>
      <c r="Q9" s="288">
        <f>O9-P9</f>
        <v>9141.2400000000052</v>
      </c>
      <c r="R9" s="289">
        <f>VLOOKUP(O9,Tarifa,3)</f>
        <v>0.23519999999999999</v>
      </c>
      <c r="S9" s="288">
        <f>Q9*R9</f>
        <v>2150.0196480000013</v>
      </c>
      <c r="T9" s="290">
        <f>VLOOKUP(O9,Tarifa,2)</f>
        <v>5665.16</v>
      </c>
      <c r="U9" s="288">
        <f>S9+T9</f>
        <v>7815.1796480000012</v>
      </c>
      <c r="V9" s="288">
        <f>VLOOKUP(O9,Credito,2)</f>
        <v>0</v>
      </c>
      <c r="W9" s="288">
        <f>ROUND((U9-V9)/30.4*I9,2)</f>
        <v>3856.17</v>
      </c>
      <c r="X9" s="287">
        <f>-IF(W9&gt;0,0,0)</f>
        <v>0</v>
      </c>
      <c r="Y9" s="287">
        <f>IF(K9/15&lt;=SMG,0,IF(W9&lt;0,0,W9))</f>
        <v>3856.17</v>
      </c>
      <c r="Z9" s="291">
        <v>0</v>
      </c>
      <c r="AA9" s="287">
        <f>SUM(Y9:Z9)</f>
        <v>3856.17</v>
      </c>
      <c r="AB9" s="266">
        <f>M9+X9-Y9</f>
        <v>25422.83</v>
      </c>
      <c r="AC9" s="365"/>
    </row>
    <row r="10" spans="1:29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>
        <v>10055.5</v>
      </c>
      <c r="M10" s="287">
        <f t="shared" si="1"/>
        <v>20111</v>
      </c>
      <c r="N10" s="378">
        <f t="shared" ref="N10:N11" si="2">IF(K10/15&lt;=SMG,0,L10/2)</f>
        <v>5027.75</v>
      </c>
      <c r="O10" s="378">
        <f t="shared" ref="O10:O11" si="3">(K10+N10)/I10*30.4</f>
        <v>30568.719999999998</v>
      </c>
      <c r="P10" s="378">
        <f t="shared" ref="P10:P11" si="4">VLOOKUP(O10,Tarifa,1)</f>
        <v>17533.650000000001</v>
      </c>
      <c r="Q10" s="378">
        <f t="shared" ref="Q10:Q11" si="5">O10-P10</f>
        <v>13035.069999999996</v>
      </c>
      <c r="R10" s="379">
        <f t="shared" ref="R10:R11" si="6">VLOOKUP(O10,Tarifa,3)</f>
        <v>0.21360000000000001</v>
      </c>
      <c r="S10" s="378">
        <f t="shared" ref="S10:S11" si="7">Q10*R10</f>
        <v>2784.2909519999994</v>
      </c>
      <c r="T10" s="380">
        <f t="shared" ref="T10:T11" si="8">VLOOKUP(O10,Tarifa,2)</f>
        <v>1856.84</v>
      </c>
      <c r="U10" s="378">
        <f t="shared" ref="U10:U11" si="9">S10+T10</f>
        <v>4641.1309519999995</v>
      </c>
      <c r="V10" s="378">
        <f t="shared" ref="V10:V11" si="10">VLOOKUP(O10,Credito,2)</f>
        <v>0</v>
      </c>
      <c r="W10" s="378">
        <f t="shared" ref="W10:W11" si="11">ROUND((U10-V10)/30.4*I10,2)</f>
        <v>2290.0300000000002</v>
      </c>
      <c r="X10" s="266">
        <f>-IF(W10&gt;0,0,0)</f>
        <v>0</v>
      </c>
      <c r="Y10" s="266">
        <f t="shared" ref="Y10:Y16" si="12">IF(K10/15&lt;=SMG,0,IF(W10&lt;0,0,W10))</f>
        <v>2290.0300000000002</v>
      </c>
      <c r="Z10" s="267">
        <v>0</v>
      </c>
      <c r="AA10" s="266">
        <f t="shared" ref="AA10:AA16" si="13">SUM(Y10:Z10)</f>
        <v>2290.0300000000002</v>
      </c>
      <c r="AB10" s="266">
        <f t="shared" ref="AB10:AB16" si="14">M10+X10-AA10</f>
        <v>17820.97</v>
      </c>
      <c r="AC10" s="365"/>
    </row>
    <row r="11" spans="1:29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>
        <v>10055.5</v>
      </c>
      <c r="M11" s="287">
        <f t="shared" si="1"/>
        <v>20111</v>
      </c>
      <c r="N11" s="378">
        <f t="shared" si="2"/>
        <v>5027.75</v>
      </c>
      <c r="O11" s="378">
        <f t="shared" si="3"/>
        <v>30568.719999999998</v>
      </c>
      <c r="P11" s="378">
        <f t="shared" si="4"/>
        <v>17533.650000000001</v>
      </c>
      <c r="Q11" s="378">
        <f t="shared" si="5"/>
        <v>13035.069999999996</v>
      </c>
      <c r="R11" s="379">
        <f t="shared" si="6"/>
        <v>0.21360000000000001</v>
      </c>
      <c r="S11" s="378">
        <f t="shared" si="7"/>
        <v>2784.2909519999994</v>
      </c>
      <c r="T11" s="380">
        <f t="shared" si="8"/>
        <v>1856.84</v>
      </c>
      <c r="U11" s="378">
        <f t="shared" si="9"/>
        <v>4641.1309519999995</v>
      </c>
      <c r="V11" s="378">
        <f t="shared" si="10"/>
        <v>0</v>
      </c>
      <c r="W11" s="378">
        <f t="shared" si="11"/>
        <v>2290.0300000000002</v>
      </c>
      <c r="X11" s="266">
        <f>-IF(W11&gt;0,0,0)</f>
        <v>0</v>
      </c>
      <c r="Y11" s="266">
        <f t="shared" si="12"/>
        <v>2290.0300000000002</v>
      </c>
      <c r="Z11" s="267">
        <v>0</v>
      </c>
      <c r="AA11" s="266">
        <f t="shared" si="13"/>
        <v>2290.0300000000002</v>
      </c>
      <c r="AB11" s="266">
        <f t="shared" si="14"/>
        <v>17820.97</v>
      </c>
      <c r="AC11" s="365"/>
    </row>
    <row r="12" spans="1:29" s="270" customFormat="1" ht="193.5" customHeight="1" x14ac:dyDescent="0.2">
      <c r="A12" s="361"/>
      <c r="B12" s="273" t="s">
        <v>322</v>
      </c>
      <c r="C12" s="273" t="s">
        <v>107</v>
      </c>
      <c r="D12" s="367" t="s">
        <v>461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si="0"/>
        <v>626.70000000000005</v>
      </c>
      <c r="K12" s="264">
        <v>9400.5</v>
      </c>
      <c r="L12" s="264">
        <v>9400.5</v>
      </c>
      <c r="M12" s="287">
        <f t="shared" si="1"/>
        <v>18801</v>
      </c>
      <c r="N12" s="288">
        <f>IF(K12/15&lt;=SMG,0,L12/2)</f>
        <v>4700.25</v>
      </c>
      <c r="O12" s="304">
        <f>(K12+N12)/I12*30.4</f>
        <v>28577.519999999997</v>
      </c>
      <c r="P12" s="304">
        <f>VLOOKUP(O12,Tarifa,1)</f>
        <v>17533.650000000001</v>
      </c>
      <c r="Q12" s="288">
        <f>O12-P12</f>
        <v>11043.869999999995</v>
      </c>
      <c r="R12" s="289">
        <f>VLOOKUP(O12,Tarifa,3)</f>
        <v>0.21360000000000001</v>
      </c>
      <c r="S12" s="288">
        <f>Q12*R12</f>
        <v>2358.9706319999991</v>
      </c>
      <c r="T12" s="290">
        <f>VLOOKUP(O12,Tarifa,2)</f>
        <v>1856.84</v>
      </c>
      <c r="U12" s="288">
        <f>S12+T12</f>
        <v>4215.8106319999988</v>
      </c>
      <c r="V12" s="288">
        <f>VLOOKUP(O12,Credito,2)</f>
        <v>0</v>
      </c>
      <c r="W12" s="288">
        <f>ROUND((U12-V12)/30.4*I12,2)</f>
        <v>2080.17</v>
      </c>
      <c r="X12" s="266">
        <f t="shared" ref="X12:X13" si="15">-IF(W12&gt;0,0,W12)</f>
        <v>0</v>
      </c>
      <c r="Y12" s="266">
        <f t="shared" si="12"/>
        <v>2080.17</v>
      </c>
      <c r="Z12" s="267">
        <v>0</v>
      </c>
      <c r="AA12" s="266">
        <f t="shared" si="13"/>
        <v>2080.17</v>
      </c>
      <c r="AB12" s="266">
        <f t="shared" si="14"/>
        <v>16720.830000000002</v>
      </c>
      <c r="AC12" s="365"/>
    </row>
    <row r="13" spans="1:29" s="270" customFormat="1" ht="193.5" customHeight="1" x14ac:dyDescent="0.2">
      <c r="A13" s="361"/>
      <c r="B13" s="273" t="s">
        <v>328</v>
      </c>
      <c r="C13" s="273" t="s">
        <v>107</v>
      </c>
      <c r="D13" s="367" t="s">
        <v>460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4">
        <v>9400.5</v>
      </c>
      <c r="M13" s="287">
        <f t="shared" si="1"/>
        <v>18801</v>
      </c>
      <c r="N13" s="288">
        <f>IF(K13/15&lt;=SMG,0,L13/2)</f>
        <v>4700.25</v>
      </c>
      <c r="O13" s="304">
        <f>(K13+N13)/I13*30.4</f>
        <v>28577.519999999997</v>
      </c>
      <c r="P13" s="304">
        <f>VLOOKUP(O13,Tarifa,1)</f>
        <v>17533.650000000001</v>
      </c>
      <c r="Q13" s="288">
        <f>O13-P13</f>
        <v>11043.869999999995</v>
      </c>
      <c r="R13" s="289">
        <f>VLOOKUP(O13,Tarifa,3)</f>
        <v>0.21360000000000001</v>
      </c>
      <c r="S13" s="288">
        <f>Q13*R13</f>
        <v>2358.9706319999991</v>
      </c>
      <c r="T13" s="290">
        <f>VLOOKUP(O13,Tarifa,2)</f>
        <v>1856.84</v>
      </c>
      <c r="U13" s="288">
        <f>S13+T13</f>
        <v>4215.8106319999988</v>
      </c>
      <c r="V13" s="288">
        <f>VLOOKUP(O13,Credito,2)</f>
        <v>0</v>
      </c>
      <c r="W13" s="288">
        <f>ROUND((U13-V13)/30.4*I13,2)</f>
        <v>2080.17</v>
      </c>
      <c r="X13" s="266">
        <f t="shared" si="15"/>
        <v>0</v>
      </c>
      <c r="Y13" s="266">
        <f t="shared" si="12"/>
        <v>2080.17</v>
      </c>
      <c r="Z13" s="267">
        <v>0</v>
      </c>
      <c r="AA13" s="266">
        <f t="shared" si="13"/>
        <v>2080.17</v>
      </c>
      <c r="AB13" s="266">
        <f t="shared" si="14"/>
        <v>16720.830000000002</v>
      </c>
      <c r="AC13" s="365"/>
    </row>
    <row r="14" spans="1:29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>
        <v>8329.5</v>
      </c>
      <c r="M14" s="287">
        <f t="shared" si="1"/>
        <v>16659</v>
      </c>
      <c r="N14" s="288">
        <f t="shared" ref="N14:N16" si="16">IF(K14/15&lt;=SMG,0,L14/2)</f>
        <v>4164.75</v>
      </c>
      <c r="O14" s="304">
        <f t="shared" ref="O14:O16" si="17">(K14+N14)/I14*30.4</f>
        <v>25321.68</v>
      </c>
      <c r="P14" s="304">
        <f t="shared" ref="P14:P16" si="18">VLOOKUP(O14,Tarifa,1)</f>
        <v>17533.650000000001</v>
      </c>
      <c r="Q14" s="288">
        <f t="shared" ref="Q14:Q16" si="19">O14-P14</f>
        <v>7788.0299999999988</v>
      </c>
      <c r="R14" s="289">
        <f t="shared" ref="R14:R16" si="20">VLOOKUP(O14,Tarifa,3)</f>
        <v>0.21360000000000001</v>
      </c>
      <c r="S14" s="288">
        <f t="shared" ref="S14:S16" si="21">Q14*R14</f>
        <v>1663.5232079999998</v>
      </c>
      <c r="T14" s="290">
        <f t="shared" ref="T14:T16" si="22">VLOOKUP(O14,Tarifa,2)</f>
        <v>1856.84</v>
      </c>
      <c r="U14" s="288">
        <f t="shared" ref="U14:U16" si="23">S14+T14</f>
        <v>3520.3632079999998</v>
      </c>
      <c r="V14" s="288">
        <f t="shared" ref="V14:V16" si="24">VLOOKUP(O14,Credito,2)</f>
        <v>0</v>
      </c>
      <c r="W14" s="288">
        <f t="shared" ref="W14:W16" si="25">ROUND((U14-V14)/30.4*I14,2)</f>
        <v>1737.02</v>
      </c>
      <c r="X14" s="266">
        <f t="shared" ref="X14:X16" si="26">-IF(W14&gt;0,0,0)</f>
        <v>0</v>
      </c>
      <c r="Y14" s="266">
        <f t="shared" si="12"/>
        <v>1737.02</v>
      </c>
      <c r="Z14" s="267">
        <v>0</v>
      </c>
      <c r="AA14" s="266">
        <f t="shared" si="13"/>
        <v>1737.02</v>
      </c>
      <c r="AB14" s="266">
        <f t="shared" si="14"/>
        <v>14921.98</v>
      </c>
      <c r="AC14" s="365"/>
    </row>
    <row r="15" spans="1:29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si="0"/>
        <v>555.29999999999995</v>
      </c>
      <c r="K15" s="264">
        <v>8329.5</v>
      </c>
      <c r="L15" s="264">
        <v>8329.5</v>
      </c>
      <c r="M15" s="266">
        <f t="shared" si="1"/>
        <v>16659</v>
      </c>
      <c r="N15" s="288">
        <f t="shared" si="16"/>
        <v>4164.75</v>
      </c>
      <c r="O15" s="304">
        <f t="shared" si="17"/>
        <v>25321.68</v>
      </c>
      <c r="P15" s="304">
        <f t="shared" si="18"/>
        <v>17533.650000000001</v>
      </c>
      <c r="Q15" s="288">
        <f t="shared" si="19"/>
        <v>7788.0299999999988</v>
      </c>
      <c r="R15" s="289">
        <f t="shared" si="20"/>
        <v>0.21360000000000001</v>
      </c>
      <c r="S15" s="288">
        <f t="shared" si="21"/>
        <v>1663.5232079999998</v>
      </c>
      <c r="T15" s="290">
        <f t="shared" si="22"/>
        <v>1856.84</v>
      </c>
      <c r="U15" s="288">
        <f t="shared" si="23"/>
        <v>3520.3632079999998</v>
      </c>
      <c r="V15" s="288">
        <f t="shared" si="24"/>
        <v>0</v>
      </c>
      <c r="W15" s="288">
        <f t="shared" si="25"/>
        <v>1737.02</v>
      </c>
      <c r="X15" s="266">
        <f t="shared" si="26"/>
        <v>0</v>
      </c>
      <c r="Y15" s="266">
        <f t="shared" si="12"/>
        <v>1737.02</v>
      </c>
      <c r="Z15" s="267">
        <v>0</v>
      </c>
      <c r="AA15" s="266">
        <f t="shared" si="13"/>
        <v>1737.02</v>
      </c>
      <c r="AB15" s="266">
        <f t="shared" si="14"/>
        <v>14921.98</v>
      </c>
      <c r="AC15" s="365"/>
    </row>
    <row r="16" spans="1:29" ht="203.25" customHeight="1" x14ac:dyDescent="0.25">
      <c r="A16" s="146"/>
      <c r="B16" s="273" t="s">
        <v>325</v>
      </c>
      <c r="C16" s="273" t="s">
        <v>107</v>
      </c>
      <c r="D16" s="367" t="s">
        <v>462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0"/>
        <v>555.29999999999995</v>
      </c>
      <c r="K16" s="264">
        <v>8329.5</v>
      </c>
      <c r="L16" s="264">
        <v>8329.5</v>
      </c>
      <c r="M16" s="266">
        <f t="shared" si="1"/>
        <v>16659</v>
      </c>
      <c r="N16" s="288">
        <f t="shared" si="16"/>
        <v>4164.75</v>
      </c>
      <c r="O16" s="304">
        <f t="shared" si="17"/>
        <v>25321.68</v>
      </c>
      <c r="P16" s="304">
        <f t="shared" si="18"/>
        <v>17533.650000000001</v>
      </c>
      <c r="Q16" s="288">
        <f t="shared" si="19"/>
        <v>7788.0299999999988</v>
      </c>
      <c r="R16" s="289">
        <f t="shared" si="20"/>
        <v>0.21360000000000001</v>
      </c>
      <c r="S16" s="288">
        <f t="shared" si="21"/>
        <v>1663.5232079999998</v>
      </c>
      <c r="T16" s="290">
        <f t="shared" si="22"/>
        <v>1856.84</v>
      </c>
      <c r="U16" s="288">
        <f t="shared" si="23"/>
        <v>3520.3632079999998</v>
      </c>
      <c r="V16" s="288">
        <f t="shared" si="24"/>
        <v>0</v>
      </c>
      <c r="W16" s="288">
        <f t="shared" si="25"/>
        <v>1737.02</v>
      </c>
      <c r="X16" s="266">
        <f t="shared" si="26"/>
        <v>0</v>
      </c>
      <c r="Y16" s="266">
        <f t="shared" si="12"/>
        <v>1737.02</v>
      </c>
      <c r="Z16" s="267">
        <v>0</v>
      </c>
      <c r="AA16" s="266">
        <f t="shared" si="13"/>
        <v>1737.02</v>
      </c>
      <c r="AB16" s="266">
        <f t="shared" si="14"/>
        <v>14921.98</v>
      </c>
      <c r="AC16" s="323"/>
    </row>
    <row r="17" spans="1:29" ht="27.75" customHeight="1" x14ac:dyDescent="0.25">
      <c r="A17" s="146"/>
      <c r="B17" s="492" t="s">
        <v>339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</row>
    <row r="18" spans="1:29" ht="23.25" customHeight="1" x14ac:dyDescent="0.25">
      <c r="A18" s="146"/>
      <c r="B18" s="492" t="s">
        <v>340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</row>
    <row r="19" spans="1:29" ht="23.25" customHeight="1" x14ac:dyDescent="0.25">
      <c r="A19" s="146"/>
      <c r="B19" s="491" t="str">
        <f>PRESIDENCIA!A3</f>
        <v>SUELDO  DEL 01 AL 15 DE MARZO DE 2026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</row>
    <row r="20" spans="1:29" ht="20.25" customHeight="1" x14ac:dyDescent="0.25">
      <c r="A20" s="146"/>
      <c r="B20" s="494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</row>
    <row r="21" spans="1:29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37" si="27">K21/I21</f>
        <v>555.29999999999995</v>
      </c>
      <c r="K21" s="264">
        <v>8329.5</v>
      </c>
      <c r="L21" s="264">
        <v>8329.5</v>
      </c>
      <c r="M21" s="266">
        <f t="shared" ref="M21:M37" si="28">SUM(K21:L21)</f>
        <v>16659</v>
      </c>
      <c r="N21" s="288">
        <f t="shared" ref="N21:N37" si="29">IF(K21/15&lt;=SMG,0,L21/2)</f>
        <v>4164.75</v>
      </c>
      <c r="O21" s="304">
        <f t="shared" ref="O21:O37" si="30">(K21+N21)/I21*30.4</f>
        <v>25321.68</v>
      </c>
      <c r="P21" s="304">
        <f t="shared" ref="P21:P37" si="31">VLOOKUP(O21,Tarifa,1)</f>
        <v>17533.650000000001</v>
      </c>
      <c r="Q21" s="288">
        <f t="shared" ref="Q21:Q37" si="32">O21-P21</f>
        <v>7788.0299999999988</v>
      </c>
      <c r="R21" s="289">
        <f t="shared" ref="R21:R37" si="33">VLOOKUP(O21,Tarifa,3)</f>
        <v>0.21360000000000001</v>
      </c>
      <c r="S21" s="288">
        <f t="shared" ref="S21:S37" si="34">Q21*R21</f>
        <v>1663.5232079999998</v>
      </c>
      <c r="T21" s="290">
        <f t="shared" ref="T21:T37" si="35">VLOOKUP(O21,Tarifa,2)</f>
        <v>1856.84</v>
      </c>
      <c r="U21" s="288">
        <f t="shared" ref="U21:U37" si="36">S21+T21</f>
        <v>3520.3632079999998</v>
      </c>
      <c r="V21" s="288">
        <f t="shared" ref="V21:V37" si="37">VLOOKUP(O21,Credito,2)</f>
        <v>0</v>
      </c>
      <c r="W21" s="288">
        <f t="shared" ref="W21:W37" si="38">ROUND((U21-V21)/30.4*I21,2)</f>
        <v>1737.02</v>
      </c>
      <c r="X21" s="266">
        <f t="shared" ref="X21:X37" si="39">-IF(W21&gt;0,0,0)</f>
        <v>0</v>
      </c>
      <c r="Y21" s="266">
        <f t="shared" ref="Y21:Y37" si="40">IF(K21/15&lt;=SMG,0,IF(W21&lt;0,0,W21))</f>
        <v>1737.02</v>
      </c>
      <c r="Z21" s="267">
        <v>0</v>
      </c>
      <c r="AA21" s="266">
        <f t="shared" ref="AA21:AA37" si="41">SUM(Y21:Z21)</f>
        <v>1737.02</v>
      </c>
      <c r="AB21" s="266">
        <f t="shared" ref="AB21:AB37" si="42">M21+X21-AA21</f>
        <v>14921.98</v>
      </c>
      <c r="AC21" s="323"/>
    </row>
    <row r="22" spans="1:29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27"/>
        <v>555.29999999999995</v>
      </c>
      <c r="K22" s="264">
        <v>8329.5</v>
      </c>
      <c r="L22" s="264">
        <v>8329.5</v>
      </c>
      <c r="M22" s="266">
        <f t="shared" si="28"/>
        <v>16659</v>
      </c>
      <c r="N22" s="288">
        <f t="shared" si="29"/>
        <v>4164.75</v>
      </c>
      <c r="O22" s="304">
        <f t="shared" si="30"/>
        <v>25321.68</v>
      </c>
      <c r="P22" s="304">
        <f t="shared" si="31"/>
        <v>17533.650000000001</v>
      </c>
      <c r="Q22" s="288">
        <f t="shared" si="32"/>
        <v>7788.0299999999988</v>
      </c>
      <c r="R22" s="289">
        <f t="shared" si="33"/>
        <v>0.21360000000000001</v>
      </c>
      <c r="S22" s="288">
        <f t="shared" si="34"/>
        <v>1663.5232079999998</v>
      </c>
      <c r="T22" s="290">
        <f t="shared" si="35"/>
        <v>1856.84</v>
      </c>
      <c r="U22" s="288">
        <f t="shared" si="36"/>
        <v>3520.3632079999998</v>
      </c>
      <c r="V22" s="288">
        <f t="shared" si="37"/>
        <v>0</v>
      </c>
      <c r="W22" s="288">
        <f t="shared" si="38"/>
        <v>1737.02</v>
      </c>
      <c r="X22" s="266">
        <f t="shared" si="39"/>
        <v>0</v>
      </c>
      <c r="Y22" s="266">
        <f t="shared" si="40"/>
        <v>1737.02</v>
      </c>
      <c r="Z22" s="267">
        <v>0</v>
      </c>
      <c r="AA22" s="266">
        <f t="shared" si="41"/>
        <v>1737.02</v>
      </c>
      <c r="AB22" s="266">
        <f t="shared" si="42"/>
        <v>14921.98</v>
      </c>
      <c r="AC22" s="323"/>
    </row>
    <row r="23" spans="1:29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27"/>
        <v>555.29999999999995</v>
      </c>
      <c r="K23" s="264">
        <v>8329.5</v>
      </c>
      <c r="L23" s="264">
        <v>8329.5</v>
      </c>
      <c r="M23" s="266">
        <f t="shared" si="28"/>
        <v>16659</v>
      </c>
      <c r="N23" s="288">
        <f t="shared" si="29"/>
        <v>4164.75</v>
      </c>
      <c r="O23" s="304">
        <f t="shared" si="30"/>
        <v>25321.68</v>
      </c>
      <c r="P23" s="304">
        <f t="shared" si="31"/>
        <v>17533.650000000001</v>
      </c>
      <c r="Q23" s="288">
        <f t="shared" si="32"/>
        <v>7788.0299999999988</v>
      </c>
      <c r="R23" s="289">
        <f t="shared" si="33"/>
        <v>0.21360000000000001</v>
      </c>
      <c r="S23" s="288">
        <f t="shared" si="34"/>
        <v>1663.5232079999998</v>
      </c>
      <c r="T23" s="290">
        <f t="shared" si="35"/>
        <v>1856.84</v>
      </c>
      <c r="U23" s="288">
        <f t="shared" si="36"/>
        <v>3520.3632079999998</v>
      </c>
      <c r="V23" s="288">
        <f t="shared" si="37"/>
        <v>0</v>
      </c>
      <c r="W23" s="288">
        <f t="shared" si="38"/>
        <v>1737.02</v>
      </c>
      <c r="X23" s="266">
        <f t="shared" si="39"/>
        <v>0</v>
      </c>
      <c r="Y23" s="266">
        <f t="shared" si="40"/>
        <v>1737.02</v>
      </c>
      <c r="Z23" s="267">
        <v>0</v>
      </c>
      <c r="AA23" s="266">
        <f t="shared" si="41"/>
        <v>1737.02</v>
      </c>
      <c r="AB23" s="266">
        <f t="shared" si="42"/>
        <v>14921.98</v>
      </c>
      <c r="AC23" s="323"/>
    </row>
    <row r="24" spans="1:29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27"/>
        <v>555.29999999999995</v>
      </c>
      <c r="K24" s="264">
        <v>8329.5</v>
      </c>
      <c r="L24" s="264">
        <v>8329.5</v>
      </c>
      <c r="M24" s="266">
        <f t="shared" si="28"/>
        <v>16659</v>
      </c>
      <c r="N24" s="288">
        <f t="shared" si="29"/>
        <v>4164.75</v>
      </c>
      <c r="O24" s="304">
        <f t="shared" si="30"/>
        <v>25321.68</v>
      </c>
      <c r="P24" s="304">
        <f t="shared" si="31"/>
        <v>17533.650000000001</v>
      </c>
      <c r="Q24" s="288">
        <f t="shared" si="32"/>
        <v>7788.0299999999988</v>
      </c>
      <c r="R24" s="289">
        <f t="shared" si="33"/>
        <v>0.21360000000000001</v>
      </c>
      <c r="S24" s="288">
        <f t="shared" si="34"/>
        <v>1663.5232079999998</v>
      </c>
      <c r="T24" s="290">
        <f t="shared" si="35"/>
        <v>1856.84</v>
      </c>
      <c r="U24" s="288">
        <f t="shared" si="36"/>
        <v>3520.3632079999998</v>
      </c>
      <c r="V24" s="288">
        <f t="shared" si="37"/>
        <v>0</v>
      </c>
      <c r="W24" s="288">
        <f t="shared" si="38"/>
        <v>1737.02</v>
      </c>
      <c r="X24" s="266">
        <f t="shared" si="39"/>
        <v>0</v>
      </c>
      <c r="Y24" s="266">
        <f t="shared" si="40"/>
        <v>1737.02</v>
      </c>
      <c r="Z24" s="267">
        <v>0</v>
      </c>
      <c r="AA24" s="266">
        <f t="shared" si="41"/>
        <v>1737.02</v>
      </c>
      <c r="AB24" s="266">
        <f t="shared" si="42"/>
        <v>14921.98</v>
      </c>
      <c r="AC24" s="323"/>
    </row>
    <row r="25" spans="1:29" s="366" customFormat="1" ht="201.75" customHeight="1" x14ac:dyDescent="0.2">
      <c r="A25" s="361"/>
      <c r="B25" s="273" t="s">
        <v>361</v>
      </c>
      <c r="C25" s="273" t="s">
        <v>107</v>
      </c>
      <c r="D25" s="367" t="s">
        <v>362</v>
      </c>
      <c r="E25" s="349" t="s">
        <v>363</v>
      </c>
      <c r="F25" s="268" t="s">
        <v>364</v>
      </c>
      <c r="G25" s="314">
        <v>45520</v>
      </c>
      <c r="H25" s="261" t="s">
        <v>78</v>
      </c>
      <c r="I25" s="262">
        <v>15</v>
      </c>
      <c r="J25" s="262">
        <f t="shared" si="27"/>
        <v>555.29999999999995</v>
      </c>
      <c r="K25" s="264">
        <v>8329.5</v>
      </c>
      <c r="L25" s="264">
        <v>8329.5</v>
      </c>
      <c r="M25" s="266">
        <f t="shared" si="28"/>
        <v>16659</v>
      </c>
      <c r="N25" s="288">
        <f t="shared" si="29"/>
        <v>4164.75</v>
      </c>
      <c r="O25" s="304">
        <f t="shared" si="30"/>
        <v>25321.68</v>
      </c>
      <c r="P25" s="304">
        <f t="shared" si="31"/>
        <v>17533.650000000001</v>
      </c>
      <c r="Q25" s="288">
        <f t="shared" si="32"/>
        <v>7788.0299999999988</v>
      </c>
      <c r="R25" s="289">
        <f t="shared" si="33"/>
        <v>0.21360000000000001</v>
      </c>
      <c r="S25" s="288">
        <f t="shared" si="34"/>
        <v>1663.5232079999998</v>
      </c>
      <c r="T25" s="290">
        <f t="shared" si="35"/>
        <v>1856.84</v>
      </c>
      <c r="U25" s="288">
        <f t="shared" si="36"/>
        <v>3520.3632079999998</v>
      </c>
      <c r="V25" s="288">
        <f t="shared" si="37"/>
        <v>0</v>
      </c>
      <c r="W25" s="288">
        <f t="shared" si="38"/>
        <v>1737.02</v>
      </c>
      <c r="X25" s="266">
        <f t="shared" si="39"/>
        <v>0</v>
      </c>
      <c r="Y25" s="266">
        <f t="shared" si="40"/>
        <v>1737.02</v>
      </c>
      <c r="Z25" s="267">
        <v>0</v>
      </c>
      <c r="AA25" s="266">
        <f t="shared" si="41"/>
        <v>1737.02</v>
      </c>
      <c r="AB25" s="266">
        <f t="shared" si="42"/>
        <v>14921.98</v>
      </c>
      <c r="AC25" s="323"/>
    </row>
    <row r="26" spans="1:29" s="366" customFormat="1" ht="201.75" customHeight="1" x14ac:dyDescent="0.2">
      <c r="A26" s="361"/>
      <c r="B26" s="273" t="s">
        <v>507</v>
      </c>
      <c r="C26" s="273" t="s">
        <v>107</v>
      </c>
      <c r="D26" s="367" t="s">
        <v>502</v>
      </c>
      <c r="E26" s="349" t="s">
        <v>513</v>
      </c>
      <c r="F26" s="268" t="s">
        <v>503</v>
      </c>
      <c r="G26" s="314">
        <v>45704</v>
      </c>
      <c r="H26" s="261" t="s">
        <v>78</v>
      </c>
      <c r="I26" s="262">
        <v>15</v>
      </c>
      <c r="J26" s="262">
        <f t="shared" si="27"/>
        <v>555.29999999999995</v>
      </c>
      <c r="K26" s="264">
        <v>8329.5</v>
      </c>
      <c r="L26" s="264">
        <v>8329.5</v>
      </c>
      <c r="M26" s="266">
        <f t="shared" si="28"/>
        <v>16659</v>
      </c>
      <c r="N26" s="288">
        <f t="shared" si="29"/>
        <v>4164.75</v>
      </c>
      <c r="O26" s="304">
        <f t="shared" si="30"/>
        <v>25321.68</v>
      </c>
      <c r="P26" s="304">
        <f t="shared" si="31"/>
        <v>17533.650000000001</v>
      </c>
      <c r="Q26" s="288">
        <f t="shared" si="32"/>
        <v>7788.0299999999988</v>
      </c>
      <c r="R26" s="289">
        <f t="shared" si="33"/>
        <v>0.21360000000000001</v>
      </c>
      <c r="S26" s="288">
        <f t="shared" si="34"/>
        <v>1663.5232079999998</v>
      </c>
      <c r="T26" s="290">
        <f t="shared" si="35"/>
        <v>1856.84</v>
      </c>
      <c r="U26" s="288">
        <f t="shared" si="36"/>
        <v>3520.3632079999998</v>
      </c>
      <c r="V26" s="288">
        <f t="shared" si="37"/>
        <v>0</v>
      </c>
      <c r="W26" s="288">
        <f t="shared" si="38"/>
        <v>1737.02</v>
      </c>
      <c r="X26" s="266">
        <f t="shared" si="39"/>
        <v>0</v>
      </c>
      <c r="Y26" s="266">
        <f t="shared" si="40"/>
        <v>1737.02</v>
      </c>
      <c r="Z26" s="267">
        <v>0</v>
      </c>
      <c r="AA26" s="266">
        <f t="shared" si="41"/>
        <v>1737.02</v>
      </c>
      <c r="AB26" s="266">
        <f t="shared" si="42"/>
        <v>14921.98</v>
      </c>
      <c r="AC26" s="323"/>
    </row>
    <row r="27" spans="1:29" s="366" customFormat="1" ht="183" customHeight="1" x14ac:dyDescent="0.2">
      <c r="A27" s="361"/>
      <c r="B27" s="273" t="s">
        <v>508</v>
      </c>
      <c r="C27" s="273" t="s">
        <v>107</v>
      </c>
      <c r="D27" s="367" t="s">
        <v>504</v>
      </c>
      <c r="E27" s="349" t="s">
        <v>505</v>
      </c>
      <c r="F27" s="268" t="s">
        <v>506</v>
      </c>
      <c r="G27" s="314">
        <v>45704</v>
      </c>
      <c r="H27" s="261" t="s">
        <v>78</v>
      </c>
      <c r="I27" s="262">
        <v>15</v>
      </c>
      <c r="J27" s="262">
        <f t="shared" si="27"/>
        <v>555.29999999999995</v>
      </c>
      <c r="K27" s="264">
        <v>8329.5</v>
      </c>
      <c r="L27" s="264">
        <v>8329.5</v>
      </c>
      <c r="M27" s="266">
        <f t="shared" si="28"/>
        <v>16659</v>
      </c>
      <c r="N27" s="288">
        <f t="shared" si="29"/>
        <v>4164.75</v>
      </c>
      <c r="O27" s="304">
        <f t="shared" si="30"/>
        <v>25321.68</v>
      </c>
      <c r="P27" s="304">
        <f t="shared" si="31"/>
        <v>17533.650000000001</v>
      </c>
      <c r="Q27" s="288">
        <f t="shared" si="32"/>
        <v>7788.0299999999988</v>
      </c>
      <c r="R27" s="289">
        <f t="shared" si="33"/>
        <v>0.21360000000000001</v>
      </c>
      <c r="S27" s="288">
        <f t="shared" si="34"/>
        <v>1663.5232079999998</v>
      </c>
      <c r="T27" s="290">
        <f t="shared" si="35"/>
        <v>1856.84</v>
      </c>
      <c r="U27" s="288">
        <f t="shared" si="36"/>
        <v>3520.3632079999998</v>
      </c>
      <c r="V27" s="288">
        <f t="shared" si="37"/>
        <v>0</v>
      </c>
      <c r="W27" s="288">
        <f t="shared" si="38"/>
        <v>1737.02</v>
      </c>
      <c r="X27" s="266">
        <f t="shared" si="39"/>
        <v>0</v>
      </c>
      <c r="Y27" s="266">
        <f t="shared" si="40"/>
        <v>1737.02</v>
      </c>
      <c r="Z27" s="267">
        <v>0</v>
      </c>
      <c r="AA27" s="266">
        <f t="shared" si="41"/>
        <v>1737.02</v>
      </c>
      <c r="AB27" s="266">
        <f t="shared" si="42"/>
        <v>14921.98</v>
      </c>
      <c r="AC27" s="323"/>
    </row>
    <row r="28" spans="1:29" s="366" customFormat="1" ht="181.5" customHeight="1" x14ac:dyDescent="0.2">
      <c r="A28" s="361"/>
      <c r="B28" s="273" t="s">
        <v>511</v>
      </c>
      <c r="C28" s="273" t="s">
        <v>107</v>
      </c>
      <c r="D28" s="367" t="s">
        <v>512</v>
      </c>
      <c r="E28" s="349" t="s">
        <v>509</v>
      </c>
      <c r="F28" s="268" t="s">
        <v>510</v>
      </c>
      <c r="G28" s="314">
        <v>45717</v>
      </c>
      <c r="H28" s="261" t="s">
        <v>78</v>
      </c>
      <c r="I28" s="262">
        <v>15</v>
      </c>
      <c r="J28" s="262">
        <f t="shared" si="27"/>
        <v>555.29999999999995</v>
      </c>
      <c r="K28" s="264">
        <v>8329.5</v>
      </c>
      <c r="L28" s="264">
        <v>8329.5</v>
      </c>
      <c r="M28" s="266">
        <f t="shared" si="28"/>
        <v>16659</v>
      </c>
      <c r="N28" s="288">
        <f t="shared" si="29"/>
        <v>4164.75</v>
      </c>
      <c r="O28" s="304">
        <f t="shared" si="30"/>
        <v>25321.68</v>
      </c>
      <c r="P28" s="304">
        <f t="shared" si="31"/>
        <v>17533.650000000001</v>
      </c>
      <c r="Q28" s="288">
        <f t="shared" si="32"/>
        <v>7788.0299999999988</v>
      </c>
      <c r="R28" s="289">
        <f t="shared" si="33"/>
        <v>0.21360000000000001</v>
      </c>
      <c r="S28" s="288">
        <f t="shared" si="34"/>
        <v>1663.5232079999998</v>
      </c>
      <c r="T28" s="290">
        <f t="shared" si="35"/>
        <v>1856.84</v>
      </c>
      <c r="U28" s="288">
        <f t="shared" si="36"/>
        <v>3520.3632079999998</v>
      </c>
      <c r="V28" s="288">
        <f t="shared" si="37"/>
        <v>0</v>
      </c>
      <c r="W28" s="288">
        <f t="shared" si="38"/>
        <v>1737.02</v>
      </c>
      <c r="X28" s="266">
        <f t="shared" si="39"/>
        <v>0</v>
      </c>
      <c r="Y28" s="266">
        <f t="shared" si="40"/>
        <v>1737.02</v>
      </c>
      <c r="Z28" s="267">
        <v>0</v>
      </c>
      <c r="AA28" s="266">
        <f t="shared" si="41"/>
        <v>1737.02</v>
      </c>
      <c r="AB28" s="266">
        <f t="shared" si="42"/>
        <v>14921.98</v>
      </c>
      <c r="AC28" s="323"/>
    </row>
    <row r="29" spans="1:29" s="366" customFormat="1" ht="78" customHeight="1" x14ac:dyDescent="0.25">
      <c r="A29" s="361"/>
      <c r="B29" s="492" t="s">
        <v>339</v>
      </c>
      <c r="C29" s="493"/>
      <c r="D29" s="493"/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</row>
    <row r="30" spans="1:29" s="366" customFormat="1" ht="32.25" customHeight="1" x14ac:dyDescent="0.25">
      <c r="A30" s="361"/>
      <c r="B30" s="492" t="s">
        <v>340</v>
      </c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</row>
    <row r="31" spans="1:29" s="414" customFormat="1" ht="32.25" customHeight="1" x14ac:dyDescent="0.2">
      <c r="A31" s="413"/>
      <c r="B31" s="499" t="str">
        <f>B19</f>
        <v>SUELDO  DEL 01 AL 15 DE MARZO DE 2026</v>
      </c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499"/>
      <c r="AB31" s="499"/>
      <c r="AC31" s="499"/>
    </row>
    <row r="32" spans="1:29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29" s="366" customFormat="1" ht="195" customHeight="1" x14ac:dyDescent="0.2">
      <c r="A33" s="361"/>
      <c r="B33" s="326" t="s">
        <v>573</v>
      </c>
      <c r="C33" s="326" t="s">
        <v>107</v>
      </c>
      <c r="D33" s="404" t="s">
        <v>574</v>
      </c>
      <c r="E33" s="405" t="s">
        <v>575</v>
      </c>
      <c r="F33" s="406" t="s">
        <v>576</v>
      </c>
      <c r="G33" s="407">
        <v>45884</v>
      </c>
      <c r="H33" s="330" t="s">
        <v>78</v>
      </c>
      <c r="I33" s="408">
        <v>15</v>
      </c>
      <c r="J33" s="408">
        <f t="shared" ref="J33" si="43">K33/I33</f>
        <v>555.29999999999995</v>
      </c>
      <c r="K33" s="264">
        <v>8329.5</v>
      </c>
      <c r="L33" s="264">
        <v>8329.5</v>
      </c>
      <c r="M33" s="333">
        <f t="shared" ref="M33" si="44">SUM(K33:L33)</f>
        <v>16659</v>
      </c>
      <c r="N33" s="409">
        <f t="shared" ref="N33" si="45">IF(K33/15&lt;=SMG,0,L33/2)</f>
        <v>4164.75</v>
      </c>
      <c r="O33" s="410">
        <f t="shared" ref="O33" si="46">(K33+N33)/I33*30.4</f>
        <v>25321.68</v>
      </c>
      <c r="P33" s="410">
        <f t="shared" ref="P33" si="47">VLOOKUP(O33,Tarifa,1)</f>
        <v>17533.650000000001</v>
      </c>
      <c r="Q33" s="409">
        <f t="shared" ref="Q33" si="48">O33-P33</f>
        <v>7788.0299999999988</v>
      </c>
      <c r="R33" s="411">
        <f t="shared" ref="R33" si="49">VLOOKUP(O33,Tarifa,3)</f>
        <v>0.21360000000000001</v>
      </c>
      <c r="S33" s="409">
        <f t="shared" ref="S33" si="50">Q33*R33</f>
        <v>1663.5232079999998</v>
      </c>
      <c r="T33" s="412">
        <f t="shared" ref="T33" si="51">VLOOKUP(O33,Tarifa,2)</f>
        <v>1856.84</v>
      </c>
      <c r="U33" s="409">
        <f t="shared" ref="U33" si="52">S33+T33</f>
        <v>3520.3632079999998</v>
      </c>
      <c r="V33" s="409">
        <f t="shared" ref="V33" si="53">VLOOKUP(O33,Credito,2)</f>
        <v>0</v>
      </c>
      <c r="W33" s="409">
        <f t="shared" ref="W33" si="54">ROUND((U33-V33)/30.4*I33,2)</f>
        <v>1737.02</v>
      </c>
      <c r="X33" s="333">
        <f t="shared" ref="X33" si="55">-IF(W33&gt;0,0,0)</f>
        <v>0</v>
      </c>
      <c r="Y33" s="333">
        <f t="shared" ref="Y33" si="56">IF(K33/15&lt;=SMG,0,IF(W33&lt;0,0,W33))</f>
        <v>1737.02</v>
      </c>
      <c r="Z33" s="334">
        <v>0</v>
      </c>
      <c r="AA33" s="333">
        <f t="shared" ref="AA33" si="57">SUM(Y33:Z33)</f>
        <v>1737.02</v>
      </c>
      <c r="AB33" s="333">
        <f t="shared" ref="AB33" si="58">M33+X33-AA33</f>
        <v>14921.98</v>
      </c>
      <c r="AC33" s="335"/>
    </row>
    <row r="34" spans="1:29" s="366" customFormat="1" ht="195" customHeight="1" x14ac:dyDescent="0.2">
      <c r="A34" s="361"/>
      <c r="B34" s="273" t="s">
        <v>577</v>
      </c>
      <c r="C34" s="273" t="s">
        <v>107</v>
      </c>
      <c r="D34" s="367" t="s">
        <v>587</v>
      </c>
      <c r="E34" s="349" t="s">
        <v>578</v>
      </c>
      <c r="F34" s="268" t="s">
        <v>579</v>
      </c>
      <c r="G34" s="314">
        <v>45884</v>
      </c>
      <c r="H34" s="261" t="s">
        <v>78</v>
      </c>
      <c r="I34" s="262">
        <v>15</v>
      </c>
      <c r="J34" s="262">
        <f t="shared" si="27"/>
        <v>555.29999999999995</v>
      </c>
      <c r="K34" s="264">
        <v>8329.5</v>
      </c>
      <c r="L34" s="264">
        <v>8329.5</v>
      </c>
      <c r="M34" s="266">
        <f t="shared" si="28"/>
        <v>16659</v>
      </c>
      <c r="N34" s="288">
        <f t="shared" si="29"/>
        <v>4164.75</v>
      </c>
      <c r="O34" s="304">
        <f t="shared" si="30"/>
        <v>25321.68</v>
      </c>
      <c r="P34" s="304">
        <f t="shared" si="31"/>
        <v>17533.650000000001</v>
      </c>
      <c r="Q34" s="288">
        <f t="shared" si="32"/>
        <v>7788.0299999999988</v>
      </c>
      <c r="R34" s="289">
        <f t="shared" si="33"/>
        <v>0.21360000000000001</v>
      </c>
      <c r="S34" s="288">
        <f t="shared" si="34"/>
        <v>1663.5232079999998</v>
      </c>
      <c r="T34" s="290">
        <f t="shared" si="35"/>
        <v>1856.84</v>
      </c>
      <c r="U34" s="288">
        <f t="shared" si="36"/>
        <v>3520.3632079999998</v>
      </c>
      <c r="V34" s="288">
        <f t="shared" si="37"/>
        <v>0</v>
      </c>
      <c r="W34" s="288">
        <f t="shared" si="38"/>
        <v>1737.02</v>
      </c>
      <c r="X34" s="266">
        <f t="shared" si="39"/>
        <v>0</v>
      </c>
      <c r="Y34" s="266">
        <f t="shared" si="40"/>
        <v>1737.02</v>
      </c>
      <c r="Z34" s="267">
        <v>0</v>
      </c>
      <c r="AA34" s="266">
        <f t="shared" si="41"/>
        <v>1737.02</v>
      </c>
      <c r="AB34" s="266">
        <f t="shared" si="42"/>
        <v>14921.98</v>
      </c>
      <c r="AC34" s="323"/>
    </row>
    <row r="35" spans="1:29" s="366" customFormat="1" ht="195" customHeight="1" x14ac:dyDescent="0.2">
      <c r="A35" s="361"/>
      <c r="B35" s="273" t="s">
        <v>589</v>
      </c>
      <c r="C35" s="273" t="s">
        <v>107</v>
      </c>
      <c r="D35" s="367" t="s">
        <v>590</v>
      </c>
      <c r="E35" s="349" t="s">
        <v>591</v>
      </c>
      <c r="F35" s="268" t="s">
        <v>592</v>
      </c>
      <c r="G35" s="314">
        <v>45901</v>
      </c>
      <c r="H35" s="261" t="s">
        <v>78</v>
      </c>
      <c r="I35" s="262">
        <v>15</v>
      </c>
      <c r="J35" s="262">
        <f t="shared" si="27"/>
        <v>555.29999999999995</v>
      </c>
      <c r="K35" s="264">
        <v>8329.5</v>
      </c>
      <c r="L35" s="264">
        <v>8329.5</v>
      </c>
      <c r="M35" s="266">
        <f t="shared" si="28"/>
        <v>16659</v>
      </c>
      <c r="N35" s="288">
        <f t="shared" si="29"/>
        <v>4164.75</v>
      </c>
      <c r="O35" s="304">
        <f t="shared" si="30"/>
        <v>25321.68</v>
      </c>
      <c r="P35" s="304">
        <f t="shared" si="31"/>
        <v>17533.650000000001</v>
      </c>
      <c r="Q35" s="288">
        <f t="shared" si="32"/>
        <v>7788.0299999999988</v>
      </c>
      <c r="R35" s="289">
        <f t="shared" si="33"/>
        <v>0.21360000000000001</v>
      </c>
      <c r="S35" s="288">
        <f t="shared" si="34"/>
        <v>1663.5232079999998</v>
      </c>
      <c r="T35" s="290">
        <f t="shared" si="35"/>
        <v>1856.84</v>
      </c>
      <c r="U35" s="288">
        <f t="shared" si="36"/>
        <v>3520.3632079999998</v>
      </c>
      <c r="V35" s="288">
        <f t="shared" si="37"/>
        <v>0</v>
      </c>
      <c r="W35" s="288">
        <f t="shared" si="38"/>
        <v>1737.02</v>
      </c>
      <c r="X35" s="266">
        <f t="shared" si="39"/>
        <v>0</v>
      </c>
      <c r="Y35" s="266">
        <f t="shared" si="40"/>
        <v>1737.02</v>
      </c>
      <c r="Z35" s="267">
        <v>0</v>
      </c>
      <c r="AA35" s="266">
        <f t="shared" si="41"/>
        <v>1737.02</v>
      </c>
      <c r="AB35" s="266">
        <f t="shared" si="42"/>
        <v>14921.98</v>
      </c>
      <c r="AC35" s="323"/>
    </row>
    <row r="36" spans="1:29" s="366" customFormat="1" ht="195" customHeight="1" x14ac:dyDescent="0.2">
      <c r="A36" s="361"/>
      <c r="B36" s="273" t="s">
        <v>593</v>
      </c>
      <c r="C36" s="273" t="s">
        <v>107</v>
      </c>
      <c r="D36" s="367" t="s">
        <v>594</v>
      </c>
      <c r="E36" s="349" t="s">
        <v>596</v>
      </c>
      <c r="F36" s="268" t="s">
        <v>595</v>
      </c>
      <c r="G36" s="314">
        <v>45916</v>
      </c>
      <c r="H36" s="261" t="s">
        <v>78</v>
      </c>
      <c r="I36" s="262">
        <v>15</v>
      </c>
      <c r="J36" s="262">
        <f t="shared" si="27"/>
        <v>555.29999999999995</v>
      </c>
      <c r="K36" s="264">
        <v>8329.5</v>
      </c>
      <c r="L36" s="264">
        <v>8329.5</v>
      </c>
      <c r="M36" s="266">
        <f t="shared" si="28"/>
        <v>16659</v>
      </c>
      <c r="N36" s="288">
        <f t="shared" si="29"/>
        <v>4164.75</v>
      </c>
      <c r="O36" s="304">
        <f t="shared" si="30"/>
        <v>25321.68</v>
      </c>
      <c r="P36" s="304">
        <f t="shared" si="31"/>
        <v>17533.650000000001</v>
      </c>
      <c r="Q36" s="288">
        <f t="shared" si="32"/>
        <v>7788.0299999999988</v>
      </c>
      <c r="R36" s="289">
        <f t="shared" si="33"/>
        <v>0.21360000000000001</v>
      </c>
      <c r="S36" s="288">
        <f t="shared" si="34"/>
        <v>1663.5232079999998</v>
      </c>
      <c r="T36" s="290">
        <f t="shared" si="35"/>
        <v>1856.84</v>
      </c>
      <c r="U36" s="288">
        <f t="shared" si="36"/>
        <v>3520.3632079999998</v>
      </c>
      <c r="V36" s="288">
        <f t="shared" si="37"/>
        <v>0</v>
      </c>
      <c r="W36" s="288">
        <f t="shared" si="38"/>
        <v>1737.02</v>
      </c>
      <c r="X36" s="266">
        <f t="shared" si="39"/>
        <v>0</v>
      </c>
      <c r="Y36" s="266">
        <f t="shared" si="40"/>
        <v>1737.02</v>
      </c>
      <c r="Z36" s="267">
        <v>0</v>
      </c>
      <c r="AA36" s="266">
        <f t="shared" si="41"/>
        <v>1737.02</v>
      </c>
      <c r="AB36" s="266">
        <f t="shared" si="42"/>
        <v>14921.98</v>
      </c>
      <c r="AC36" s="323"/>
    </row>
    <row r="37" spans="1:29" s="366" customFormat="1" ht="195" customHeight="1" x14ac:dyDescent="0.2">
      <c r="A37" s="361"/>
      <c r="B37" s="273" t="s">
        <v>623</v>
      </c>
      <c r="C37" s="273" t="s">
        <v>107</v>
      </c>
      <c r="D37" s="367" t="s">
        <v>624</v>
      </c>
      <c r="E37" s="349" t="s">
        <v>625</v>
      </c>
      <c r="F37" s="268" t="s">
        <v>626</v>
      </c>
      <c r="G37" s="314">
        <v>46023</v>
      </c>
      <c r="H37" s="261" t="s">
        <v>78</v>
      </c>
      <c r="I37" s="262">
        <v>15</v>
      </c>
      <c r="J37" s="262">
        <f t="shared" si="27"/>
        <v>555.29999999999995</v>
      </c>
      <c r="K37" s="264">
        <v>8329.5</v>
      </c>
      <c r="L37" s="264">
        <v>8329.5</v>
      </c>
      <c r="M37" s="266">
        <f t="shared" si="28"/>
        <v>16659</v>
      </c>
      <c r="N37" s="288">
        <f t="shared" si="29"/>
        <v>4164.75</v>
      </c>
      <c r="O37" s="304">
        <f t="shared" si="30"/>
        <v>25321.68</v>
      </c>
      <c r="P37" s="304">
        <f t="shared" si="31"/>
        <v>17533.650000000001</v>
      </c>
      <c r="Q37" s="288">
        <f t="shared" si="32"/>
        <v>7788.0299999999988</v>
      </c>
      <c r="R37" s="289">
        <f t="shared" si="33"/>
        <v>0.21360000000000001</v>
      </c>
      <c r="S37" s="288">
        <f t="shared" si="34"/>
        <v>1663.5232079999998</v>
      </c>
      <c r="T37" s="290">
        <f t="shared" si="35"/>
        <v>1856.84</v>
      </c>
      <c r="U37" s="288">
        <f t="shared" si="36"/>
        <v>3520.3632079999998</v>
      </c>
      <c r="V37" s="288">
        <f t="shared" si="37"/>
        <v>0</v>
      </c>
      <c r="W37" s="288">
        <f t="shared" si="38"/>
        <v>1737.02</v>
      </c>
      <c r="X37" s="266">
        <f t="shared" si="39"/>
        <v>0</v>
      </c>
      <c r="Y37" s="266">
        <f t="shared" si="40"/>
        <v>1737.02</v>
      </c>
      <c r="Z37" s="267">
        <v>0</v>
      </c>
      <c r="AA37" s="266">
        <f t="shared" si="41"/>
        <v>1737.02</v>
      </c>
      <c r="AB37" s="266">
        <f t="shared" si="42"/>
        <v>14921.98</v>
      </c>
      <c r="AC37" s="323"/>
    </row>
    <row r="38" spans="1:29" ht="29.25" customHeight="1" thickBot="1" x14ac:dyDescent="0.35">
      <c r="A38" s="437" t="s">
        <v>44</v>
      </c>
      <c r="B38" s="438"/>
      <c r="C38" s="438"/>
      <c r="D38" s="438"/>
      <c r="E38" s="438"/>
      <c r="F38" s="438"/>
      <c r="G38" s="438"/>
      <c r="H38" s="438"/>
      <c r="I38" s="438"/>
      <c r="J38" s="363"/>
      <c r="K38" s="198">
        <f>SUM(K9:K37)</f>
        <v>186823.5</v>
      </c>
      <c r="L38" s="198">
        <f>SUM(L9:L37)</f>
        <v>186823.5</v>
      </c>
      <c r="M38" s="198">
        <f>SUM(M9:M37)</f>
        <v>373647</v>
      </c>
      <c r="N38" s="199">
        <f t="shared" ref="N38:W38" si="59">SUM(N9:N15)</f>
        <v>35105.25</v>
      </c>
      <c r="O38" s="199">
        <f t="shared" si="59"/>
        <v>213439.91999999998</v>
      </c>
      <c r="P38" s="199">
        <f t="shared" si="59"/>
        <v>140564.74</v>
      </c>
      <c r="Q38" s="199">
        <f t="shared" si="59"/>
        <v>72875.179999999993</v>
      </c>
      <c r="R38" s="199">
        <f t="shared" si="59"/>
        <v>1.5167999999999999</v>
      </c>
      <c r="S38" s="199">
        <f t="shared" si="59"/>
        <v>15763.589231999998</v>
      </c>
      <c r="T38" s="199">
        <f t="shared" si="59"/>
        <v>16806.2</v>
      </c>
      <c r="U38" s="199">
        <f t="shared" si="59"/>
        <v>32569.789231999996</v>
      </c>
      <c r="V38" s="199">
        <f t="shared" si="59"/>
        <v>0</v>
      </c>
      <c r="W38" s="199">
        <f t="shared" si="59"/>
        <v>16070.610000000002</v>
      </c>
      <c r="X38" s="198">
        <f>SUM(X9:X37)</f>
        <v>0</v>
      </c>
      <c r="Y38" s="198">
        <f>SUM(Y9:Y37)</f>
        <v>40388.889999999992</v>
      </c>
      <c r="Z38" s="198">
        <f>SUM(Z9:Z37)</f>
        <v>0</v>
      </c>
      <c r="AA38" s="198">
        <f>SUM(AA9:AA37)</f>
        <v>40388.889999999992</v>
      </c>
      <c r="AB38" s="198">
        <f>SUM(AB9:AB37)</f>
        <v>333258.11</v>
      </c>
      <c r="AC38" s="4"/>
    </row>
    <row r="39" spans="1:29" ht="13.5" thickTop="1" x14ac:dyDescent="0.2"/>
    <row r="56" spans="4:41" ht="6" customHeight="1" x14ac:dyDescent="0.2"/>
    <row r="58" spans="4:41" ht="18" x14ac:dyDescent="0.25">
      <c r="D58" s="203" t="s">
        <v>449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609</v>
      </c>
      <c r="AA58" s="108"/>
      <c r="AB58" s="108"/>
      <c r="AC58" s="108"/>
    </row>
    <row r="59" spans="4:41" ht="18" x14ac:dyDescent="0.25">
      <c r="D59" s="203" t="s">
        <v>464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N59" s="85"/>
      <c r="AO59" s="85"/>
    </row>
    <row r="64" spans="4:41" x14ac:dyDescent="0.2">
      <c r="E64" s="4"/>
    </row>
  </sheetData>
  <mergeCells count="15">
    <mergeCell ref="A1:AC1"/>
    <mergeCell ref="A2:AC2"/>
    <mergeCell ref="B3:AC3"/>
    <mergeCell ref="K5:M5"/>
    <mergeCell ref="P5:U5"/>
    <mergeCell ref="Y5:AA5"/>
    <mergeCell ref="B30:AC30"/>
    <mergeCell ref="B31:AC31"/>
    <mergeCell ref="A38:I38"/>
    <mergeCell ref="B8:D8"/>
    <mergeCell ref="B17:AC17"/>
    <mergeCell ref="B18:AC18"/>
    <mergeCell ref="B19:AC19"/>
    <mergeCell ref="B20:AC20"/>
    <mergeCell ref="B29:AC29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abSelected="1" topLeftCell="B10" zoomScale="73" zoomScaleNormal="73" workbookViewId="0">
      <selection activeCell="E19" sqref="E19:E20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51" t="s">
        <v>75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CHOFERES!A3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00" t="s">
        <v>1</v>
      </c>
      <c r="L5" s="501"/>
      <c r="M5" s="502"/>
      <c r="N5" s="70" t="s">
        <v>25</v>
      </c>
      <c r="O5" s="71"/>
      <c r="P5" s="503" t="s">
        <v>8</v>
      </c>
      <c r="Q5" s="504"/>
      <c r="R5" s="504"/>
      <c r="S5" s="504"/>
      <c r="T5" s="504"/>
      <c r="U5" s="505"/>
      <c r="V5" s="70" t="s">
        <v>29</v>
      </c>
      <c r="W5" s="70" t="s">
        <v>9</v>
      </c>
      <c r="X5" s="69" t="s">
        <v>52</v>
      </c>
      <c r="Y5" s="506" t="s">
        <v>2</v>
      </c>
      <c r="Z5" s="507"/>
      <c r="AA5" s="508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492</v>
      </c>
      <c r="C9" s="257" t="s">
        <v>107</v>
      </c>
      <c r="D9" s="364" t="s">
        <v>488</v>
      </c>
      <c r="E9" s="349" t="s">
        <v>489</v>
      </c>
      <c r="F9" s="349" t="s">
        <v>490</v>
      </c>
      <c r="G9" s="369">
        <v>45658</v>
      </c>
      <c r="H9" s="368" t="s">
        <v>455</v>
      </c>
      <c r="I9" s="341">
        <v>15</v>
      </c>
      <c r="J9" s="341">
        <f t="shared" ref="J9:J15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5" si="2">IF(K9/15&lt;=SMG,0,L9/2)</f>
        <v>0</v>
      </c>
      <c r="O9" s="378">
        <f t="shared" ref="O9:O15" si="3">(K9+N9)/I9*30.4</f>
        <v>24254.133333333335</v>
      </c>
      <c r="P9" s="378">
        <f t="shared" ref="P9:P15" si="4">VLOOKUP(O9,Tarifa,1)</f>
        <v>17533.650000000001</v>
      </c>
      <c r="Q9" s="378">
        <f t="shared" ref="Q9:Q15" si="5">O9-P9</f>
        <v>6720.4833333333336</v>
      </c>
      <c r="R9" s="379">
        <f t="shared" ref="R9:R15" si="6">VLOOKUP(O9,Tarifa,3)</f>
        <v>0.21360000000000001</v>
      </c>
      <c r="S9" s="378">
        <f t="shared" ref="S9:S15" si="7">Q9*R9</f>
        <v>1435.4952400000002</v>
      </c>
      <c r="T9" s="380">
        <f t="shared" ref="T9:T15" si="8">VLOOKUP(O9,Tarifa,2)</f>
        <v>1856.84</v>
      </c>
      <c r="U9" s="378">
        <f t="shared" ref="U9:U15" si="9">S9+T9</f>
        <v>3292.3352400000003</v>
      </c>
      <c r="V9" s="378">
        <f t="shared" ref="V9:V15" si="10">VLOOKUP(O9,Credito,2)</f>
        <v>0</v>
      </c>
      <c r="W9" s="378">
        <f t="shared" ref="W9:W15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171</v>
      </c>
      <c r="C10" s="257" t="s">
        <v>107</v>
      </c>
      <c r="D10" s="364" t="s">
        <v>169</v>
      </c>
      <c r="E10" s="349" t="s">
        <v>170</v>
      </c>
      <c r="F10" s="349" t="s">
        <v>228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354</v>
      </c>
      <c r="C11" s="257" t="s">
        <v>107</v>
      </c>
      <c r="D11" s="364" t="s">
        <v>355</v>
      </c>
      <c r="E11" s="349" t="s">
        <v>356</v>
      </c>
      <c r="F11" s="349" t="s">
        <v>357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:M13" si="20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:X13" si="21">-IF(W11&gt;0,0,0)</f>
        <v>0</v>
      </c>
      <c r="Y11" s="266">
        <f t="shared" ref="Y11:Y13" si="22">IF(K11/15&lt;=SMG,0,IF(W11&lt;0,0,W11))</f>
        <v>512.91999999999996</v>
      </c>
      <c r="Z11" s="267">
        <v>0</v>
      </c>
      <c r="AA11" s="266">
        <f t="shared" ref="AA11:AA13" si="23">SUM(Y11:Z11)</f>
        <v>512.91999999999996</v>
      </c>
      <c r="AB11" s="266">
        <f t="shared" ref="AB11:AB13" si="24">M11+X11-AA11</f>
        <v>5789.08</v>
      </c>
      <c r="AC11" s="278"/>
    </row>
    <row r="12" spans="1:29" s="270" customFormat="1" ht="117" customHeight="1" x14ac:dyDescent="0.2">
      <c r="A12" s="255"/>
      <c r="B12" s="257" t="s">
        <v>558</v>
      </c>
      <c r="C12" s="257" t="s">
        <v>107</v>
      </c>
      <c r="D12" s="364" t="s">
        <v>559</v>
      </c>
      <c r="E12" s="349" t="s">
        <v>560</v>
      </c>
      <c r="F12" s="349" t="s">
        <v>561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0</v>
      </c>
      <c r="M12" s="266">
        <f t="shared" ref="M12" si="26">SUM(K12:L12)</f>
        <v>6302</v>
      </c>
      <c r="N12" s="378">
        <f t="shared" ref="N12" si="27">IF(K12/15&lt;=SMG,0,L12/2)</f>
        <v>0</v>
      </c>
      <c r="O12" s="378">
        <f t="shared" ref="O12" si="28">(K12+N12)/I12*30.4</f>
        <v>12772.053333333333</v>
      </c>
      <c r="P12" s="378">
        <f t="shared" ref="P12" si="29">VLOOKUP(O12,Tarifa,1)</f>
        <v>12598.03</v>
      </c>
      <c r="Q12" s="378">
        <f t="shared" ref="Q12" si="30">O12-P12</f>
        <v>174.02333333333263</v>
      </c>
      <c r="R12" s="379">
        <f t="shared" ref="R12" si="31">VLOOKUP(O12,Tarifa,3)</f>
        <v>0.16</v>
      </c>
      <c r="S12" s="378">
        <f t="shared" ref="S12" si="32">Q12*R12</f>
        <v>27.843733333333223</v>
      </c>
      <c r="T12" s="380">
        <f t="shared" ref="T12" si="33">VLOOKUP(O12,Tarifa,2)</f>
        <v>1011.68</v>
      </c>
      <c r="U12" s="378">
        <f t="shared" ref="U12" si="34">S12+T12</f>
        <v>1039.5237333333332</v>
      </c>
      <c r="V12" s="378">
        <f t="shared" ref="V12" si="35">VLOOKUP(O12,Credito,2)</f>
        <v>0</v>
      </c>
      <c r="W12" s="378">
        <f t="shared" ref="W12" si="36">ROUND((U12-V12)/30.4*I12,2)</f>
        <v>512.91999999999996</v>
      </c>
      <c r="X12" s="266">
        <f t="shared" ref="X12" si="37">-IF(W12&gt;0,0,0)</f>
        <v>0</v>
      </c>
      <c r="Y12" s="266">
        <f t="shared" ref="Y12" si="38">IF(K12/15&lt;=SMG,0,IF(W12&lt;0,0,W12))</f>
        <v>512.91999999999996</v>
      </c>
      <c r="Z12" s="267">
        <v>0</v>
      </c>
      <c r="AA12" s="266">
        <f t="shared" ref="AA12" si="39">SUM(Y12:Z12)</f>
        <v>512.91999999999996</v>
      </c>
      <c r="AB12" s="266">
        <f t="shared" ref="AB12" si="40">M12+X12-AA12</f>
        <v>5789.08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213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0</v>
      </c>
      <c r="M13" s="266">
        <f t="shared" si="20"/>
        <v>5666</v>
      </c>
      <c r="N13" s="378">
        <f t="shared" si="2"/>
        <v>0</v>
      </c>
      <c r="O13" s="378">
        <f t="shared" si="3"/>
        <v>11483.093333333334</v>
      </c>
      <c r="P13" s="378">
        <f t="shared" si="4"/>
        <v>7168.52</v>
      </c>
      <c r="Q13" s="378">
        <f t="shared" si="5"/>
        <v>4314.5733333333337</v>
      </c>
      <c r="R13" s="379">
        <f t="shared" si="6"/>
        <v>0.10879999999999999</v>
      </c>
      <c r="S13" s="378">
        <f t="shared" si="7"/>
        <v>469.42557866666669</v>
      </c>
      <c r="T13" s="380">
        <f t="shared" si="8"/>
        <v>420.95</v>
      </c>
      <c r="U13" s="378">
        <f t="shared" si="9"/>
        <v>890.37557866666668</v>
      </c>
      <c r="V13" s="378">
        <f t="shared" si="10"/>
        <v>535.65</v>
      </c>
      <c r="W13" s="378">
        <f t="shared" si="11"/>
        <v>175.03</v>
      </c>
      <c r="X13" s="266">
        <f t="shared" si="21"/>
        <v>0</v>
      </c>
      <c r="Y13" s="266">
        <f t="shared" si="22"/>
        <v>175.03</v>
      </c>
      <c r="Z13" s="267">
        <v>0</v>
      </c>
      <c r="AA13" s="266">
        <f t="shared" si="23"/>
        <v>175.03</v>
      </c>
      <c r="AB13" s="266">
        <f t="shared" si="24"/>
        <v>5490.97</v>
      </c>
      <c r="AC13" s="278"/>
    </row>
    <row r="14" spans="1:29" s="270" customFormat="1" ht="117" customHeight="1" x14ac:dyDescent="0.2">
      <c r="A14" s="255"/>
      <c r="B14" s="370">
        <v>328</v>
      </c>
      <c r="C14" s="257" t="s">
        <v>107</v>
      </c>
      <c r="D14" s="252" t="s">
        <v>358</v>
      </c>
      <c r="E14" s="145" t="s">
        <v>359</v>
      </c>
      <c r="F14" s="145" t="s">
        <v>360</v>
      </c>
      <c r="G14" s="369">
        <v>45505</v>
      </c>
      <c r="H14" s="276" t="s">
        <v>123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ref="M14" si="41">SUM(K14:L14)</f>
        <v>5666</v>
      </c>
      <c r="N14" s="378">
        <f t="shared" si="2"/>
        <v>0</v>
      </c>
      <c r="O14" s="378">
        <f t="shared" si="3"/>
        <v>11483.093333333334</v>
      </c>
      <c r="P14" s="378">
        <f t="shared" si="4"/>
        <v>7168.52</v>
      </c>
      <c r="Q14" s="378">
        <f t="shared" si="5"/>
        <v>4314.5733333333337</v>
      </c>
      <c r="R14" s="379">
        <f t="shared" si="6"/>
        <v>0.10879999999999999</v>
      </c>
      <c r="S14" s="378">
        <f t="shared" si="7"/>
        <v>469.42557866666669</v>
      </c>
      <c r="T14" s="380">
        <f t="shared" si="8"/>
        <v>420.95</v>
      </c>
      <c r="U14" s="378">
        <f t="shared" si="9"/>
        <v>890.37557866666668</v>
      </c>
      <c r="V14" s="378">
        <f t="shared" si="10"/>
        <v>535.65</v>
      </c>
      <c r="W14" s="378">
        <f t="shared" si="11"/>
        <v>175.03</v>
      </c>
      <c r="X14" s="266">
        <f t="shared" ref="X14" si="42">-IF(W14&gt;0,0,0)</f>
        <v>0</v>
      </c>
      <c r="Y14" s="266">
        <f t="shared" ref="Y14:Y15" si="43">IF(K14/15&lt;=SMG,0,IF(W14&lt;0,0,W14))</f>
        <v>175.03</v>
      </c>
      <c r="Z14" s="267">
        <v>0</v>
      </c>
      <c r="AA14" s="266">
        <f t="shared" ref="AA14" si="44">SUM(Y14:Z14)</f>
        <v>175.03</v>
      </c>
      <c r="AB14" s="266">
        <f t="shared" ref="AB14" si="45">M14+X14-AA14</f>
        <v>5490.97</v>
      </c>
      <c r="AC14" s="278"/>
    </row>
    <row r="15" spans="1:29" s="270" customFormat="1" ht="117" customHeight="1" x14ac:dyDescent="0.2">
      <c r="A15" s="255"/>
      <c r="B15" s="370">
        <v>406</v>
      </c>
      <c r="C15" s="257" t="s">
        <v>447</v>
      </c>
      <c r="D15" s="252" t="s">
        <v>497</v>
      </c>
      <c r="E15" s="145" t="s">
        <v>498</v>
      </c>
      <c r="F15" s="145" t="s">
        <v>499</v>
      </c>
      <c r="G15" s="369">
        <v>45689</v>
      </c>
      <c r="H15" s="276" t="s">
        <v>500</v>
      </c>
      <c r="I15" s="341">
        <v>15</v>
      </c>
      <c r="J15" s="341">
        <f t="shared" si="0"/>
        <v>281.13333333333333</v>
      </c>
      <c r="K15" s="264">
        <v>4217</v>
      </c>
      <c r="L15" s="265">
        <v>0</v>
      </c>
      <c r="M15" s="266">
        <f>SUM(K15:L15)</f>
        <v>4217</v>
      </c>
      <c r="N15" s="378">
        <f t="shared" si="2"/>
        <v>0</v>
      </c>
      <c r="O15" s="378">
        <f t="shared" si="3"/>
        <v>8546.4533333333329</v>
      </c>
      <c r="P15" s="378">
        <f t="shared" si="4"/>
        <v>7168.52</v>
      </c>
      <c r="Q15" s="378">
        <f t="shared" si="5"/>
        <v>1377.9333333333325</v>
      </c>
      <c r="R15" s="379">
        <f t="shared" si="6"/>
        <v>0.10879999999999999</v>
      </c>
      <c r="S15" s="378">
        <f t="shared" si="7"/>
        <v>149.91914666666656</v>
      </c>
      <c r="T15" s="380">
        <f t="shared" si="8"/>
        <v>420.95</v>
      </c>
      <c r="U15" s="378">
        <f t="shared" si="9"/>
        <v>570.86914666666655</v>
      </c>
      <c r="V15" s="378">
        <f t="shared" si="10"/>
        <v>535.65</v>
      </c>
      <c r="W15" s="378">
        <f t="shared" si="11"/>
        <v>17.38</v>
      </c>
      <c r="X15" s="266">
        <f>-IF(W15&gt;0,0,0)</f>
        <v>0</v>
      </c>
      <c r="Y15" s="266">
        <f t="shared" si="43"/>
        <v>0</v>
      </c>
      <c r="Z15" s="267">
        <v>0</v>
      </c>
      <c r="AA15" s="266">
        <f>SUM(Y15:Z15)</f>
        <v>0</v>
      </c>
      <c r="AB15" s="266">
        <f>M15+X15-AA15</f>
        <v>4217</v>
      </c>
      <c r="AC15" s="278"/>
    </row>
    <row r="16" spans="1:29" ht="40.5" customHeight="1" thickBot="1" x14ac:dyDescent="0.3">
      <c r="A16" s="437" t="s">
        <v>44</v>
      </c>
      <c r="B16" s="438"/>
      <c r="C16" s="438"/>
      <c r="D16" s="438"/>
      <c r="E16" s="438"/>
      <c r="F16" s="438"/>
      <c r="G16" s="438"/>
      <c r="H16" s="438"/>
      <c r="I16" s="438"/>
      <c r="J16" s="439"/>
      <c r="K16" s="136">
        <f>SUM(K9:K15)</f>
        <v>46422.5</v>
      </c>
      <c r="L16" s="136">
        <f>SUM(L9:L15)</f>
        <v>0</v>
      </c>
      <c r="M16" s="136">
        <f>SUM(M9:M15)</f>
        <v>46422.5</v>
      </c>
      <c r="N16" s="137">
        <f t="shared" ref="N16:W16" si="46">SUM(N9:N15)</f>
        <v>0</v>
      </c>
      <c r="O16" s="137">
        <f t="shared" si="46"/>
        <v>94082.933333333349</v>
      </c>
      <c r="P16" s="137">
        <f t="shared" si="46"/>
        <v>76833.3</v>
      </c>
      <c r="Q16" s="137">
        <f t="shared" si="46"/>
        <v>17249.633333333331</v>
      </c>
      <c r="R16" s="137">
        <f t="shared" si="46"/>
        <v>1.02</v>
      </c>
      <c r="S16" s="137">
        <f t="shared" si="46"/>
        <v>2607.7967439999998</v>
      </c>
      <c r="T16" s="137">
        <f t="shared" si="46"/>
        <v>6154.73</v>
      </c>
      <c r="U16" s="137">
        <f t="shared" si="46"/>
        <v>8762.5267440000007</v>
      </c>
      <c r="V16" s="137">
        <f t="shared" si="46"/>
        <v>1606.9499999999998</v>
      </c>
      <c r="W16" s="137">
        <f t="shared" si="46"/>
        <v>3530.7100000000005</v>
      </c>
      <c r="X16" s="136">
        <f>SUM(X9:X15)</f>
        <v>0</v>
      </c>
      <c r="Y16" s="136">
        <f>SUM(Y9:Y15)</f>
        <v>3513.3300000000004</v>
      </c>
      <c r="Z16" s="136">
        <f>SUM(Z9:Z15)</f>
        <v>0</v>
      </c>
      <c r="AA16" s="136">
        <f>SUM(AA9:AA15)</f>
        <v>3513.3300000000004</v>
      </c>
      <c r="AB16" s="136">
        <f>SUM(AB9:AB15)</f>
        <v>42909.170000000006</v>
      </c>
    </row>
    <row r="17" spans="1:41" ht="18.75" thickTop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449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610</v>
      </c>
      <c r="Z24" s="91"/>
      <c r="AA24" s="91"/>
      <c r="AB24" s="91"/>
    </row>
    <row r="25" spans="1:41" ht="15" x14ac:dyDescent="0.25">
      <c r="D25" s="94" t="s">
        <v>464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198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6:J16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B14"/>
  <sheetViews>
    <sheetView workbookViewId="0">
      <selection activeCell="G19" sqref="G19"/>
    </sheetView>
  </sheetViews>
  <sheetFormatPr baseColWidth="10" defaultRowHeight="12.75" x14ac:dyDescent="0.2"/>
  <cols>
    <col min="2" max="2" width="12.28515625" bestFit="1" customWidth="1"/>
  </cols>
  <sheetData>
    <row r="3" spans="2:2" x14ac:dyDescent="0.2">
      <c r="B3">
        <f>PRESIDENCIA!AB26</f>
        <v>74371.97</v>
      </c>
    </row>
    <row r="4" spans="2:2" x14ac:dyDescent="0.2">
      <c r="B4">
        <f>'CONTRALORIA '!AB14</f>
        <v>29872.549999999996</v>
      </c>
    </row>
    <row r="5" spans="2:2" x14ac:dyDescent="0.2">
      <c r="B5">
        <f>'OBRAS PUBLICAS DIRECTOR'!AB9</f>
        <v>12444.25</v>
      </c>
    </row>
    <row r="6" spans="2:2" x14ac:dyDescent="0.2">
      <c r="B6">
        <f>'OBRAS PUBLICAS'!AB33</f>
        <v>100257.37000000001</v>
      </c>
    </row>
    <row r="7" spans="2:2" x14ac:dyDescent="0.2">
      <c r="B7">
        <f>SERV.PBCOS!AB41</f>
        <v>82279.290000000008</v>
      </c>
    </row>
    <row r="8" spans="2:2" x14ac:dyDescent="0.2">
      <c r="B8">
        <f>PROGRAMAS!AB53</f>
        <v>145202.54</v>
      </c>
    </row>
    <row r="9" spans="2:2" x14ac:dyDescent="0.2">
      <c r="B9">
        <f>HDA.MPAL!AB14</f>
        <v>28244.445000000003</v>
      </c>
    </row>
    <row r="10" spans="2:2" x14ac:dyDescent="0.2">
      <c r="B10">
        <f>'REGIDORES 2'!AB24</f>
        <v>78160.23</v>
      </c>
    </row>
    <row r="11" spans="2:2" x14ac:dyDescent="0.2">
      <c r="B11">
        <f>SINDICO!AA11</f>
        <v>17057.400000000001</v>
      </c>
    </row>
    <row r="12" spans="2:2" x14ac:dyDescent="0.2">
      <c r="B12">
        <f>CHOFERES!AC24</f>
        <v>42561.120000000003</v>
      </c>
    </row>
    <row r="13" spans="2:2" x14ac:dyDescent="0.2">
      <c r="B13">
        <f>SERV.MEDICOS!AB16</f>
        <v>42909.170000000006</v>
      </c>
    </row>
    <row r="14" spans="2:2" x14ac:dyDescent="0.2">
      <c r="B14" s="509">
        <f>SUM(B3:B13)</f>
        <v>653360.3350000002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A3" sqref="A3:AC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29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29" ht="19.5" x14ac:dyDescent="0.25">
      <c r="A3" s="441" t="s">
        <v>640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42" t="s">
        <v>1</v>
      </c>
      <c r="L5" s="443"/>
      <c r="M5" s="444"/>
      <c r="N5" s="116" t="s">
        <v>25</v>
      </c>
      <c r="O5" s="117"/>
      <c r="P5" s="445" t="s">
        <v>8</v>
      </c>
      <c r="Q5" s="446"/>
      <c r="R5" s="446"/>
      <c r="S5" s="446"/>
      <c r="T5" s="446"/>
      <c r="U5" s="447"/>
      <c r="V5" s="116" t="s">
        <v>52</v>
      </c>
      <c r="W5" s="116" t="s">
        <v>9</v>
      </c>
      <c r="X5" s="115" t="s">
        <v>52</v>
      </c>
      <c r="Y5" s="448" t="s">
        <v>2</v>
      </c>
      <c r="Z5" s="449"/>
      <c r="AA5" s="450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367</v>
      </c>
      <c r="C9" s="257" t="s">
        <v>107</v>
      </c>
      <c r="D9" s="258" t="s">
        <v>365</v>
      </c>
      <c r="E9" s="259" t="s">
        <v>366</v>
      </c>
      <c r="F9" s="283" t="s">
        <v>368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632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375</v>
      </c>
      <c r="C20" s="273" t="s">
        <v>107</v>
      </c>
      <c r="D20" s="280" t="s">
        <v>474</v>
      </c>
      <c r="E20" s="281" t="s">
        <v>475</v>
      </c>
      <c r="F20" s="281" t="s">
        <v>476</v>
      </c>
      <c r="G20" s="321">
        <v>45612</v>
      </c>
      <c r="H20" s="297" t="s">
        <v>627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501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622</v>
      </c>
      <c r="C22" s="257" t="s">
        <v>107</v>
      </c>
      <c r="D22" s="280" t="s">
        <v>619</v>
      </c>
      <c r="E22" s="281" t="s">
        <v>620</v>
      </c>
      <c r="F22" s="283" t="s">
        <v>621</v>
      </c>
      <c r="G22" s="284">
        <v>46023</v>
      </c>
      <c r="H22" s="300" t="s">
        <v>633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369</v>
      </c>
      <c r="C24" s="257" t="s">
        <v>107</v>
      </c>
      <c r="D24" s="280" t="s">
        <v>370</v>
      </c>
      <c r="E24" s="281" t="s">
        <v>371</v>
      </c>
      <c r="F24" s="283" t="s">
        <v>372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37" t="s">
        <v>44</v>
      </c>
      <c r="B26" s="438"/>
      <c r="C26" s="438"/>
      <c r="D26" s="438"/>
      <c r="E26" s="438"/>
      <c r="F26" s="438"/>
      <c r="G26" s="438"/>
      <c r="H26" s="438"/>
      <c r="I26" s="438"/>
      <c r="J26" s="439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449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611</v>
      </c>
      <c r="Z36" s="108"/>
      <c r="AA36" s="108"/>
      <c r="AB36" s="108"/>
      <c r="AC36" s="108"/>
    </row>
    <row r="37" spans="4:29" ht="18" x14ac:dyDescent="0.25">
      <c r="D37" s="203" t="s">
        <v>464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1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30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30" ht="19.5" x14ac:dyDescent="0.25">
      <c r="A3" s="149" t="s">
        <v>303</v>
      </c>
      <c r="B3" s="441" t="str">
        <f>PRESIDENCIA!A3</f>
        <v>SUELDO  DEL 01 AL 15 DE MARZO DE 2026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572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466</v>
      </c>
      <c r="C9" s="273" t="s">
        <v>107</v>
      </c>
      <c r="D9" s="258" t="s">
        <v>467</v>
      </c>
      <c r="E9" s="259" t="s">
        <v>468</v>
      </c>
      <c r="F9" s="259" t="s">
        <v>469</v>
      </c>
      <c r="G9" s="260">
        <v>45601</v>
      </c>
      <c r="H9" s="261" t="s">
        <v>635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451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463</v>
      </c>
      <c r="C11" s="257" t="s">
        <v>107</v>
      </c>
      <c r="D11" s="258" t="s">
        <v>478</v>
      </c>
      <c r="E11" s="259" t="s">
        <v>453</v>
      </c>
      <c r="F11" s="259" t="s">
        <v>454</v>
      </c>
      <c r="G11" s="284">
        <v>45581</v>
      </c>
      <c r="H11" s="276" t="s">
        <v>452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423</v>
      </c>
      <c r="E13" s="310" t="s">
        <v>424</v>
      </c>
      <c r="F13" s="259" t="s">
        <v>425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37" t="s">
        <v>44</v>
      </c>
      <c r="B14" s="438"/>
      <c r="C14" s="438"/>
      <c r="D14" s="438"/>
      <c r="E14" s="438"/>
      <c r="F14" s="438"/>
      <c r="G14" s="438"/>
      <c r="H14" s="438"/>
      <c r="I14" s="438"/>
      <c r="J14" s="439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449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612</v>
      </c>
      <c r="Z28" s="108"/>
      <c r="AA28" s="108"/>
      <c r="AB28" s="108"/>
      <c r="AC28" s="108"/>
    </row>
    <row r="29" spans="4:41" ht="18" x14ac:dyDescent="0.25">
      <c r="D29" s="203" t="s">
        <v>464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AB9" sqref="AB9"/>
    </sheetView>
  </sheetViews>
  <sheetFormatPr baseColWidth="10" defaultRowHeight="12.75" x14ac:dyDescent="0.2"/>
  <cols>
    <col min="4" max="4" width="32.140625" customWidth="1"/>
    <col min="7" max="7" width="20.85546875" customWidth="1"/>
    <col min="8" max="8" width="35.28515625" customWidth="1"/>
    <col min="11" max="11" width="19.28515625" customWidth="1"/>
    <col min="13" max="13" width="14.7109375" customWidth="1"/>
    <col min="14" max="14" width="0.140625" hidden="1" customWidth="1"/>
    <col min="15" max="23" width="11.4257812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40" t="s">
        <v>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29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29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2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61" t="s">
        <v>1</v>
      </c>
      <c r="L5" s="462"/>
      <c r="M5" s="463"/>
      <c r="N5" s="50" t="s">
        <v>25</v>
      </c>
      <c r="O5" s="51"/>
      <c r="P5" s="464" t="s">
        <v>8</v>
      </c>
      <c r="Q5" s="465"/>
      <c r="R5" s="465"/>
      <c r="S5" s="465"/>
      <c r="T5" s="465"/>
      <c r="U5" s="466"/>
      <c r="V5" s="50" t="s">
        <v>29</v>
      </c>
      <c r="W5" s="50" t="s">
        <v>9</v>
      </c>
      <c r="X5" s="49" t="s">
        <v>52</v>
      </c>
      <c r="Y5" s="467" t="s">
        <v>2</v>
      </c>
      <c r="Z5" s="468"/>
      <c r="AA5" s="469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73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74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83</v>
      </c>
      <c r="B9" s="256" t="s">
        <v>422</v>
      </c>
      <c r="C9" s="257" t="s">
        <v>107</v>
      </c>
      <c r="D9" s="258" t="s">
        <v>373</v>
      </c>
      <c r="E9" s="259" t="s">
        <v>450</v>
      </c>
      <c r="F9" s="259" t="s">
        <v>374</v>
      </c>
      <c r="G9" s="260">
        <v>45566</v>
      </c>
      <c r="H9" s="261" t="s">
        <v>479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449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613</v>
      </c>
      <c r="Y31" s="108"/>
      <c r="Z31" s="108"/>
      <c r="AA31" s="108"/>
    </row>
    <row r="32" spans="1:27" ht="18" x14ac:dyDescent="0.25">
      <c r="A32" s="91"/>
      <c r="B32" s="91"/>
      <c r="C32" s="203" t="s">
        <v>465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7"/>
  <sheetViews>
    <sheetView topLeftCell="B1" zoomScale="55" zoomScaleNormal="55" workbookViewId="0">
      <selection activeCell="E30" sqref="E3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3" width="17.425781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40" t="s">
        <v>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35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35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2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61" t="s">
        <v>1</v>
      </c>
      <c r="L5" s="462"/>
      <c r="M5" s="463"/>
      <c r="N5" s="50" t="s">
        <v>25</v>
      </c>
      <c r="O5" s="51"/>
      <c r="P5" s="464" t="s">
        <v>8</v>
      </c>
      <c r="Q5" s="465"/>
      <c r="R5" s="465"/>
      <c r="S5" s="465"/>
      <c r="T5" s="465"/>
      <c r="U5" s="466"/>
      <c r="V5" s="50" t="s">
        <v>29</v>
      </c>
      <c r="W5" s="50" t="s">
        <v>9</v>
      </c>
      <c r="X5" s="49" t="s">
        <v>52</v>
      </c>
      <c r="Y5" s="467" t="s">
        <v>2</v>
      </c>
      <c r="Z5" s="468"/>
      <c r="AA5" s="469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73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4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456</v>
      </c>
      <c r="C9" s="257" t="s">
        <v>107</v>
      </c>
      <c r="D9" s="258" t="s">
        <v>457</v>
      </c>
      <c r="E9" s="259" t="s">
        <v>458</v>
      </c>
      <c r="F9" s="259" t="s">
        <v>459</v>
      </c>
      <c r="G9" s="260">
        <v>45581</v>
      </c>
      <c r="H9" s="261" t="s">
        <v>481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627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602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627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261</v>
      </c>
      <c r="C13" s="256" t="s">
        <v>107</v>
      </c>
      <c r="D13" s="280" t="s">
        <v>259</v>
      </c>
      <c r="E13" s="315" t="s">
        <v>262</v>
      </c>
      <c r="F13" s="316" t="s">
        <v>260</v>
      </c>
      <c r="G13" s="314">
        <v>45042</v>
      </c>
      <c r="H13" s="261" t="s">
        <v>480</v>
      </c>
      <c r="I13" s="277">
        <v>15</v>
      </c>
      <c r="J13" s="263">
        <f>K13/I13</f>
        <v>623</v>
      </c>
      <c r="K13" s="264">
        <v>9345</v>
      </c>
      <c r="L13" s="265">
        <v>0</v>
      </c>
      <c r="M13" s="266">
        <f>SUM(K13:L13)</f>
        <v>9345</v>
      </c>
      <c r="N13" s="288">
        <f>IF(K13/15&lt;=SMG,0,L13/2)</f>
        <v>0</v>
      </c>
      <c r="O13" s="304">
        <f>(K13+N13)/I13*30.4</f>
        <v>18939.2</v>
      </c>
      <c r="P13" s="304">
        <f>VLOOKUP(O13,Tarifa,1)</f>
        <v>17533.650000000001</v>
      </c>
      <c r="Q13" s="288">
        <f>O13-P13</f>
        <v>1405.5499999999993</v>
      </c>
      <c r="R13" s="289">
        <f>VLOOKUP(O13,Tarifa,3)</f>
        <v>0.21360000000000001</v>
      </c>
      <c r="S13" s="288">
        <f>Q13*R13</f>
        <v>300.22547999999983</v>
      </c>
      <c r="T13" s="290">
        <f>VLOOKUP(O13,Tarifa,2)</f>
        <v>1856.84</v>
      </c>
      <c r="U13" s="288">
        <f>S13+T13</f>
        <v>2157.0654799999998</v>
      </c>
      <c r="V13" s="288">
        <f>VLOOKUP(O13,Credito,2)</f>
        <v>0</v>
      </c>
      <c r="W13" s="288">
        <f>ROUND((U13-V13)/30.4*I13,2)</f>
        <v>1064.3399999999999</v>
      </c>
      <c r="X13" s="266">
        <f>-IF(W13&gt;0,0,0)</f>
        <v>0</v>
      </c>
      <c r="Y13" s="266">
        <f>IF(K13/15&lt;=SMG,0,IF(W13&lt;0,0,W13))</f>
        <v>1064.3399999999999</v>
      </c>
      <c r="Z13" s="267">
        <v>0</v>
      </c>
      <c r="AA13" s="266">
        <f>SUM(Y13:Z13)</f>
        <v>1064.3399999999999</v>
      </c>
      <c r="AB13" s="266">
        <f>M13+X13-AA13</f>
        <v>8280.66</v>
      </c>
      <c r="AC13" s="268"/>
      <c r="AD13" s="92"/>
      <c r="AI13" s="93"/>
    </row>
    <row r="14" spans="1:35" s="91" customFormat="1" ht="169.5" customHeight="1" x14ac:dyDescent="0.25">
      <c r="A14" s="143"/>
      <c r="B14" s="510"/>
      <c r="C14" s="510"/>
      <c r="D14" s="511"/>
      <c r="E14" s="512"/>
      <c r="F14" s="513"/>
      <c r="G14" s="514"/>
      <c r="H14" s="515"/>
      <c r="I14" s="516"/>
      <c r="J14" s="517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518"/>
      <c r="AD14" s="92"/>
      <c r="AI14" s="93"/>
    </row>
    <row r="15" spans="1:35" s="91" customFormat="1" ht="71.25" customHeight="1" x14ac:dyDescent="0.25">
      <c r="A15" s="143"/>
      <c r="B15" s="440" t="s">
        <v>76</v>
      </c>
      <c r="C15" s="440"/>
      <c r="D15" s="440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I15" s="93"/>
    </row>
    <row r="16" spans="1:35" s="91" customFormat="1" ht="24" customHeight="1" x14ac:dyDescent="0.25">
      <c r="A16" s="143"/>
      <c r="B16" s="440" t="s">
        <v>64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I16" s="93"/>
    </row>
    <row r="17" spans="1:35" s="91" customFormat="1" ht="27.75" customHeight="1" x14ac:dyDescent="0.3">
      <c r="A17" s="143"/>
      <c r="B17" s="470" t="str">
        <f>PRESIDENCIA!A3</f>
        <v>SUELDO  DEL 01 AL 15 DE MARZO DE 2026</v>
      </c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491</v>
      </c>
      <c r="C19" s="257" t="s">
        <v>107</v>
      </c>
      <c r="D19" s="318" t="s">
        <v>145</v>
      </c>
      <c r="E19" s="134" t="s">
        <v>150</v>
      </c>
      <c r="F19" s="134" t="s">
        <v>220</v>
      </c>
      <c r="G19" s="200">
        <v>43512</v>
      </c>
      <c r="H19" s="261" t="s">
        <v>480</v>
      </c>
      <c r="I19" s="277">
        <v>15</v>
      </c>
      <c r="J19" s="263">
        <f t="shared" ref="J19:J21" si="29">K19/I19</f>
        <v>623</v>
      </c>
      <c r="K19" s="264">
        <v>9345</v>
      </c>
      <c r="L19" s="265">
        <v>0</v>
      </c>
      <c r="M19" s="266">
        <f t="shared" ref="M19:M21" si="30">SUM(K19:L19)</f>
        <v>9345</v>
      </c>
      <c r="N19" s="288">
        <f t="shared" ref="N19:N21" si="31">IF(K19/15&lt;=SMG,0,L19/2)</f>
        <v>0</v>
      </c>
      <c r="O19" s="304">
        <f t="shared" ref="O19:O21" si="32">(K19+N19)/I19*30.4</f>
        <v>18939.2</v>
      </c>
      <c r="P19" s="304">
        <f t="shared" ref="P19:P21" si="33">VLOOKUP(O19,Tarifa,1)</f>
        <v>17533.650000000001</v>
      </c>
      <c r="Q19" s="288">
        <f t="shared" ref="Q19:Q21" si="34">O19-P19</f>
        <v>1405.5499999999993</v>
      </c>
      <c r="R19" s="289">
        <f t="shared" ref="R19:R21" si="35">VLOOKUP(O19,Tarifa,3)</f>
        <v>0.21360000000000001</v>
      </c>
      <c r="S19" s="288">
        <f t="shared" ref="S19:S21" si="36">Q19*R19</f>
        <v>300.22547999999983</v>
      </c>
      <c r="T19" s="290">
        <f t="shared" ref="T19:T21" si="37">VLOOKUP(O19,Tarifa,2)</f>
        <v>1856.84</v>
      </c>
      <c r="U19" s="288">
        <f t="shared" ref="U19:U21" si="38">S19+T19</f>
        <v>2157.0654799999998</v>
      </c>
      <c r="V19" s="288">
        <f t="shared" ref="V19:V21" si="39">VLOOKUP(O19,Credito,2)</f>
        <v>0</v>
      </c>
      <c r="W19" s="288">
        <f t="shared" ref="W19:W21" si="40">ROUND((U19-V19)/30.4*I19,2)</f>
        <v>1064.3399999999999</v>
      </c>
      <c r="X19" s="266">
        <f t="shared" ref="X19:X21" si="41">-IF(W19&gt;0,0,0)</f>
        <v>0</v>
      </c>
      <c r="Y19" s="266">
        <f t="shared" ref="Y19:Y21" si="42">IF(K19/15&lt;=SMG,0,IF(W19&lt;0,0,W19))</f>
        <v>1064.3399999999999</v>
      </c>
      <c r="Z19" s="267">
        <v>0</v>
      </c>
      <c r="AA19" s="266">
        <f t="shared" ref="AA19:AA21" si="43">SUM(Y19:Z19)</f>
        <v>1064.3399999999999</v>
      </c>
      <c r="AB19" s="266">
        <f t="shared" ref="AB19:AB20" si="44">M19+X19-AA19</f>
        <v>8280.66</v>
      </c>
      <c r="AC19" s="268"/>
      <c r="AI19" s="271"/>
    </row>
    <row r="20" spans="1:35" s="270" customFormat="1" ht="229.5" customHeight="1" x14ac:dyDescent="0.2">
      <c r="A20" s="317"/>
      <c r="B20" s="257" t="s">
        <v>233</v>
      </c>
      <c r="C20" s="257" t="s">
        <v>107</v>
      </c>
      <c r="D20" s="318" t="s">
        <v>234</v>
      </c>
      <c r="E20" s="134" t="s">
        <v>235</v>
      </c>
      <c r="F20" s="134" t="s">
        <v>236</v>
      </c>
      <c r="G20" s="200">
        <v>44728</v>
      </c>
      <c r="H20" s="261" t="s">
        <v>480</v>
      </c>
      <c r="I20" s="277">
        <v>15</v>
      </c>
      <c r="J20" s="263">
        <f t="shared" si="29"/>
        <v>623</v>
      </c>
      <c r="K20" s="264">
        <v>9345</v>
      </c>
      <c r="L20" s="265">
        <v>0</v>
      </c>
      <c r="M20" s="266">
        <f t="shared" si="30"/>
        <v>9345</v>
      </c>
      <c r="N20" s="288">
        <f t="shared" si="31"/>
        <v>0</v>
      </c>
      <c r="O20" s="304">
        <f t="shared" si="32"/>
        <v>18939.2</v>
      </c>
      <c r="P20" s="304">
        <f t="shared" si="33"/>
        <v>17533.650000000001</v>
      </c>
      <c r="Q20" s="288">
        <f t="shared" si="34"/>
        <v>1405.5499999999993</v>
      </c>
      <c r="R20" s="289">
        <f t="shared" si="35"/>
        <v>0.21360000000000001</v>
      </c>
      <c r="S20" s="288">
        <f t="shared" si="36"/>
        <v>300.22547999999983</v>
      </c>
      <c r="T20" s="290">
        <f t="shared" si="37"/>
        <v>1856.84</v>
      </c>
      <c r="U20" s="288">
        <f t="shared" si="38"/>
        <v>2157.0654799999998</v>
      </c>
      <c r="V20" s="288">
        <f t="shared" si="39"/>
        <v>0</v>
      </c>
      <c r="W20" s="288">
        <f t="shared" si="40"/>
        <v>1064.3399999999999</v>
      </c>
      <c r="X20" s="266">
        <f t="shared" si="41"/>
        <v>0</v>
      </c>
      <c r="Y20" s="266">
        <f t="shared" si="42"/>
        <v>1064.3399999999999</v>
      </c>
      <c r="Z20" s="267">
        <v>0</v>
      </c>
      <c r="AA20" s="266">
        <f t="shared" si="43"/>
        <v>1064.3399999999999</v>
      </c>
      <c r="AB20" s="266">
        <f t="shared" si="44"/>
        <v>8280.66</v>
      </c>
      <c r="AC20" s="268"/>
      <c r="AI20" s="271"/>
    </row>
    <row r="21" spans="1:35" s="270" customFormat="1" ht="229.5" customHeight="1" x14ac:dyDescent="0.2">
      <c r="A21" s="317"/>
      <c r="B21" s="257" t="s">
        <v>305</v>
      </c>
      <c r="C21" s="257" t="s">
        <v>107</v>
      </c>
      <c r="D21" s="258" t="s">
        <v>306</v>
      </c>
      <c r="E21" s="259" t="s">
        <v>307</v>
      </c>
      <c r="F21" s="259" t="s">
        <v>308</v>
      </c>
      <c r="G21" s="320">
        <v>45475</v>
      </c>
      <c r="H21" s="261" t="s">
        <v>480</v>
      </c>
      <c r="I21" s="277">
        <v>15</v>
      </c>
      <c r="J21" s="263">
        <f t="shared" si="29"/>
        <v>498.46666666666664</v>
      </c>
      <c r="K21" s="264">
        <v>7477</v>
      </c>
      <c r="L21" s="265">
        <v>0</v>
      </c>
      <c r="M21" s="266">
        <f t="shared" si="30"/>
        <v>7477</v>
      </c>
      <c r="N21" s="288">
        <f t="shared" si="31"/>
        <v>0</v>
      </c>
      <c r="O21" s="304">
        <f t="shared" si="32"/>
        <v>15153.386666666665</v>
      </c>
      <c r="P21" s="304">
        <f t="shared" si="33"/>
        <v>14644.65</v>
      </c>
      <c r="Q21" s="288">
        <f t="shared" si="34"/>
        <v>508.73666666666577</v>
      </c>
      <c r="R21" s="289">
        <f t="shared" si="35"/>
        <v>0.1792</v>
      </c>
      <c r="S21" s="288">
        <f t="shared" si="36"/>
        <v>91.16561066666651</v>
      </c>
      <c r="T21" s="290">
        <f t="shared" si="37"/>
        <v>1339.14</v>
      </c>
      <c r="U21" s="288">
        <f t="shared" si="38"/>
        <v>1430.3056106666666</v>
      </c>
      <c r="V21" s="288">
        <f t="shared" si="39"/>
        <v>0</v>
      </c>
      <c r="W21" s="288">
        <f t="shared" si="40"/>
        <v>705.74</v>
      </c>
      <c r="X21" s="266">
        <f t="shared" si="41"/>
        <v>0</v>
      </c>
      <c r="Y21" s="266">
        <f t="shared" si="42"/>
        <v>705.74</v>
      </c>
      <c r="Z21" s="267">
        <v>0</v>
      </c>
      <c r="AA21" s="266">
        <f t="shared" si="43"/>
        <v>705.74</v>
      </c>
      <c r="AB21" s="266">
        <f>M21+X21-AA21</f>
        <v>6771.26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404</v>
      </c>
      <c r="C22" s="257" t="s">
        <v>107</v>
      </c>
      <c r="D22" s="258" t="s">
        <v>405</v>
      </c>
      <c r="E22" s="259" t="s">
        <v>406</v>
      </c>
      <c r="F22" s="259" t="s">
        <v>407</v>
      </c>
      <c r="G22" s="320">
        <v>45566</v>
      </c>
      <c r="H22" s="261" t="s">
        <v>482</v>
      </c>
      <c r="I22" s="277">
        <v>15</v>
      </c>
      <c r="J22" s="263">
        <f t="shared" ref="J22:J23" si="45">K22/I22</f>
        <v>468.73333333333335</v>
      </c>
      <c r="K22" s="264">
        <v>7031</v>
      </c>
      <c r="L22" s="265">
        <v>0</v>
      </c>
      <c r="M22" s="266">
        <f t="shared" ref="M22:M23" si="46">SUM(K22:L22)</f>
        <v>7031</v>
      </c>
      <c r="N22" s="288">
        <f t="shared" ref="N22:N23" si="47">IF(K22/15&lt;=SMG,0,L22/2)</f>
        <v>0</v>
      </c>
      <c r="O22" s="304">
        <f t="shared" ref="O22:O23" si="48">(K22+N22)/I22*30.4</f>
        <v>14249.493333333334</v>
      </c>
      <c r="P22" s="304">
        <f t="shared" ref="P22:P23" si="49">VLOOKUP(O22,Tarifa,1)</f>
        <v>12598.03</v>
      </c>
      <c r="Q22" s="288">
        <f t="shared" ref="Q22:Q23" si="50">O22-P22</f>
        <v>1651.4633333333331</v>
      </c>
      <c r="R22" s="289">
        <f t="shared" ref="R22:R23" si="51">VLOOKUP(O22,Tarifa,3)</f>
        <v>0.16</v>
      </c>
      <c r="S22" s="288">
        <f t="shared" ref="S22:S23" si="52">Q22*R22</f>
        <v>264.23413333333332</v>
      </c>
      <c r="T22" s="290">
        <f t="shared" ref="T22:T23" si="53">VLOOKUP(O22,Tarifa,2)</f>
        <v>1011.68</v>
      </c>
      <c r="U22" s="288">
        <f t="shared" ref="U22:U23" si="54">S22+T22</f>
        <v>1275.9141333333332</v>
      </c>
      <c r="V22" s="288">
        <f t="shared" ref="V22:V23" si="55">VLOOKUP(O22,Credito,2)</f>
        <v>0</v>
      </c>
      <c r="W22" s="288">
        <f t="shared" ref="W22:W23" si="56">ROUND((U22-V22)/30.4*I22,2)</f>
        <v>629.55999999999995</v>
      </c>
      <c r="X22" s="266">
        <f t="shared" ref="X22:X23" si="57">-IF(W22&gt;0,0,0)</f>
        <v>0</v>
      </c>
      <c r="Y22" s="266">
        <f t="shared" ref="Y22:Y23" si="58">IF(K22/15&lt;=SMG,0,IF(W22&lt;0,0,W22))</f>
        <v>629.55999999999995</v>
      </c>
      <c r="Z22" s="267">
        <v>0</v>
      </c>
      <c r="AA22" s="266">
        <f t="shared" ref="AA22:AA23" si="59">SUM(Y22:Z22)</f>
        <v>629.55999999999995</v>
      </c>
      <c r="AB22" s="266">
        <f t="shared" ref="AB22:AB23" si="60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349</v>
      </c>
      <c r="C23" s="273" t="s">
        <v>107</v>
      </c>
      <c r="D23" s="258" t="s">
        <v>350</v>
      </c>
      <c r="E23" s="259" t="s">
        <v>351</v>
      </c>
      <c r="F23" s="259" t="s">
        <v>352</v>
      </c>
      <c r="G23" s="260">
        <v>45459</v>
      </c>
      <c r="H23" s="261" t="s">
        <v>483</v>
      </c>
      <c r="I23" s="277">
        <v>15</v>
      </c>
      <c r="J23" s="263">
        <f t="shared" si="45"/>
        <v>384.4</v>
      </c>
      <c r="K23" s="264">
        <v>5766</v>
      </c>
      <c r="L23" s="265">
        <v>0</v>
      </c>
      <c r="M23" s="266">
        <f t="shared" si="46"/>
        <v>5766</v>
      </c>
      <c r="N23" s="288">
        <f t="shared" si="47"/>
        <v>0</v>
      </c>
      <c r="O23" s="304">
        <f t="shared" si="48"/>
        <v>11685.759999999998</v>
      </c>
      <c r="P23" s="304">
        <f t="shared" si="49"/>
        <v>7168.52</v>
      </c>
      <c r="Q23" s="288">
        <f t="shared" si="50"/>
        <v>4517.239999999998</v>
      </c>
      <c r="R23" s="289">
        <f t="shared" si="51"/>
        <v>0.10879999999999999</v>
      </c>
      <c r="S23" s="288">
        <f t="shared" si="52"/>
        <v>491.47571199999976</v>
      </c>
      <c r="T23" s="290">
        <f t="shared" si="53"/>
        <v>420.95</v>
      </c>
      <c r="U23" s="288">
        <f t="shared" si="54"/>
        <v>912.42571199999975</v>
      </c>
      <c r="V23" s="288">
        <f t="shared" si="55"/>
        <v>0</v>
      </c>
      <c r="W23" s="288">
        <f t="shared" si="56"/>
        <v>450.21</v>
      </c>
      <c r="X23" s="266">
        <f t="shared" si="57"/>
        <v>0</v>
      </c>
      <c r="Y23" s="266">
        <f t="shared" si="58"/>
        <v>450.21</v>
      </c>
      <c r="Z23" s="267">
        <v>0</v>
      </c>
      <c r="AA23" s="266">
        <f t="shared" si="59"/>
        <v>450.21</v>
      </c>
      <c r="AB23" s="266">
        <f t="shared" si="60"/>
        <v>5315.79</v>
      </c>
      <c r="AC23" s="268"/>
      <c r="AI23" s="93"/>
    </row>
    <row r="24" spans="1:35" s="91" customFormat="1" ht="70.5" customHeight="1" x14ac:dyDescent="0.25">
      <c r="A24" s="143"/>
      <c r="B24" s="256" t="s">
        <v>562</v>
      </c>
      <c r="C24" s="256" t="s">
        <v>107</v>
      </c>
      <c r="D24" s="280" t="s">
        <v>563</v>
      </c>
      <c r="E24" s="315" t="s">
        <v>564</v>
      </c>
      <c r="F24" s="316" t="s">
        <v>565</v>
      </c>
      <c r="G24" s="314">
        <v>45078</v>
      </c>
      <c r="H24" s="261" t="s">
        <v>566</v>
      </c>
      <c r="I24" s="277">
        <v>13</v>
      </c>
      <c r="J24" s="263">
        <v>623</v>
      </c>
      <c r="K24" s="264">
        <v>9345</v>
      </c>
      <c r="L24" s="265">
        <v>0</v>
      </c>
      <c r="M24" s="266">
        <f>I24*J24</f>
        <v>8099</v>
      </c>
      <c r="N24" s="288">
        <f t="shared" ref="N24" si="61">IF(K24/15&lt;=SMG,0,L24/2)</f>
        <v>0</v>
      </c>
      <c r="O24" s="304">
        <f t="shared" ref="O24" si="62">(K24+N24)/I24*30.4</f>
        <v>21852.923076923074</v>
      </c>
      <c r="P24" s="304">
        <f t="shared" ref="P24" si="63">VLOOKUP(O24,Tarifa,1)</f>
        <v>17533.650000000001</v>
      </c>
      <c r="Q24" s="288">
        <f t="shared" ref="Q24" si="64">O24-P24</f>
        <v>4319.2730769230729</v>
      </c>
      <c r="R24" s="289">
        <f t="shared" ref="R24" si="65">VLOOKUP(O24,Tarifa,3)</f>
        <v>0.21360000000000001</v>
      </c>
      <c r="S24" s="288">
        <f t="shared" ref="S24" si="66">Q24*R24</f>
        <v>922.59672923076846</v>
      </c>
      <c r="T24" s="290">
        <f t="shared" ref="T24" si="67">VLOOKUP(O24,Tarifa,2)</f>
        <v>1856.84</v>
      </c>
      <c r="U24" s="288">
        <f>S24+T24</f>
        <v>2779.4367292307684</v>
      </c>
      <c r="V24" s="288">
        <f t="shared" ref="V24" si="68">VLOOKUP(O24,Credito,2)</f>
        <v>0</v>
      </c>
      <c r="W24" s="288">
        <f t="shared" ref="W24" si="69">ROUND((U24-V24)/30.4*I24,2)</f>
        <v>1188.57</v>
      </c>
      <c r="X24" s="266">
        <f t="shared" ref="X24" si="70">-IF(W24&gt;0,0,0)</f>
        <v>0</v>
      </c>
      <c r="Y24" s="266">
        <f t="shared" ref="Y24" si="71">IF(K24/15&lt;=SMG,0,IF(W24&lt;0,0,W24))</f>
        <v>1188.57</v>
      </c>
      <c r="Z24" s="267">
        <v>0</v>
      </c>
      <c r="AA24" s="266">
        <f t="shared" ref="AA24" si="72">SUM(Y24:Z24)</f>
        <v>1188.57</v>
      </c>
      <c r="AB24" s="266">
        <f t="shared" ref="AB24" si="73">M24+X24-AA24</f>
        <v>6910.43</v>
      </c>
      <c r="AC24" s="268"/>
      <c r="AI24" s="93"/>
    </row>
    <row r="25" spans="1:35" s="91" customFormat="1" ht="139.5" customHeight="1" x14ac:dyDescent="0.25">
      <c r="A25" s="143"/>
      <c r="B25" s="510"/>
      <c r="C25" s="510"/>
      <c r="D25" s="511"/>
      <c r="E25" s="512"/>
      <c r="F25" s="513"/>
      <c r="G25" s="514"/>
      <c r="H25" s="515"/>
      <c r="I25" s="516"/>
      <c r="J25" s="517"/>
      <c r="K25" s="389"/>
      <c r="L25" s="390"/>
      <c r="M25" s="391"/>
      <c r="N25" s="373"/>
      <c r="O25" s="374"/>
      <c r="P25" s="374"/>
      <c r="Q25" s="373"/>
      <c r="R25" s="375"/>
      <c r="S25" s="373"/>
      <c r="T25" s="376"/>
      <c r="U25" s="373"/>
      <c r="V25" s="373"/>
      <c r="W25" s="373"/>
      <c r="X25" s="391"/>
      <c r="Y25" s="391"/>
      <c r="Z25" s="392"/>
      <c r="AA25" s="391"/>
      <c r="AB25" s="391"/>
      <c r="AC25" s="518"/>
      <c r="AI25" s="93"/>
    </row>
    <row r="26" spans="1:35" s="91" customFormat="1" ht="62.25" customHeight="1" x14ac:dyDescent="0.25">
      <c r="A26" s="143"/>
      <c r="B26" s="440" t="s">
        <v>76</v>
      </c>
      <c r="C26" s="440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I26" s="93"/>
    </row>
    <row r="27" spans="1:35" s="91" customFormat="1" ht="27.75" customHeight="1" x14ac:dyDescent="0.25">
      <c r="A27" s="143"/>
      <c r="B27" s="440" t="s">
        <v>64</v>
      </c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I27" s="93"/>
    </row>
    <row r="28" spans="1:35" s="91" customFormat="1" ht="27.75" customHeight="1" x14ac:dyDescent="0.3">
      <c r="A28" s="143"/>
      <c r="B28" s="471" t="str">
        <f>PRESIDENCIA!A3</f>
        <v>SUELDO  DEL 01 AL 15 DE MARZO DE 2026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1"/>
      <c r="W28" s="471"/>
      <c r="X28" s="471"/>
      <c r="Y28" s="471"/>
      <c r="Z28" s="471"/>
      <c r="AA28" s="471"/>
      <c r="AB28" s="471"/>
      <c r="AC28" s="471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270" customFormat="1" ht="176.25" customHeight="1" x14ac:dyDescent="0.2">
      <c r="A30" s="255"/>
      <c r="B30" s="257" t="s">
        <v>241</v>
      </c>
      <c r="C30" s="257" t="s">
        <v>107</v>
      </c>
      <c r="D30" s="318" t="s">
        <v>239</v>
      </c>
      <c r="E30" s="134" t="s">
        <v>237</v>
      </c>
      <c r="F30" s="134" t="s">
        <v>238</v>
      </c>
      <c r="G30" s="260">
        <v>44728</v>
      </c>
      <c r="H30" s="261" t="s">
        <v>240</v>
      </c>
      <c r="I30" s="277">
        <v>15</v>
      </c>
      <c r="J30" s="263">
        <f>K30/I30</f>
        <v>455.53333333333336</v>
      </c>
      <c r="K30" s="264">
        <v>6833</v>
      </c>
      <c r="L30" s="265">
        <v>0</v>
      </c>
      <c r="M30" s="264">
        <f>K30</f>
        <v>6833</v>
      </c>
      <c r="N30" s="288">
        <f>IF(K30/15&lt;=SMG,0,L30/2)</f>
        <v>0</v>
      </c>
      <c r="O30" s="304">
        <f>(K30+N30)/I30*30.4</f>
        <v>13848.213333333333</v>
      </c>
      <c r="P30" s="304">
        <f>VLOOKUP(O30,Tarifa,1)</f>
        <v>12598.03</v>
      </c>
      <c r="Q30" s="288">
        <f>O30-P30</f>
        <v>1250.1833333333325</v>
      </c>
      <c r="R30" s="289">
        <f>VLOOKUP(O30,Tarifa,3)</f>
        <v>0.16</v>
      </c>
      <c r="S30" s="288">
        <f>Q30*R30</f>
        <v>200.0293333333332</v>
      </c>
      <c r="T30" s="290">
        <f>VLOOKUP(O30,Tarifa,2)</f>
        <v>1011.68</v>
      </c>
      <c r="U30" s="288">
        <f>S30+T30</f>
        <v>1211.7093333333332</v>
      </c>
      <c r="V30" s="288">
        <f>VLOOKUP(O30,Credito,2)</f>
        <v>0</v>
      </c>
      <c r="W30" s="288">
        <f>ROUND((U30-V30)/30.4*I30,2)</f>
        <v>597.88</v>
      </c>
      <c r="X30" s="266">
        <f t="shared" ref="X30" si="74">-IF(W30&gt;0,0,0)</f>
        <v>0</v>
      </c>
      <c r="Y30" s="266">
        <f t="shared" ref="Y30" si="75">IF(K30/15&lt;=SMG,0,IF(W30&lt;0,0,W30))</f>
        <v>597.88</v>
      </c>
      <c r="Z30" s="267">
        <v>0</v>
      </c>
      <c r="AA30" s="266">
        <f t="shared" ref="AA30" si="76">SUM(Y30:Z30)</f>
        <v>597.88</v>
      </c>
      <c r="AB30" s="266">
        <f>M30+X30-AA30+L30</f>
        <v>6235.12</v>
      </c>
      <c r="AC30" s="278"/>
      <c r="AI30" s="271"/>
    </row>
    <row r="31" spans="1:35" s="270" customFormat="1" ht="176.25" customHeight="1" x14ac:dyDescent="0.2">
      <c r="A31" s="255"/>
      <c r="B31" s="273" t="s">
        <v>266</v>
      </c>
      <c r="C31" s="273" t="s">
        <v>107</v>
      </c>
      <c r="D31" s="280" t="s">
        <v>267</v>
      </c>
      <c r="E31" s="281" t="s">
        <v>268</v>
      </c>
      <c r="F31" s="281" t="s">
        <v>269</v>
      </c>
      <c r="G31" s="321">
        <v>45078</v>
      </c>
      <c r="H31" s="261" t="s">
        <v>486</v>
      </c>
      <c r="I31" s="277">
        <v>15</v>
      </c>
      <c r="J31" s="263">
        <f>K31/I31</f>
        <v>327</v>
      </c>
      <c r="K31" s="264">
        <v>4905</v>
      </c>
      <c r="L31" s="265">
        <v>0</v>
      </c>
      <c r="M31" s="266">
        <f t="shared" ref="M31" si="77">SUM(K31:L31)</f>
        <v>4905</v>
      </c>
      <c r="N31" s="288">
        <f>IF(K31/15&lt;=SMG,0,L31/2)</f>
        <v>0</v>
      </c>
      <c r="O31" s="304">
        <f>(K31+N31)/I31*30.4</f>
        <v>9940.7999999999993</v>
      </c>
      <c r="P31" s="304">
        <f>VLOOKUP(O31,Tarifa,1)</f>
        <v>7168.52</v>
      </c>
      <c r="Q31" s="288">
        <f>O31-P31</f>
        <v>2772.2799999999988</v>
      </c>
      <c r="R31" s="289">
        <f>VLOOKUP(O31,Tarifa,3)</f>
        <v>0.10879999999999999</v>
      </c>
      <c r="S31" s="288">
        <f>Q31*R31</f>
        <v>301.62406399999986</v>
      </c>
      <c r="T31" s="290">
        <f>VLOOKUP(O31,Tarifa,2)</f>
        <v>420.95</v>
      </c>
      <c r="U31" s="288">
        <f>S31+T31</f>
        <v>722.57406399999991</v>
      </c>
      <c r="V31" s="288">
        <f>VLOOKUP(O31,Credito,2)</f>
        <v>535.65</v>
      </c>
      <c r="W31" s="288">
        <f>ROUND((U31-V31)/30.4*I31,2)</f>
        <v>92.23</v>
      </c>
      <c r="X31" s="266">
        <f>-IF(W31&gt;0,0,0)</f>
        <v>0</v>
      </c>
      <c r="Y31" s="266">
        <f>IF(K31/15&lt;=SMG,0,IF(W31&lt;0,0,W31))</f>
        <v>92.23</v>
      </c>
      <c r="Z31" s="267">
        <v>0</v>
      </c>
      <c r="AA31" s="266">
        <f>SUM(Y31:Z31)</f>
        <v>92.23</v>
      </c>
      <c r="AB31" s="266">
        <f>M31+X31-AA31</f>
        <v>4812.7700000000004</v>
      </c>
      <c r="AC31" s="275"/>
      <c r="AI31" s="271"/>
    </row>
    <row r="32" spans="1:35" s="270" customFormat="1" ht="176.25" customHeight="1" x14ac:dyDescent="0.2">
      <c r="A32" s="255"/>
      <c r="B32" s="279" t="s">
        <v>546</v>
      </c>
      <c r="C32" s="273" t="s">
        <v>107</v>
      </c>
      <c r="D32" s="258" t="s">
        <v>547</v>
      </c>
      <c r="E32" s="259" t="s">
        <v>548</v>
      </c>
      <c r="F32" s="259" t="s">
        <v>549</v>
      </c>
      <c r="G32" s="260">
        <v>45754</v>
      </c>
      <c r="H32" s="261" t="s">
        <v>67</v>
      </c>
      <c r="I32" s="262">
        <v>15</v>
      </c>
      <c r="J32" s="263">
        <f t="shared" ref="J32" si="78">K32/I32</f>
        <v>496.93333333333334</v>
      </c>
      <c r="K32" s="264">
        <v>7454</v>
      </c>
      <c r="L32" s="265">
        <v>0</v>
      </c>
      <c r="M32" s="266">
        <f>SUM(K32:L32)</f>
        <v>7454</v>
      </c>
      <c r="N32" s="288">
        <f>IF(K32/15&lt;=SMG,0,L32/2)</f>
        <v>0</v>
      </c>
      <c r="O32" s="304">
        <f>(K32+N32)/I32*30.4</f>
        <v>15106.773333333333</v>
      </c>
      <c r="P32" s="304">
        <f>VLOOKUP(O32,Tarifa,1)</f>
        <v>14644.65</v>
      </c>
      <c r="Q32" s="288">
        <f>O32-P32</f>
        <v>462.12333333333299</v>
      </c>
      <c r="R32" s="289">
        <f>VLOOKUP(O32,Tarifa,3)</f>
        <v>0.1792</v>
      </c>
      <c r="S32" s="288">
        <f>Q32*R32</f>
        <v>82.812501333333273</v>
      </c>
      <c r="T32" s="290">
        <f>VLOOKUP(O32,Tarifa,2)</f>
        <v>1339.14</v>
      </c>
      <c r="U32" s="288">
        <f>S32+T32</f>
        <v>1421.9525013333334</v>
      </c>
      <c r="V32" s="288">
        <f>VLOOKUP(O32,Credito,2)</f>
        <v>0</v>
      </c>
      <c r="W32" s="288">
        <f>ROUND((U32-V32)/30.4*I32,2)</f>
        <v>701.62</v>
      </c>
      <c r="X32" s="266">
        <f>-IF(W32&gt;0,0,0)</f>
        <v>0</v>
      </c>
      <c r="Y32" s="266">
        <f>IF(K32/15&lt;=SMG,0,IF(W32&lt;0,0,W32))</f>
        <v>701.62</v>
      </c>
      <c r="Z32" s="267">
        <v>0</v>
      </c>
      <c r="AA32" s="266">
        <f>SUM(Y32:Z32)</f>
        <v>701.62</v>
      </c>
      <c r="AB32" s="266">
        <f>M32+X32-AA32</f>
        <v>6752.38</v>
      </c>
      <c r="AC32" s="275"/>
      <c r="AI32" s="271"/>
    </row>
    <row r="33" spans="1:29" s="52" customFormat="1" ht="39" customHeight="1" thickBot="1" x14ac:dyDescent="0.35">
      <c r="A33" s="437" t="s">
        <v>44</v>
      </c>
      <c r="B33" s="438"/>
      <c r="C33" s="438"/>
      <c r="D33" s="438"/>
      <c r="E33" s="438"/>
      <c r="F33" s="438"/>
      <c r="G33" s="438"/>
      <c r="H33" s="438"/>
      <c r="I33" s="438"/>
      <c r="J33" s="439"/>
      <c r="K33" s="198">
        <f t="shared" ref="K33:AA33" si="79">SUM(K9:K32)</f>
        <v>113426</v>
      </c>
      <c r="L33" s="198">
        <f t="shared" si="79"/>
        <v>0</v>
      </c>
      <c r="M33" s="198">
        <f t="shared" si="79"/>
        <v>112180</v>
      </c>
      <c r="N33" s="199">
        <f t="shared" si="79"/>
        <v>0</v>
      </c>
      <c r="O33" s="199">
        <f t="shared" si="79"/>
        <v>232790.41641025638</v>
      </c>
      <c r="P33" s="199">
        <f t="shared" si="79"/>
        <v>188361.33999999997</v>
      </c>
      <c r="Q33" s="199">
        <f t="shared" si="79"/>
        <v>44429.076410256399</v>
      </c>
      <c r="R33" s="199">
        <f t="shared" si="79"/>
        <v>2.3952</v>
      </c>
      <c r="S33" s="199">
        <f t="shared" si="79"/>
        <v>7543.0056652307667</v>
      </c>
      <c r="T33" s="199">
        <f t="shared" si="79"/>
        <v>17526.480000000003</v>
      </c>
      <c r="U33" s="199">
        <f t="shared" si="79"/>
        <v>25069.485665230764</v>
      </c>
      <c r="V33" s="199">
        <f t="shared" si="79"/>
        <v>535.65</v>
      </c>
      <c r="W33" s="199">
        <f t="shared" si="79"/>
        <v>11922.63</v>
      </c>
      <c r="X33" s="198">
        <f t="shared" si="79"/>
        <v>0</v>
      </c>
      <c r="Y33" s="198">
        <f t="shared" si="79"/>
        <v>11922.63</v>
      </c>
      <c r="Z33" s="198">
        <f t="shared" si="79"/>
        <v>0</v>
      </c>
      <c r="AA33" s="198">
        <f t="shared" si="79"/>
        <v>11922.63</v>
      </c>
      <c r="AB33" s="198">
        <f>SUM(AB9:AB32)</f>
        <v>100257.37000000001</v>
      </c>
      <c r="AC33" s="108"/>
    </row>
    <row r="34" spans="1:29" s="52" customFormat="1" ht="26.25" customHeight="1" thickTop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29" s="52" customFormat="1" ht="14.25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9" s="52" customFormat="1" ht="18" x14ac:dyDescent="0.25">
      <c r="B45" s="91"/>
      <c r="C45" s="91"/>
      <c r="D45" s="203" t="s">
        <v>449</v>
      </c>
      <c r="E45" s="203"/>
      <c r="F45" s="203"/>
      <c r="G45" s="203"/>
      <c r="H45" s="20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613</v>
      </c>
      <c r="Z45" s="108"/>
      <c r="AA45" s="108"/>
      <c r="AB45" s="108"/>
    </row>
    <row r="46" spans="1:29" s="52" customFormat="1" ht="18" x14ac:dyDescent="0.25">
      <c r="B46" s="91"/>
      <c r="C46" s="91"/>
      <c r="D46" s="203" t="s">
        <v>465</v>
      </c>
      <c r="E46" s="203"/>
      <c r="F46" s="203"/>
      <c r="G46" s="203"/>
      <c r="H46" s="203"/>
      <c r="I46" s="203"/>
      <c r="J46" s="203"/>
      <c r="K46" s="203"/>
      <c r="L46" s="203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195</v>
      </c>
      <c r="Z46" s="108"/>
      <c r="AA46" s="203"/>
      <c r="AB46" s="203"/>
      <c r="AC46" s="61"/>
    </row>
    <row r="47" spans="1:29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mergeCells count="14">
    <mergeCell ref="B16:AD16"/>
    <mergeCell ref="B17:AC17"/>
    <mergeCell ref="B28:AC28"/>
    <mergeCell ref="A33:J33"/>
    <mergeCell ref="C5:C7"/>
    <mergeCell ref="B26:AD26"/>
    <mergeCell ref="B27:AD27"/>
    <mergeCell ref="B15:AD15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0:F32 D21:F23 D19:G20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" zoomScale="85" zoomScaleNormal="85" workbookViewId="0">
      <selection activeCell="M11" sqref="M1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" customWidth="1"/>
    <col min="9" max="9" width="8.28515625" customWidth="1"/>
    <col min="10" max="10" width="10.7109375" hidden="1" customWidth="1"/>
    <col min="11" max="11" width="16.140625" customWidth="1"/>
    <col min="12" max="13" width="14.57031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61" t="s">
        <v>1</v>
      </c>
      <c r="L5" s="462"/>
      <c r="M5" s="463"/>
      <c r="N5" s="50" t="s">
        <v>25</v>
      </c>
      <c r="O5" s="51"/>
      <c r="P5" s="464" t="s">
        <v>8</v>
      </c>
      <c r="Q5" s="465"/>
      <c r="R5" s="465"/>
      <c r="S5" s="465"/>
      <c r="T5" s="465"/>
      <c r="U5" s="466"/>
      <c r="V5" s="50" t="s">
        <v>29</v>
      </c>
      <c r="W5" s="50" t="s">
        <v>9</v>
      </c>
      <c r="X5" s="49" t="s">
        <v>52</v>
      </c>
      <c r="Y5" s="467" t="s">
        <v>2</v>
      </c>
      <c r="Z5" s="468"/>
      <c r="AA5" s="469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53270.5</v>
      </c>
      <c r="L8" s="176">
        <f>SUM(L9:L25)</f>
        <v>0</v>
      </c>
      <c r="M8" s="176">
        <f>SUM(M9:M25)</f>
        <v>53270.5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2085.9899999999998</v>
      </c>
      <c r="Z8" s="176">
        <f>SUM(Z9:Z25)</f>
        <v>0</v>
      </c>
      <c r="AA8" s="176">
        <f>SUM(AA9:AA25)</f>
        <v>2085.9899999999998</v>
      </c>
      <c r="AB8" s="176">
        <f>SUM(AB9:AB26)</f>
        <v>56500.3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14</v>
      </c>
      <c r="J10" s="263">
        <f>K10/I10</f>
        <v>399.85714285714283</v>
      </c>
      <c r="K10" s="264">
        <v>5598</v>
      </c>
      <c r="L10" s="265">
        <v>0</v>
      </c>
      <c r="M10" s="266">
        <f>I10*J10</f>
        <v>5598</v>
      </c>
      <c r="N10" s="288">
        <f>IF(K10/15&lt;=SMG,0,L10/2)</f>
        <v>0</v>
      </c>
      <c r="O10" s="304">
        <f>(K10+N10)/I10*30.4</f>
        <v>12155.657142857142</v>
      </c>
      <c r="P10" s="304">
        <f>VLOOKUP(O10,Tarifa,1)</f>
        <v>7168.52</v>
      </c>
      <c r="Q10" s="288">
        <f>O10-P10</f>
        <v>4987.137142857142</v>
      </c>
      <c r="R10" s="289">
        <f>VLOOKUP(O10,Tarifa,3)</f>
        <v>0.10879999999999999</v>
      </c>
      <c r="S10" s="288">
        <f>Q10*R10</f>
        <v>542.60052114285702</v>
      </c>
      <c r="T10" s="290">
        <f>VLOOKUP(O10,Tarifa,2)</f>
        <v>420.95</v>
      </c>
      <c r="U10" s="288">
        <f>S10+T10</f>
        <v>963.55052114285695</v>
      </c>
      <c r="V10" s="288">
        <f>VLOOKUP(O10,Credito,2)</f>
        <v>0</v>
      </c>
      <c r="W10" s="288">
        <f>ROUND((U10-V10)/30.4*I10,2)</f>
        <v>443.74</v>
      </c>
      <c r="X10" s="266">
        <f t="shared" ref="X10" si="0">-IF(W10&gt;0,0,0)</f>
        <v>0</v>
      </c>
      <c r="Y10" s="266">
        <f>IF(K10/15&lt;=SMG,0,IF(W10&lt;0,0,W10))</f>
        <v>443.74</v>
      </c>
      <c r="Z10" s="267">
        <v>0</v>
      </c>
      <c r="AA10" s="266">
        <f>SUM(Y10:Z10)</f>
        <v>443.74</v>
      </c>
      <c r="AB10" s="266">
        <f>M10+X10-AA10</f>
        <v>5154.26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484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484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485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51" t="s">
        <v>76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</row>
    <row r="18" spans="1:30" s="4" customFormat="1" ht="27" customHeight="1" x14ac:dyDescent="0.25">
      <c r="A18" s="194"/>
      <c r="B18" s="451" t="s">
        <v>64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</row>
    <row r="19" spans="1:30" s="4" customFormat="1" ht="27" customHeight="1" x14ac:dyDescent="0.3">
      <c r="A19" s="194"/>
      <c r="B19" s="475" t="str">
        <f>PRESIDENCIA!A3</f>
        <v>SUELDO  DEL 01 AL 15 DE MARZO DE 2026</v>
      </c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394</v>
      </c>
      <c r="C21" s="326" t="s">
        <v>107</v>
      </c>
      <c r="D21" s="327" t="s">
        <v>384</v>
      </c>
      <c r="E21" s="328" t="s">
        <v>395</v>
      </c>
      <c r="F21" s="328" t="s">
        <v>396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383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493</v>
      </c>
      <c r="C25" s="273" t="s">
        <v>107</v>
      </c>
      <c r="D25" s="258" t="s">
        <v>494</v>
      </c>
      <c r="E25" s="259" t="s">
        <v>495</v>
      </c>
      <c r="F25" s="259" t="s">
        <v>496</v>
      </c>
      <c r="G25" s="260">
        <v>45673</v>
      </c>
      <c r="H25" s="261" t="s">
        <v>353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93"/>
      <c r="B26" s="279" t="s">
        <v>588</v>
      </c>
      <c r="C26" s="273" t="s">
        <v>107</v>
      </c>
      <c r="D26" s="258" t="s">
        <v>584</v>
      </c>
      <c r="E26" s="259" t="s">
        <v>585</v>
      </c>
      <c r="F26" s="259" t="s">
        <v>586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0</v>
      </c>
      <c r="M26" s="266">
        <f t="shared" ref="M26" si="26">SUM(K26:L26)</f>
        <v>5766</v>
      </c>
      <c r="N26" s="288">
        <f t="shared" ref="N26" si="27">IF(K26/15&lt;=SMG,0,L26/2)</f>
        <v>0</v>
      </c>
      <c r="O26" s="304">
        <f t="shared" ref="O26" si="28">(K26+N26)/I26*30.4</f>
        <v>11685.759999999998</v>
      </c>
      <c r="P26" s="304">
        <f t="shared" ref="P26" si="29">VLOOKUP(O26,Tarifa,1)</f>
        <v>7168.52</v>
      </c>
      <c r="Q26" s="288">
        <f t="shared" ref="Q26" si="30">O26-P26</f>
        <v>4517.239999999998</v>
      </c>
      <c r="R26" s="289">
        <f t="shared" ref="R26" si="31">VLOOKUP(O26,Tarifa,3)</f>
        <v>0.10879999999999999</v>
      </c>
      <c r="S26" s="288">
        <f t="shared" ref="S26" si="32">Q26*R26</f>
        <v>491.47571199999976</v>
      </c>
      <c r="T26" s="290">
        <f t="shared" ref="T26" si="33">VLOOKUP(O26,Tarifa,2)</f>
        <v>420.95</v>
      </c>
      <c r="U26" s="288">
        <f t="shared" ref="U26" si="34">S26+T26</f>
        <v>912.42571199999975</v>
      </c>
      <c r="V26" s="288">
        <f t="shared" ref="V26" si="35">VLOOKUP(O26,Credito,2)</f>
        <v>0</v>
      </c>
      <c r="W26" s="288">
        <f t="shared" ref="W26" si="36">ROUND((U26-V26)/30.4*I26,2)</f>
        <v>450.21</v>
      </c>
      <c r="X26" s="266">
        <f t="shared" ref="X26" si="37">-IF(W26&gt;0,0,0)</f>
        <v>0</v>
      </c>
      <c r="Y26" s="266">
        <f t="shared" ref="Y26" si="38">IF(K26/15&lt;=SMG,0,IF(W26&lt;0,0,W26))</f>
        <v>450.21</v>
      </c>
      <c r="Z26" s="267">
        <v>0</v>
      </c>
      <c r="AA26" s="266">
        <f t="shared" ref="AA26" si="39">SUM(Y26:Z26)</f>
        <v>450.21</v>
      </c>
      <c r="AB26" s="266">
        <f t="shared" ref="AB26" si="40">M26+X26-AA26</f>
        <v>5315.79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51" t="s">
        <v>76</v>
      </c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</row>
    <row r="30" spans="1:30" s="4" customFormat="1" ht="27" customHeight="1" x14ac:dyDescent="0.25">
      <c r="A30" s="239"/>
      <c r="B30" s="451" t="s">
        <v>64</v>
      </c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</row>
    <row r="31" spans="1:30" s="4" customFormat="1" ht="24" customHeight="1" x14ac:dyDescent="0.25">
      <c r="A31" s="239"/>
      <c r="B31" s="441" t="str">
        <f>PRESIDENCIA!A3</f>
        <v>SUELDO  DEL 01 AL 15 DE MARZO DE 2026</v>
      </c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487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37" t="s">
        <v>44</v>
      </c>
      <c r="B41" s="438"/>
      <c r="C41" s="438"/>
      <c r="D41" s="438"/>
      <c r="E41" s="438"/>
      <c r="F41" s="438"/>
      <c r="G41" s="438"/>
      <c r="H41" s="438"/>
      <c r="I41" s="438"/>
      <c r="J41" s="439"/>
      <c r="K41" s="198">
        <f>K8+K35+K38+K33</f>
        <v>81346.5</v>
      </c>
      <c r="L41" s="198">
        <f>L8+L35+L38+L33</f>
        <v>0</v>
      </c>
      <c r="M41" s="198">
        <f>M8+M35+M38+M33</f>
        <v>81346.5</v>
      </c>
      <c r="N41" s="199">
        <f t="shared" ref="N41:W41" si="46">SUM(N9:N40)</f>
        <v>0</v>
      </c>
      <c r="O41" s="199">
        <f t="shared" si="46"/>
        <v>177358.37714285715</v>
      </c>
      <c r="P41" s="199">
        <f t="shared" si="46"/>
        <v>133339.08000000002</v>
      </c>
      <c r="Q41" s="199">
        <f t="shared" si="46"/>
        <v>44019.297142857133</v>
      </c>
      <c r="R41" s="199">
        <f t="shared" si="46"/>
        <v>1.8752</v>
      </c>
      <c r="S41" s="199">
        <f t="shared" si="46"/>
        <v>5079.1918384761893</v>
      </c>
      <c r="T41" s="199">
        <f t="shared" si="46"/>
        <v>9332.09</v>
      </c>
      <c r="U41" s="199">
        <f t="shared" si="46"/>
        <v>14411.28183847619</v>
      </c>
      <c r="V41" s="199">
        <f t="shared" si="46"/>
        <v>4285.2</v>
      </c>
      <c r="W41" s="199">
        <f t="shared" si="46"/>
        <v>4964.72</v>
      </c>
      <c r="X41" s="198">
        <f>X8+X35+X38+X33</f>
        <v>0</v>
      </c>
      <c r="Y41" s="198">
        <f>Y8+Y35+Y38+Y33</f>
        <v>4383</v>
      </c>
      <c r="Z41" s="198">
        <f>Z8+Z35+Z38+Z33</f>
        <v>0</v>
      </c>
      <c r="AA41" s="198">
        <f>AA8+AA35+AA38+AA33</f>
        <v>4383</v>
      </c>
      <c r="AB41" s="198">
        <f>AB8+AB35+AB38+AB33</f>
        <v>82279.290000000008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449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607</v>
      </c>
      <c r="Z50" s="202"/>
      <c r="AA50" s="201"/>
      <c r="AB50" s="202"/>
      <c r="AC50" s="202"/>
    </row>
    <row r="51" spans="4:41" s="4" customFormat="1" ht="20.25" x14ac:dyDescent="0.3">
      <c r="D51" s="201" t="s">
        <v>464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G1" zoomScale="70" zoomScaleNormal="70" workbookViewId="0">
      <selection activeCell="G16" sqref="G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40" t="s">
        <v>76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</row>
    <row r="2" spans="1:33" ht="19.5" x14ac:dyDescent="0.25">
      <c r="A2" s="440" t="s">
        <v>64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</row>
    <row r="3" spans="1:33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79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42" t="s">
        <v>1</v>
      </c>
      <c r="L5" s="443"/>
      <c r="M5" s="444"/>
      <c r="N5" s="116" t="s">
        <v>25</v>
      </c>
      <c r="O5" s="117"/>
      <c r="P5" s="445" t="s">
        <v>8</v>
      </c>
      <c r="Q5" s="446"/>
      <c r="R5" s="446"/>
      <c r="S5" s="446"/>
      <c r="T5" s="446"/>
      <c r="U5" s="447"/>
      <c r="V5" s="116" t="s">
        <v>29</v>
      </c>
      <c r="W5" s="116" t="s">
        <v>9</v>
      </c>
      <c r="X5" s="115" t="s">
        <v>52</v>
      </c>
      <c r="Y5" s="448" t="s">
        <v>2</v>
      </c>
      <c r="Z5" s="449"/>
      <c r="AA5" s="450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80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81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377</v>
      </c>
      <c r="E9" s="341" t="s">
        <v>378</v>
      </c>
      <c r="F9" s="341" t="s">
        <v>379</v>
      </c>
      <c r="G9" s="342">
        <v>45566</v>
      </c>
      <c r="H9" s="343" t="s">
        <v>628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382</v>
      </c>
      <c r="C10" s="273" t="s">
        <v>107</v>
      </c>
      <c r="D10" s="254" t="s">
        <v>380</v>
      </c>
      <c r="E10" s="135" t="s">
        <v>448</v>
      </c>
      <c r="F10" s="283" t="s">
        <v>381</v>
      </c>
      <c r="G10" s="260">
        <v>45566</v>
      </c>
      <c r="H10" s="261" t="s">
        <v>627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0</v>
      </c>
      <c r="M11" s="219">
        <f>SUM(M12:M12)</f>
        <v>4244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4244</v>
      </c>
      <c r="AC11" s="97"/>
      <c r="AG11" s="60"/>
    </row>
    <row r="12" spans="1:33" s="293" customFormat="1" ht="198" customHeight="1" x14ac:dyDescent="0.2">
      <c r="A12" s="346"/>
      <c r="B12" s="273" t="s">
        <v>580</v>
      </c>
      <c r="C12" s="273" t="s">
        <v>107</v>
      </c>
      <c r="D12" s="254" t="s">
        <v>581</v>
      </c>
      <c r="E12" s="135" t="s">
        <v>582</v>
      </c>
      <c r="F12" s="135" t="s">
        <v>583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0</v>
      </c>
      <c r="M12" s="266">
        <f>SUM(K12:L12)</f>
        <v>4244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4244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552</v>
      </c>
      <c r="C14" s="273" t="s">
        <v>107</v>
      </c>
      <c r="D14" s="254" t="s">
        <v>551</v>
      </c>
      <c r="E14" s="135" t="s">
        <v>553</v>
      </c>
      <c r="F14" s="135" t="s">
        <v>554</v>
      </c>
      <c r="G14" s="157">
        <v>45778</v>
      </c>
      <c r="H14" s="276" t="s">
        <v>550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639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40" t="s">
        <v>76</v>
      </c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G18" s="66"/>
    </row>
    <row r="19" spans="1:33" s="52" customFormat="1" ht="36.75" customHeight="1" x14ac:dyDescent="0.25">
      <c r="A19" s="153"/>
      <c r="B19" s="440" t="s">
        <v>64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G19" s="66"/>
    </row>
    <row r="20" spans="1:33" s="52" customFormat="1" ht="31.5" customHeight="1" x14ac:dyDescent="0.25">
      <c r="A20" s="153"/>
      <c r="B20" s="441" t="str">
        <f>PRESIDENCIA!A3</f>
        <v>SUELDO  DEL 01 AL 15 DE MARZO DE 2026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597</v>
      </c>
      <c r="C22" s="273" t="s">
        <v>107</v>
      </c>
      <c r="D22" s="280" t="s">
        <v>598</v>
      </c>
      <c r="E22" s="281" t="s">
        <v>599</v>
      </c>
      <c r="F22" s="281" t="s">
        <v>600</v>
      </c>
      <c r="G22" s="321">
        <v>45945</v>
      </c>
      <c r="H22" s="261" t="s">
        <v>376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629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630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397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398</v>
      </c>
      <c r="C27" s="273" t="s">
        <v>107</v>
      </c>
      <c r="D27" s="258" t="s">
        <v>399</v>
      </c>
      <c r="E27" s="259" t="s">
        <v>400</v>
      </c>
      <c r="F27" s="259" t="s">
        <v>401</v>
      </c>
      <c r="G27" s="260">
        <v>45566</v>
      </c>
      <c r="H27" s="261" t="s">
        <v>631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389</v>
      </c>
      <c r="C29" s="273" t="s">
        <v>107</v>
      </c>
      <c r="D29" s="258" t="s">
        <v>386</v>
      </c>
      <c r="E29" s="259" t="s">
        <v>387</v>
      </c>
      <c r="F29" s="259" t="s">
        <v>388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40" t="s">
        <v>76</v>
      </c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G31" s="66"/>
    </row>
    <row r="32" spans="1:33" s="52" customFormat="1" ht="27" customHeight="1" x14ac:dyDescent="0.25">
      <c r="A32" s="153"/>
      <c r="B32" s="440" t="s">
        <v>64</v>
      </c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G32" s="66"/>
    </row>
    <row r="33" spans="1:33" s="52" customFormat="1" ht="32.25" customHeight="1" x14ac:dyDescent="0.25">
      <c r="A33" s="153"/>
      <c r="B33" s="476" t="str">
        <f>PRESIDENCIA!A3</f>
        <v>SUELDO  DEL 01 AL 15 DE MARZO DE 2026</v>
      </c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385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49"/>
    </row>
    <row r="37" spans="1:33" s="347" customFormat="1" ht="225" customHeight="1" x14ac:dyDescent="0.2">
      <c r="A37" s="348"/>
      <c r="B37" s="279" t="s">
        <v>391</v>
      </c>
      <c r="C37" s="273" t="s">
        <v>107</v>
      </c>
      <c r="D37" s="258" t="s">
        <v>390</v>
      </c>
      <c r="E37" s="281" t="s">
        <v>392</v>
      </c>
      <c r="F37" s="281" t="s">
        <v>393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514</v>
      </c>
      <c r="C38" s="273" t="s">
        <v>107</v>
      </c>
      <c r="D38" s="258" t="s">
        <v>516</v>
      </c>
      <c r="E38" s="281" t="s">
        <v>517</v>
      </c>
      <c r="F38" s="281" t="s">
        <v>518</v>
      </c>
      <c r="G38" s="321">
        <v>45732</v>
      </c>
      <c r="H38" s="276" t="s">
        <v>601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49"/>
    </row>
    <row r="39" spans="1:33" s="347" customFormat="1" ht="225" customHeight="1" x14ac:dyDescent="0.2">
      <c r="A39" s="348"/>
      <c r="B39" s="279" t="s">
        <v>515</v>
      </c>
      <c r="C39" s="273" t="s">
        <v>107</v>
      </c>
      <c r="D39" s="258" t="s">
        <v>519</v>
      </c>
      <c r="E39" s="281" t="s">
        <v>520</v>
      </c>
      <c r="F39" s="281" t="s">
        <v>521</v>
      </c>
      <c r="G39" s="321">
        <v>45732</v>
      </c>
      <c r="H39" s="276" t="s">
        <v>571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49"/>
    </row>
    <row r="40" spans="1:33" s="347" customFormat="1" ht="225" customHeight="1" x14ac:dyDescent="0.2">
      <c r="A40" s="395"/>
      <c r="B40" s="279" t="s">
        <v>526</v>
      </c>
      <c r="C40" s="273" t="s">
        <v>447</v>
      </c>
      <c r="D40" s="258" t="s">
        <v>527</v>
      </c>
      <c r="E40" s="281" t="s">
        <v>528</v>
      </c>
      <c r="F40" s="281" t="s">
        <v>529</v>
      </c>
      <c r="G40" s="321">
        <v>45732</v>
      </c>
      <c r="H40" s="276" t="s">
        <v>571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49"/>
    </row>
    <row r="41" spans="1:33" s="347" customFormat="1" ht="225" customHeight="1" x14ac:dyDescent="0.2">
      <c r="A41" s="395"/>
      <c r="B41" s="279" t="s">
        <v>522</v>
      </c>
      <c r="C41" s="273" t="s">
        <v>447</v>
      </c>
      <c r="D41" s="258" t="s">
        <v>523</v>
      </c>
      <c r="E41" s="281" t="s">
        <v>524</v>
      </c>
      <c r="F41" s="281" t="s">
        <v>525</v>
      </c>
      <c r="G41" s="321">
        <v>45732</v>
      </c>
      <c r="H41" s="276" t="s">
        <v>571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49"/>
    </row>
    <row r="42" spans="1:33" s="347" customFormat="1" ht="111" customHeight="1" x14ac:dyDescent="0.25">
      <c r="A42" s="395"/>
      <c r="B42" s="440" t="s">
        <v>76</v>
      </c>
      <c r="C42" s="440"/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</row>
    <row r="43" spans="1:33" s="347" customFormat="1" ht="30.75" customHeight="1" x14ac:dyDescent="0.25">
      <c r="A43" s="395"/>
      <c r="B43" s="440" t="s">
        <v>64</v>
      </c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</row>
    <row r="44" spans="1:33" s="347" customFormat="1" ht="42" customHeight="1" x14ac:dyDescent="0.2">
      <c r="A44" s="395"/>
      <c r="B44" s="478" t="str">
        <f>PRESIDENCIA!A3</f>
        <v>SUELDO  DEL 01 AL 15 DE MARZO DE 2026</v>
      </c>
      <c r="C44" s="478"/>
      <c r="D44" s="478"/>
      <c r="E44" s="478"/>
      <c r="F44" s="478"/>
      <c r="G44" s="478"/>
      <c r="H44" s="478"/>
      <c r="I44" s="478"/>
      <c r="J44" s="478"/>
      <c r="K44" s="478"/>
      <c r="L44" s="478"/>
      <c r="M44" s="478"/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8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530</v>
      </c>
      <c r="C46" s="273" t="s">
        <v>447</v>
      </c>
      <c r="D46" s="258" t="s">
        <v>533</v>
      </c>
      <c r="E46" s="281" t="s">
        <v>534</v>
      </c>
      <c r="F46" s="281" t="s">
        <v>535</v>
      </c>
      <c r="G46" s="321">
        <v>45732</v>
      </c>
      <c r="H46" s="276" t="s">
        <v>571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49"/>
    </row>
    <row r="47" spans="1:33" s="347" customFormat="1" ht="164.25" customHeight="1" x14ac:dyDescent="0.2">
      <c r="A47" s="348"/>
      <c r="B47" s="279" t="s">
        <v>531</v>
      </c>
      <c r="C47" s="273" t="s">
        <v>447</v>
      </c>
      <c r="D47" s="258" t="s">
        <v>536</v>
      </c>
      <c r="E47" s="281" t="s">
        <v>537</v>
      </c>
      <c r="F47" s="281" t="s">
        <v>538</v>
      </c>
      <c r="G47" s="321">
        <v>45732</v>
      </c>
      <c r="H47" s="276" t="s">
        <v>571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49"/>
    </row>
    <row r="48" spans="1:33" s="347" customFormat="1" ht="164.25" customHeight="1" x14ac:dyDescent="0.2">
      <c r="A48" s="348"/>
      <c r="B48" s="279" t="s">
        <v>532</v>
      </c>
      <c r="C48" s="273" t="s">
        <v>447</v>
      </c>
      <c r="D48" s="258" t="s">
        <v>539</v>
      </c>
      <c r="E48" s="281" t="s">
        <v>540</v>
      </c>
      <c r="F48" s="281" t="s">
        <v>541</v>
      </c>
      <c r="G48" s="321">
        <v>45732</v>
      </c>
      <c r="H48" s="276" t="s">
        <v>571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49"/>
    </row>
    <row r="49" spans="1:29" s="347" customFormat="1" ht="164.25" customHeight="1" x14ac:dyDescent="0.2">
      <c r="A49" s="348"/>
      <c r="B49" s="279" t="s">
        <v>542</v>
      </c>
      <c r="C49" s="273" t="s">
        <v>447</v>
      </c>
      <c r="D49" s="258" t="s">
        <v>543</v>
      </c>
      <c r="E49" s="281" t="s">
        <v>544</v>
      </c>
      <c r="F49" s="281" t="s">
        <v>545</v>
      </c>
      <c r="G49" s="321">
        <v>45732</v>
      </c>
      <c r="H49" s="276" t="s">
        <v>571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571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49"/>
    </row>
    <row r="51" spans="1:29" s="347" customFormat="1" ht="164.25" customHeight="1" x14ac:dyDescent="0.2">
      <c r="A51" s="348"/>
      <c r="B51" s="273" t="s">
        <v>567</v>
      </c>
      <c r="C51" s="273" t="s">
        <v>107</v>
      </c>
      <c r="D51" s="254" t="s">
        <v>568</v>
      </c>
      <c r="E51" s="135" t="s">
        <v>569</v>
      </c>
      <c r="F51" s="135" t="s">
        <v>570</v>
      </c>
      <c r="G51" s="157">
        <v>45870</v>
      </c>
      <c r="H51" s="276" t="s">
        <v>571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77" t="s">
        <v>44</v>
      </c>
      <c r="B53" s="477"/>
      <c r="C53" s="477"/>
      <c r="D53" s="477"/>
      <c r="E53" s="477"/>
      <c r="F53" s="477"/>
      <c r="G53" s="477"/>
      <c r="H53" s="477"/>
      <c r="I53" s="477"/>
      <c r="J53" s="477"/>
      <c r="K53" s="225">
        <f>K8+K11+K13+K23+K26+K28+K35</f>
        <v>146614</v>
      </c>
      <c r="L53" s="225">
        <f>L8+L11+L13+L23+L26+L28+L35</f>
        <v>0</v>
      </c>
      <c r="M53" s="225">
        <f>M8+M11+M13+M23+M26+M28+M35</f>
        <v>146614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12310.44</v>
      </c>
      <c r="Z53" s="225">
        <f>Z8+Z11+Z13+Z23+Z26+Z28+Z35</f>
        <v>0</v>
      </c>
      <c r="AA53" s="225">
        <f>AA8+AA11+AA13+AA23+AA26+AA28+AA35</f>
        <v>12310.44</v>
      </c>
      <c r="AB53" s="225">
        <f>AB8+AB11+AB13+AB23+AB26+AB28+AB35</f>
        <v>145202.54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449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607</v>
      </c>
      <c r="Z72" s="108"/>
      <c r="AA72" s="108"/>
      <c r="AB72" s="108"/>
    </row>
    <row r="73" spans="4:39" s="52" customFormat="1" ht="18" x14ac:dyDescent="0.25">
      <c r="D73" s="203" t="s">
        <v>464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70" zoomScaleNormal="70" workbookViewId="0">
      <selection activeCell="AC11" sqref="AC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85546875" bestFit="1" customWidth="1"/>
    <col min="10" max="10" width="11.85546875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29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29" ht="19.5" x14ac:dyDescent="0.25">
      <c r="A3" s="441" t="str">
        <f>PRESIDENCIA!A3</f>
        <v>SUELDO  DEL 01 AL 15 DE MARZO DE 2026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61" t="s">
        <v>1</v>
      </c>
      <c r="L6" s="462"/>
      <c r="M6" s="463"/>
      <c r="N6" s="50" t="s">
        <v>25</v>
      </c>
      <c r="O6" s="51"/>
      <c r="P6" s="464" t="s">
        <v>8</v>
      </c>
      <c r="Q6" s="465"/>
      <c r="R6" s="465"/>
      <c r="S6" s="465"/>
      <c r="T6" s="465"/>
      <c r="U6" s="466"/>
      <c r="V6" s="50" t="s">
        <v>29</v>
      </c>
      <c r="W6" s="50" t="s">
        <v>9</v>
      </c>
      <c r="X6" s="49" t="s">
        <v>52</v>
      </c>
      <c r="Y6" s="467" t="s">
        <v>2</v>
      </c>
      <c r="Z6" s="468"/>
      <c r="AA6" s="469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82" t="s">
        <v>102</v>
      </c>
      <c r="C9" s="483"/>
      <c r="D9" s="484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603</v>
      </c>
      <c r="C10" s="273" t="s">
        <v>107</v>
      </c>
      <c r="D10" s="258" t="s">
        <v>604</v>
      </c>
      <c r="E10" s="259" t="s">
        <v>605</v>
      </c>
      <c r="F10" s="259" t="s">
        <v>606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645</v>
      </c>
      <c r="C11" s="273" t="s">
        <v>107</v>
      </c>
      <c r="D11" s="258" t="s">
        <v>641</v>
      </c>
      <c r="E11" s="259" t="s">
        <v>643</v>
      </c>
      <c r="F11" s="259" t="s">
        <v>642</v>
      </c>
      <c r="G11" s="350">
        <v>46092</v>
      </c>
      <c r="H11" s="276" t="s">
        <v>644</v>
      </c>
      <c r="I11" s="262">
        <v>5</v>
      </c>
      <c r="J11" s="263">
        <v>915.33299999999997</v>
      </c>
      <c r="K11" s="264">
        <f>I11*J11</f>
        <v>4576.665</v>
      </c>
      <c r="L11" s="265">
        <v>0</v>
      </c>
      <c r="M11" s="266">
        <f>K11</f>
        <v>4576.665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666.99</v>
      </c>
      <c r="X11" s="266">
        <f>-IF(W11&gt;0,0,0)</f>
        <v>0</v>
      </c>
      <c r="Y11" s="266">
        <f>IF(K11/15&lt;=SMG,0,IF(W11&lt;0,0,W11))</f>
        <v>0</v>
      </c>
      <c r="Z11" s="267">
        <v>0</v>
      </c>
      <c r="AA11" s="266">
        <f>SUM(Y11:Z11)</f>
        <v>0</v>
      </c>
      <c r="AB11" s="266">
        <f>M11+X11-AA11</f>
        <v>4576.665</v>
      </c>
      <c r="AC11" s="323"/>
    </row>
    <row r="12" spans="1:29" s="324" customFormat="1" ht="216.75" customHeight="1" x14ac:dyDescent="0.2">
      <c r="A12" s="255" t="s">
        <v>83</v>
      </c>
      <c r="B12" s="256" t="s">
        <v>256</v>
      </c>
      <c r="C12" s="257" t="s">
        <v>107</v>
      </c>
      <c r="D12" s="258" t="s">
        <v>257</v>
      </c>
      <c r="E12" s="259" t="s">
        <v>255</v>
      </c>
      <c r="F12" s="283" t="s">
        <v>258</v>
      </c>
      <c r="G12" s="284">
        <v>44991</v>
      </c>
      <c r="H12" s="276" t="s">
        <v>634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37" t="s">
        <v>44</v>
      </c>
      <c r="B14" s="438"/>
      <c r="C14" s="438"/>
      <c r="D14" s="438"/>
      <c r="E14" s="438"/>
      <c r="F14" s="438"/>
      <c r="G14" s="438"/>
      <c r="H14" s="438"/>
      <c r="I14" s="438"/>
      <c r="J14" s="439"/>
      <c r="K14" s="198">
        <f t="shared" ref="K14:AA14" si="0">SUM(K10:K13)</f>
        <v>32449.665000000001</v>
      </c>
      <c r="L14" s="198">
        <f t="shared" si="0"/>
        <v>0</v>
      </c>
      <c r="M14" s="198">
        <f t="shared" si="0"/>
        <v>32449.665000000001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4872.21</v>
      </c>
      <c r="X14" s="198">
        <f t="shared" si="0"/>
        <v>0</v>
      </c>
      <c r="Y14" s="198">
        <f t="shared" si="0"/>
        <v>4205.22</v>
      </c>
      <c r="Z14" s="198">
        <f t="shared" si="0"/>
        <v>0</v>
      </c>
      <c r="AA14" s="198">
        <f t="shared" si="0"/>
        <v>4205.22</v>
      </c>
      <c r="AB14" s="198">
        <f>SUM(AB10:AB12)</f>
        <v>28244.445000000003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449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614</v>
      </c>
      <c r="Z24" s="203"/>
      <c r="AA24" s="203"/>
      <c r="AB24" s="203"/>
      <c r="AC24" s="108"/>
    </row>
    <row r="25" spans="4:41" ht="18" x14ac:dyDescent="0.25">
      <c r="D25" s="203" t="s">
        <v>464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231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51" t="s">
        <v>76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</row>
    <row r="2" spans="1:30" ht="18" x14ac:dyDescent="0.25">
      <c r="A2" s="451" t="s">
        <v>64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</row>
    <row r="3" spans="1:30" ht="18" x14ac:dyDescent="0.25">
      <c r="A3" s="485" t="str">
        <f>PRESIDENCIA!A3</f>
        <v>SUELDO  DEL 01 AL 15 DE MARZO DE 2026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52" t="s">
        <v>1</v>
      </c>
      <c r="L5" s="453"/>
      <c r="M5" s="454"/>
      <c r="N5" s="24" t="s">
        <v>25</v>
      </c>
      <c r="O5" s="25"/>
      <c r="P5" s="455" t="s">
        <v>8</v>
      </c>
      <c r="Q5" s="456"/>
      <c r="R5" s="456"/>
      <c r="S5" s="456"/>
      <c r="T5" s="456"/>
      <c r="U5" s="457"/>
      <c r="V5" s="24" t="s">
        <v>29</v>
      </c>
      <c r="W5" s="24" t="s">
        <v>9</v>
      </c>
      <c r="X5" s="23" t="s">
        <v>52</v>
      </c>
      <c r="Y5" s="458" t="s">
        <v>2</v>
      </c>
      <c r="Z5" s="459"/>
      <c r="AA5" s="460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434</v>
      </c>
      <c r="C9" s="273" t="s">
        <v>107</v>
      </c>
      <c r="D9" s="258" t="s">
        <v>408</v>
      </c>
      <c r="E9" s="259" t="s">
        <v>435</v>
      </c>
      <c r="F9" s="351" t="s">
        <v>436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432</v>
      </c>
      <c r="C10" s="273" t="s">
        <v>107</v>
      </c>
      <c r="D10" s="258" t="s">
        <v>409</v>
      </c>
      <c r="E10" s="259" t="s">
        <v>414</v>
      </c>
      <c r="F10" s="259" t="s">
        <v>415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433</v>
      </c>
      <c r="C11" s="273" t="s">
        <v>107</v>
      </c>
      <c r="D11" s="258" t="s">
        <v>430</v>
      </c>
      <c r="E11" s="259" t="s">
        <v>445</v>
      </c>
      <c r="F11" s="259" t="s">
        <v>439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431</v>
      </c>
      <c r="C12" s="273" t="s">
        <v>107</v>
      </c>
      <c r="D12" s="258" t="s">
        <v>410</v>
      </c>
      <c r="E12" s="259" t="s">
        <v>412</v>
      </c>
      <c r="F12" s="259" t="s">
        <v>413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437</v>
      </c>
      <c r="C13" s="273" t="s">
        <v>107</v>
      </c>
      <c r="D13" s="280" t="s">
        <v>411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51" t="s">
        <v>76</v>
      </c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</row>
    <row r="16" spans="1:30" ht="23.25" customHeight="1" x14ac:dyDescent="0.25">
      <c r="A16" s="143"/>
      <c r="B16" s="451" t="s">
        <v>64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</row>
    <row r="17" spans="1:31" ht="23.25" customHeight="1" x14ac:dyDescent="0.25">
      <c r="A17" s="143"/>
      <c r="B17" s="441" t="str">
        <f>PRESIDENCIA!A3</f>
        <v>SUELDO  DEL 01 AL 15 DE MARZO DE 2026</v>
      </c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420</v>
      </c>
      <c r="C19" s="273" t="s">
        <v>107</v>
      </c>
      <c r="D19" s="258" t="s">
        <v>421</v>
      </c>
      <c r="E19" s="259" t="s">
        <v>428</v>
      </c>
      <c r="F19" s="259" t="s">
        <v>429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417</v>
      </c>
      <c r="C20" s="273" t="s">
        <v>107</v>
      </c>
      <c r="D20" s="258" t="s">
        <v>416</v>
      </c>
      <c r="E20" s="259" t="s">
        <v>418</v>
      </c>
      <c r="F20" s="259" t="s">
        <v>419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440</v>
      </c>
      <c r="C21" s="273" t="s">
        <v>107</v>
      </c>
      <c r="D21" s="258" t="s">
        <v>426</v>
      </c>
      <c r="E21" s="259" t="s">
        <v>473</v>
      </c>
      <c r="F21" s="259" t="s">
        <v>442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441</v>
      </c>
      <c r="C22" s="273" t="s">
        <v>107</v>
      </c>
      <c r="D22" s="258" t="s">
        <v>427</v>
      </c>
      <c r="E22" s="259" t="s">
        <v>443</v>
      </c>
      <c r="F22" s="259" t="s">
        <v>444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37" t="s">
        <v>44</v>
      </c>
      <c r="B24" s="438"/>
      <c r="C24" s="438"/>
      <c r="D24" s="438"/>
      <c r="E24" s="438"/>
      <c r="F24" s="438"/>
      <c r="G24" s="438"/>
      <c r="H24" s="438"/>
      <c r="I24" s="438"/>
      <c r="J24" s="439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607</v>
      </c>
      <c r="Z39" s="203" t="s">
        <v>608</v>
      </c>
      <c r="AA39" s="91"/>
      <c r="AB39" s="91"/>
    </row>
    <row r="40" spans="4:42" ht="15" x14ac:dyDescent="0.25">
      <c r="D40" s="94" t="s">
        <v>464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2026-03-13T19:42:20Z</cp:lastPrinted>
  <dcterms:created xsi:type="dcterms:W3CDTF">2000-05-05T04:08:27Z</dcterms:created>
  <dcterms:modified xsi:type="dcterms:W3CDTF">2026-03-13T19:51:35Z</dcterms:modified>
</cp:coreProperties>
</file>