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F4199EAF-696E-4081-B7F2-AB29D2C5358A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'!$1:$27</definedName>
    <definedName name="_xlnm.Print_Area" localSheetId="8">SINDICO!$1:$30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35" l="1"/>
  <c r="O48" i="135" s="1"/>
  <c r="M48" i="135"/>
  <c r="J48" i="135"/>
  <c r="N34" i="120"/>
  <c r="O34" i="120" s="1"/>
  <c r="M34" i="120"/>
  <c r="J34" i="120"/>
  <c r="N32" i="121"/>
  <c r="O32" i="121" s="1"/>
  <c r="M32" i="121"/>
  <c r="M31" i="121" s="1"/>
  <c r="J32" i="121"/>
  <c r="Z31" i="121"/>
  <c r="L31" i="121"/>
  <c r="K31" i="121"/>
  <c r="N47" i="135"/>
  <c r="O47" i="135" s="1"/>
  <c r="M47" i="135"/>
  <c r="J47" i="135"/>
  <c r="N46" i="135"/>
  <c r="O46" i="135" s="1"/>
  <c r="M46" i="135"/>
  <c r="J46" i="135"/>
  <c r="N45" i="135"/>
  <c r="O45" i="135" s="1"/>
  <c r="M45" i="135"/>
  <c r="J45" i="135"/>
  <c r="Y15" i="123"/>
  <c r="AA15" i="123" s="1"/>
  <c r="N15" i="123"/>
  <c r="O15" i="123" s="1"/>
  <c r="M15" i="123"/>
  <c r="J15" i="123"/>
  <c r="N33" i="120"/>
  <c r="O33" i="120" s="1"/>
  <c r="M33" i="120"/>
  <c r="J33" i="120"/>
  <c r="V48" i="135" l="1"/>
  <c r="T48" i="135"/>
  <c r="R48" i="135"/>
  <c r="P48" i="135"/>
  <c r="Q48" i="135" s="1"/>
  <c r="S48" i="135" s="1"/>
  <c r="V34" i="120"/>
  <c r="T34" i="120"/>
  <c r="R34" i="120"/>
  <c r="P34" i="120"/>
  <c r="Q34" i="120" s="1"/>
  <c r="V32" i="121"/>
  <c r="T32" i="121"/>
  <c r="R32" i="121"/>
  <c r="P32" i="121"/>
  <c r="Q32" i="121" s="1"/>
  <c r="V47" i="135"/>
  <c r="T47" i="135"/>
  <c r="R47" i="135"/>
  <c r="P47" i="135"/>
  <c r="Q47" i="135" s="1"/>
  <c r="V46" i="135"/>
  <c r="T46" i="135"/>
  <c r="R46" i="135"/>
  <c r="P46" i="135"/>
  <c r="Q46" i="135" s="1"/>
  <c r="S46" i="135" s="1"/>
  <c r="U46" i="135" s="1"/>
  <c r="W46" i="135" s="1"/>
  <c r="T45" i="135"/>
  <c r="R45" i="135"/>
  <c r="P45" i="135"/>
  <c r="Q45" i="135" s="1"/>
  <c r="S45" i="135" s="1"/>
  <c r="U45" i="135" s="1"/>
  <c r="W45" i="135" s="1"/>
  <c r="V45" i="135"/>
  <c r="V15" i="123"/>
  <c r="T15" i="123"/>
  <c r="R15" i="123"/>
  <c r="P15" i="123"/>
  <c r="Q15" i="123" s="1"/>
  <c r="S15" i="123" s="1"/>
  <c r="U15" i="123" s="1"/>
  <c r="W15" i="123" s="1"/>
  <c r="X15" i="123" s="1"/>
  <c r="AB15" i="123" s="1"/>
  <c r="V33" i="120"/>
  <c r="T33" i="120"/>
  <c r="R33" i="120"/>
  <c r="P33" i="120"/>
  <c r="Q33" i="120" s="1"/>
  <c r="N39" i="120"/>
  <c r="O39" i="120" s="1"/>
  <c r="M39" i="120"/>
  <c r="J39" i="120"/>
  <c r="N38" i="120"/>
  <c r="O38" i="120" s="1"/>
  <c r="M38" i="120"/>
  <c r="J38" i="120"/>
  <c r="N37" i="120"/>
  <c r="O37" i="120" s="1"/>
  <c r="M37" i="120"/>
  <c r="J37" i="120"/>
  <c r="N36" i="120"/>
  <c r="O36" i="120" s="1"/>
  <c r="M36" i="120"/>
  <c r="J36" i="120"/>
  <c r="N35" i="120"/>
  <c r="O35" i="120" s="1"/>
  <c r="M35" i="120"/>
  <c r="J35" i="120"/>
  <c r="N26" i="120"/>
  <c r="O26" i="120" s="1"/>
  <c r="M26" i="120"/>
  <c r="J26" i="120"/>
  <c r="N25" i="120"/>
  <c r="O25" i="120" s="1"/>
  <c r="T25" i="120" s="1"/>
  <c r="M25" i="120"/>
  <c r="J25" i="120"/>
  <c r="N24" i="120"/>
  <c r="O24" i="120" s="1"/>
  <c r="M24" i="120"/>
  <c r="J24" i="120"/>
  <c r="N23" i="120"/>
  <c r="O23" i="120" s="1"/>
  <c r="M23" i="120"/>
  <c r="J23" i="120"/>
  <c r="N22" i="120"/>
  <c r="O22" i="120" s="1"/>
  <c r="M22" i="120"/>
  <c r="J22" i="120"/>
  <c r="N21" i="120"/>
  <c r="O21" i="120" s="1"/>
  <c r="M21" i="120"/>
  <c r="J21" i="120"/>
  <c r="N14" i="120"/>
  <c r="O14" i="120" s="1"/>
  <c r="M14" i="120"/>
  <c r="J14" i="120"/>
  <c r="N13" i="120"/>
  <c r="O13" i="120" s="1"/>
  <c r="M13" i="120"/>
  <c r="J13" i="120"/>
  <c r="AB12" i="134"/>
  <c r="AA12" i="134"/>
  <c r="Z12" i="134"/>
  <c r="Y12" i="134"/>
  <c r="X12" i="134"/>
  <c r="M12" i="134"/>
  <c r="L12" i="134"/>
  <c r="K12" i="134"/>
  <c r="U48" i="135" l="1"/>
  <c r="W48" i="135" s="1"/>
  <c r="S47" i="135"/>
  <c r="S34" i="120"/>
  <c r="U34" i="120" s="1"/>
  <c r="W34" i="120" s="1"/>
  <c r="X48" i="135"/>
  <c r="Y48" i="135"/>
  <c r="AA48" i="135" s="1"/>
  <c r="U47" i="135"/>
  <c r="W47" i="135" s="1"/>
  <c r="S33" i="120"/>
  <c r="U33" i="120"/>
  <c r="W33" i="120" s="1"/>
  <c r="S32" i="121"/>
  <c r="U32" i="121" s="1"/>
  <c r="W32" i="121" s="1"/>
  <c r="Y32" i="121" s="1"/>
  <c r="Y47" i="135"/>
  <c r="AA47" i="135" s="1"/>
  <c r="X47" i="135"/>
  <c r="Y46" i="135"/>
  <c r="AA46" i="135" s="1"/>
  <c r="X46" i="135"/>
  <c r="X45" i="135"/>
  <c r="Y45" i="135"/>
  <c r="AA45" i="135" s="1"/>
  <c r="V35" i="120"/>
  <c r="R35" i="120"/>
  <c r="P35" i="120"/>
  <c r="Q35" i="120" s="1"/>
  <c r="T35" i="120"/>
  <c r="R36" i="120"/>
  <c r="P36" i="120"/>
  <c r="Q36" i="120" s="1"/>
  <c r="T36" i="120"/>
  <c r="V36" i="120"/>
  <c r="T37" i="120"/>
  <c r="R37" i="120"/>
  <c r="V37" i="120"/>
  <c r="P37" i="120"/>
  <c r="Q37" i="120" s="1"/>
  <c r="S37" i="120" s="1"/>
  <c r="U37" i="120" s="1"/>
  <c r="V38" i="120"/>
  <c r="T38" i="120"/>
  <c r="R38" i="120"/>
  <c r="P38" i="120"/>
  <c r="Q38" i="120" s="1"/>
  <c r="V39" i="120"/>
  <c r="T39" i="120"/>
  <c r="R39" i="120"/>
  <c r="P39" i="120"/>
  <c r="Q39" i="120" s="1"/>
  <c r="V21" i="120"/>
  <c r="T21" i="120"/>
  <c r="R21" i="120"/>
  <c r="P21" i="120"/>
  <c r="Q21" i="120" s="1"/>
  <c r="S21" i="120" s="1"/>
  <c r="V22" i="120"/>
  <c r="T22" i="120"/>
  <c r="R22" i="120"/>
  <c r="P22" i="120"/>
  <c r="Q22" i="120" s="1"/>
  <c r="S22" i="120" s="1"/>
  <c r="R23" i="120"/>
  <c r="V23" i="120"/>
  <c r="T23" i="120"/>
  <c r="P23" i="120"/>
  <c r="Q23" i="120" s="1"/>
  <c r="S23" i="120" s="1"/>
  <c r="U23" i="120" s="1"/>
  <c r="R24" i="120"/>
  <c r="P24" i="120"/>
  <c r="V24" i="120"/>
  <c r="T24" i="120"/>
  <c r="Q24" i="120"/>
  <c r="P26" i="120"/>
  <c r="Q26" i="120" s="1"/>
  <c r="V26" i="120"/>
  <c r="T26" i="120"/>
  <c r="R26" i="120"/>
  <c r="R25" i="120"/>
  <c r="V25" i="120"/>
  <c r="P25" i="120"/>
  <c r="Q25" i="120" s="1"/>
  <c r="V14" i="120"/>
  <c r="T14" i="120"/>
  <c r="R14" i="120"/>
  <c r="P14" i="120"/>
  <c r="Q14" i="120" s="1"/>
  <c r="V13" i="120"/>
  <c r="T13" i="120"/>
  <c r="R13" i="120"/>
  <c r="P13" i="120"/>
  <c r="Q13" i="120" s="1"/>
  <c r="N13" i="133"/>
  <c r="O13" i="133" s="1"/>
  <c r="M13" i="133"/>
  <c r="J13" i="133"/>
  <c r="Y17" i="133"/>
  <c r="AA17" i="133" s="1"/>
  <c r="N17" i="133"/>
  <c r="O17" i="133" s="1"/>
  <c r="M17" i="133"/>
  <c r="N22" i="119"/>
  <c r="O22" i="119" s="1"/>
  <c r="M22" i="119"/>
  <c r="AB47" i="135" l="1"/>
  <c r="AB48" i="135"/>
  <c r="W23" i="120"/>
  <c r="Y23" i="120" s="1"/>
  <c r="AA23" i="120" s="1"/>
  <c r="U22" i="120"/>
  <c r="W22" i="120" s="1"/>
  <c r="Y22" i="120" s="1"/>
  <c r="AA22" i="120" s="1"/>
  <c r="Y34" i="120"/>
  <c r="AA34" i="120" s="1"/>
  <c r="X34" i="120"/>
  <c r="AB46" i="135"/>
  <c r="X33" i="120"/>
  <c r="Y33" i="120"/>
  <c r="AA33" i="120" s="1"/>
  <c r="AB33" i="120" s="1"/>
  <c r="S24" i="120"/>
  <c r="U24" i="120" s="1"/>
  <c r="W24" i="120" s="1"/>
  <c r="Y24" i="120" s="1"/>
  <c r="AA24" i="120" s="1"/>
  <c r="S38" i="120"/>
  <c r="U38" i="120" s="1"/>
  <c r="W38" i="120" s="1"/>
  <c r="X38" i="120" s="1"/>
  <c r="S14" i="120"/>
  <c r="U14" i="120" s="1"/>
  <c r="S39" i="120"/>
  <c r="U39" i="120" s="1"/>
  <c r="W39" i="120" s="1"/>
  <c r="S26" i="120"/>
  <c r="U26" i="120" s="1"/>
  <c r="W26" i="120" s="1"/>
  <c r="Y26" i="120" s="1"/>
  <c r="AA26" i="120" s="1"/>
  <c r="X32" i="121"/>
  <c r="X31" i="121" s="1"/>
  <c r="AA32" i="121"/>
  <c r="AA31" i="121" s="1"/>
  <c r="Y31" i="121"/>
  <c r="AB45" i="135"/>
  <c r="S13" i="120"/>
  <c r="U13" i="120" s="1"/>
  <c r="W13" i="120" s="1"/>
  <c r="S36" i="120"/>
  <c r="U36" i="120" s="1"/>
  <c r="W36" i="120" s="1"/>
  <c r="U21" i="120"/>
  <c r="W21" i="120" s="1"/>
  <c r="Y21" i="120" s="1"/>
  <c r="AA21" i="120" s="1"/>
  <c r="W37" i="120"/>
  <c r="S35" i="120"/>
  <c r="U35" i="120" s="1"/>
  <c r="W35" i="120" s="1"/>
  <c r="Y35" i="120" s="1"/>
  <c r="AA35" i="120" s="1"/>
  <c r="W14" i="120"/>
  <c r="Y14" i="120" s="1"/>
  <c r="AA14" i="120" s="1"/>
  <c r="Y37" i="120"/>
  <c r="AA37" i="120" s="1"/>
  <c r="X37" i="120"/>
  <c r="Y39" i="120"/>
  <c r="AA39" i="120" s="1"/>
  <c r="X39" i="120"/>
  <c r="Y38" i="120"/>
  <c r="AA38" i="120" s="1"/>
  <c r="X23" i="120"/>
  <c r="S25" i="120"/>
  <c r="U25" i="120" s="1"/>
  <c r="W25" i="120" s="1"/>
  <c r="V13" i="133"/>
  <c r="T13" i="133"/>
  <c r="R13" i="133"/>
  <c r="P13" i="133"/>
  <c r="Q13" i="133" s="1"/>
  <c r="V17" i="133"/>
  <c r="T17" i="133"/>
  <c r="R17" i="133"/>
  <c r="P17" i="133"/>
  <c r="Q17" i="133" s="1"/>
  <c r="R22" i="119"/>
  <c r="V22" i="119"/>
  <c r="T22" i="119"/>
  <c r="P22" i="119"/>
  <c r="Q22" i="119" s="1"/>
  <c r="X22" i="120" l="1"/>
  <c r="AB22" i="120" s="1"/>
  <c r="X24" i="120"/>
  <c r="AB24" i="120" s="1"/>
  <c r="X35" i="120"/>
  <c r="AB35" i="120" s="1"/>
  <c r="AB34" i="120"/>
  <c r="S22" i="119"/>
  <c r="U22" i="119" s="1"/>
  <c r="W22" i="119" s="1"/>
  <c r="Y22" i="119" s="1"/>
  <c r="AA22" i="119" s="1"/>
  <c r="X13" i="120"/>
  <c r="Y13" i="120"/>
  <c r="AA13" i="120" s="1"/>
  <c r="AB13" i="120" s="1"/>
  <c r="X26" i="120"/>
  <c r="AB26" i="120" s="1"/>
  <c r="AB32" i="121"/>
  <c r="AB31" i="121" s="1"/>
  <c r="X21" i="120"/>
  <c r="AB21" i="120" s="1"/>
  <c r="X14" i="120"/>
  <c r="AB14" i="120" s="1"/>
  <c r="AB39" i="120"/>
  <c r="AB38" i="120"/>
  <c r="AB37" i="120"/>
  <c r="Y36" i="120"/>
  <c r="AA36" i="120" s="1"/>
  <c r="X36" i="120"/>
  <c r="Y25" i="120"/>
  <c r="AA25" i="120" s="1"/>
  <c r="X25" i="120"/>
  <c r="AB23" i="120"/>
  <c r="S17" i="133"/>
  <c r="S13" i="133"/>
  <c r="U13" i="133" s="1"/>
  <c r="W13" i="133" s="1"/>
  <c r="U17" i="133"/>
  <c r="W17" i="133" s="1"/>
  <c r="X17" i="133" s="1"/>
  <c r="AB17" i="133" s="1"/>
  <c r="Y13" i="133"/>
  <c r="AA13" i="133" s="1"/>
  <c r="X13" i="133"/>
  <c r="X22" i="119" l="1"/>
  <c r="AB25" i="120"/>
  <c r="AB36" i="120"/>
  <c r="AB13" i="133"/>
  <c r="AB22" i="119"/>
  <c r="AA21" i="119" l="1"/>
  <c r="M21" i="119"/>
  <c r="Z21" i="119"/>
  <c r="X21" i="119"/>
  <c r="L21" i="119"/>
  <c r="K21" i="119"/>
  <c r="N16" i="133"/>
  <c r="O16" i="133" s="1"/>
  <c r="M16" i="133"/>
  <c r="J16" i="133"/>
  <c r="Z8" i="121"/>
  <c r="L8" i="121"/>
  <c r="K8" i="121"/>
  <c r="N25" i="121"/>
  <c r="O25" i="121" s="1"/>
  <c r="M25" i="121"/>
  <c r="N24" i="121"/>
  <c r="O24" i="121" s="1"/>
  <c r="M24" i="121"/>
  <c r="J24" i="121"/>
  <c r="J25" i="121"/>
  <c r="N11" i="133"/>
  <c r="O11" i="133" s="1"/>
  <c r="M11" i="133"/>
  <c r="J11" i="133"/>
  <c r="N12" i="133"/>
  <c r="O12" i="133" s="1"/>
  <c r="M12" i="133"/>
  <c r="J12" i="133"/>
  <c r="J14" i="133"/>
  <c r="M14" i="133"/>
  <c r="N14" i="133"/>
  <c r="O14" i="133"/>
  <c r="R14" i="133" s="1"/>
  <c r="J15" i="133"/>
  <c r="M15" i="133"/>
  <c r="N15" i="133"/>
  <c r="O15" i="133" s="1"/>
  <c r="J17" i="133"/>
  <c r="N10" i="133"/>
  <c r="O10" i="133" s="1"/>
  <c r="N9" i="133"/>
  <c r="O9" i="133" s="1"/>
  <c r="J10" i="133"/>
  <c r="J9" i="133"/>
  <c r="N49" i="135"/>
  <c r="O49" i="135" s="1"/>
  <c r="N44" i="135"/>
  <c r="O44" i="135" s="1"/>
  <c r="N43" i="135"/>
  <c r="O43" i="135" s="1"/>
  <c r="N42" i="135"/>
  <c r="O42" i="135" s="1"/>
  <c r="N33" i="135"/>
  <c r="O33" i="135" s="1"/>
  <c r="N32" i="135"/>
  <c r="O32" i="135" s="1"/>
  <c r="N31" i="135"/>
  <c r="O31" i="135" s="1"/>
  <c r="N30" i="135"/>
  <c r="O30" i="135" s="1"/>
  <c r="N29" i="135"/>
  <c r="O29" i="135" s="1"/>
  <c r="N28" i="135"/>
  <c r="O28" i="135" s="1"/>
  <c r="N27" i="135"/>
  <c r="O27" i="135" s="1"/>
  <c r="N26" i="135"/>
  <c r="O26" i="135" s="1"/>
  <c r="N25" i="135"/>
  <c r="O25" i="135" s="1"/>
  <c r="N17" i="135"/>
  <c r="O17" i="135" s="1"/>
  <c r="N16" i="135"/>
  <c r="O16" i="135" s="1"/>
  <c r="N15" i="135"/>
  <c r="O15" i="135" s="1"/>
  <c r="N14" i="135"/>
  <c r="O14" i="135" s="1"/>
  <c r="N13" i="135"/>
  <c r="O13" i="135" s="1"/>
  <c r="N12" i="135"/>
  <c r="O12" i="135" s="1"/>
  <c r="N11" i="135"/>
  <c r="O11" i="135" s="1"/>
  <c r="N10" i="135"/>
  <c r="O10" i="135" s="1"/>
  <c r="N9" i="135"/>
  <c r="O9" i="135" s="1"/>
  <c r="J49" i="135"/>
  <c r="J44" i="135"/>
  <c r="J43" i="135"/>
  <c r="J42" i="135"/>
  <c r="J33" i="135"/>
  <c r="J32" i="135"/>
  <c r="J31" i="135"/>
  <c r="J30" i="135"/>
  <c r="J29" i="135"/>
  <c r="J28" i="135"/>
  <c r="J27" i="135"/>
  <c r="J26" i="135"/>
  <c r="J25" i="135"/>
  <c r="J17" i="135"/>
  <c r="J16" i="135"/>
  <c r="J15" i="135"/>
  <c r="J14" i="135"/>
  <c r="J13" i="135"/>
  <c r="J12" i="135"/>
  <c r="J11" i="135"/>
  <c r="J10" i="135"/>
  <c r="J9" i="135"/>
  <c r="J21" i="132"/>
  <c r="J20" i="132"/>
  <c r="J13" i="132"/>
  <c r="J12" i="132"/>
  <c r="J11" i="132"/>
  <c r="J10" i="132"/>
  <c r="J9" i="132"/>
  <c r="O21" i="132"/>
  <c r="V21" i="132" s="1"/>
  <c r="N21" i="132"/>
  <c r="O20" i="132"/>
  <c r="V20" i="132" s="1"/>
  <c r="N20" i="132"/>
  <c r="O13" i="132"/>
  <c r="V13" i="132" s="1"/>
  <c r="N13" i="132"/>
  <c r="V12" i="132"/>
  <c r="T12" i="132"/>
  <c r="R12" i="132"/>
  <c r="Q12" i="132"/>
  <c r="S12" i="132" s="1"/>
  <c r="U12" i="132" s="1"/>
  <c r="W12" i="132" s="1"/>
  <c r="P12" i="132"/>
  <c r="O12" i="132"/>
  <c r="N12" i="132"/>
  <c r="O11" i="132"/>
  <c r="V11" i="132" s="1"/>
  <c r="N11" i="132"/>
  <c r="N10" i="132"/>
  <c r="O10" i="132" s="1"/>
  <c r="N9" i="132"/>
  <c r="O9" i="132" s="1"/>
  <c r="I10" i="136"/>
  <c r="M10" i="136"/>
  <c r="N10" i="136" s="1"/>
  <c r="M9" i="136"/>
  <c r="N9" i="136" s="1"/>
  <c r="N23" i="131"/>
  <c r="O23" i="131" s="1"/>
  <c r="N22" i="131"/>
  <c r="O22" i="131" s="1"/>
  <c r="V22" i="131" s="1"/>
  <c r="N21" i="131"/>
  <c r="O21" i="131" s="1"/>
  <c r="V21" i="131" s="1"/>
  <c r="N20" i="131"/>
  <c r="O20" i="131" s="1"/>
  <c r="N13" i="131"/>
  <c r="O13" i="131" s="1"/>
  <c r="T13" i="131" s="1"/>
  <c r="N12" i="131"/>
  <c r="O12" i="131" s="1"/>
  <c r="N11" i="131"/>
  <c r="O11" i="131" s="1"/>
  <c r="N10" i="131"/>
  <c r="O10" i="131" s="1"/>
  <c r="V10" i="131" s="1"/>
  <c r="N9" i="131"/>
  <c r="O9" i="131" s="1"/>
  <c r="V10" i="118"/>
  <c r="O11" i="118"/>
  <c r="R11" i="118" s="1"/>
  <c r="O10" i="118"/>
  <c r="T10" i="118" s="1"/>
  <c r="J23" i="131"/>
  <c r="J22" i="131"/>
  <c r="J21" i="131"/>
  <c r="J20" i="131"/>
  <c r="J13" i="131"/>
  <c r="J12" i="131"/>
  <c r="J11" i="131"/>
  <c r="J10" i="131"/>
  <c r="J9" i="131"/>
  <c r="N12" i="118"/>
  <c r="O12" i="118" s="1"/>
  <c r="V11" i="118"/>
  <c r="T11" i="118"/>
  <c r="N11" i="118"/>
  <c r="N10" i="118"/>
  <c r="J12" i="118"/>
  <c r="J11" i="118"/>
  <c r="J10" i="118"/>
  <c r="N41" i="123"/>
  <c r="O41" i="123" s="1"/>
  <c r="N40" i="123"/>
  <c r="O40" i="123" s="1"/>
  <c r="N38" i="123"/>
  <c r="O38" i="123" s="1"/>
  <c r="N29" i="123"/>
  <c r="O29" i="123" s="1"/>
  <c r="N27" i="123"/>
  <c r="O27" i="123" s="1"/>
  <c r="N26" i="123"/>
  <c r="O26" i="123" s="1"/>
  <c r="N25" i="123"/>
  <c r="O25" i="123" s="1"/>
  <c r="V25" i="123" s="1"/>
  <c r="N23" i="123"/>
  <c r="O23" i="123" s="1"/>
  <c r="R23" i="123" s="1"/>
  <c r="N13" i="123"/>
  <c r="O13" i="123" s="1"/>
  <c r="N12" i="123"/>
  <c r="O12" i="123" s="1"/>
  <c r="N10" i="123"/>
  <c r="O10" i="123" s="1"/>
  <c r="T10" i="123" s="1"/>
  <c r="Y13" i="123"/>
  <c r="N9" i="123"/>
  <c r="O9" i="123" s="1"/>
  <c r="J41" i="123"/>
  <c r="J40" i="123"/>
  <c r="J38" i="123"/>
  <c r="J29" i="123"/>
  <c r="J27" i="123"/>
  <c r="J26" i="123"/>
  <c r="J25" i="123"/>
  <c r="J23" i="123"/>
  <c r="J13" i="123"/>
  <c r="J12" i="123"/>
  <c r="J10" i="123"/>
  <c r="J9" i="123"/>
  <c r="N37" i="121"/>
  <c r="O37" i="121" s="1"/>
  <c r="N35" i="121"/>
  <c r="O35" i="121" s="1"/>
  <c r="N34" i="121"/>
  <c r="O34" i="121" s="1"/>
  <c r="J37" i="121"/>
  <c r="J35" i="121"/>
  <c r="J34" i="121"/>
  <c r="J23" i="121"/>
  <c r="J22" i="121"/>
  <c r="J21" i="121"/>
  <c r="J20" i="121"/>
  <c r="N23" i="121"/>
  <c r="O23" i="121" s="1"/>
  <c r="N22" i="121"/>
  <c r="O22" i="121" s="1"/>
  <c r="N21" i="121"/>
  <c r="O21" i="121" s="1"/>
  <c r="N20" i="121"/>
  <c r="O20" i="121" s="1"/>
  <c r="N13" i="121"/>
  <c r="O13" i="121" s="1"/>
  <c r="N12" i="121"/>
  <c r="O12" i="121" s="1"/>
  <c r="V12" i="121" s="1"/>
  <c r="N11" i="121"/>
  <c r="O11" i="121" s="1"/>
  <c r="R11" i="121" s="1"/>
  <c r="N10" i="121"/>
  <c r="O10" i="121" s="1"/>
  <c r="N9" i="121"/>
  <c r="O9" i="121" s="1"/>
  <c r="J13" i="121"/>
  <c r="J12" i="121"/>
  <c r="J11" i="121"/>
  <c r="J10" i="121"/>
  <c r="J9" i="121"/>
  <c r="N12" i="120"/>
  <c r="O12" i="120" s="1"/>
  <c r="V12" i="120" s="1"/>
  <c r="N11" i="120"/>
  <c r="O11" i="120" s="1"/>
  <c r="N10" i="120"/>
  <c r="O10" i="120" s="1"/>
  <c r="N9" i="120"/>
  <c r="O9" i="120" s="1"/>
  <c r="J12" i="120"/>
  <c r="J11" i="120"/>
  <c r="J10" i="120"/>
  <c r="J9" i="120"/>
  <c r="N11" i="134"/>
  <c r="O11" i="134" s="1"/>
  <c r="N9" i="134"/>
  <c r="O9" i="134" s="1"/>
  <c r="J9" i="134"/>
  <c r="J11" i="134"/>
  <c r="N24" i="119"/>
  <c r="O24" i="119" s="1"/>
  <c r="N20" i="119"/>
  <c r="O20" i="119" s="1"/>
  <c r="N19" i="119"/>
  <c r="O19" i="119" s="1"/>
  <c r="N13" i="119"/>
  <c r="O13" i="119" s="1"/>
  <c r="N11" i="119"/>
  <c r="O11" i="119" s="1"/>
  <c r="N10" i="119"/>
  <c r="O10" i="119" s="1"/>
  <c r="N9" i="119"/>
  <c r="O9" i="119" s="1"/>
  <c r="R13" i="135" l="1"/>
  <c r="V13" i="135"/>
  <c r="T13" i="135"/>
  <c r="T14" i="135"/>
  <c r="R14" i="135"/>
  <c r="V14" i="135"/>
  <c r="P14" i="135"/>
  <c r="Q14" i="135" s="1"/>
  <c r="S14" i="135" s="1"/>
  <c r="U14" i="135" s="1"/>
  <c r="W14" i="135" s="1"/>
  <c r="T43" i="135"/>
  <c r="R43" i="135"/>
  <c r="P43" i="135"/>
  <c r="Q43" i="135" s="1"/>
  <c r="V43" i="135"/>
  <c r="V30" i="135"/>
  <c r="P30" i="135"/>
  <c r="Q30" i="135" s="1"/>
  <c r="R30" i="135"/>
  <c r="T30" i="135"/>
  <c r="R42" i="135"/>
  <c r="T42" i="135"/>
  <c r="V42" i="135"/>
  <c r="T9" i="135"/>
  <c r="R9" i="135"/>
  <c r="P9" i="135"/>
  <c r="Q9" i="135" s="1"/>
  <c r="S9" i="135" s="1"/>
  <c r="V9" i="135"/>
  <c r="R9" i="134"/>
  <c r="T9" i="134"/>
  <c r="V9" i="134"/>
  <c r="P14" i="133"/>
  <c r="Q14" i="133" s="1"/>
  <c r="S14" i="133" s="1"/>
  <c r="AB21" i="119"/>
  <c r="Y21" i="119"/>
  <c r="V16" i="133"/>
  <c r="T16" i="133"/>
  <c r="R16" i="133"/>
  <c r="P16" i="133"/>
  <c r="Q16" i="133" s="1"/>
  <c r="V14" i="133"/>
  <c r="T14" i="133"/>
  <c r="V25" i="121"/>
  <c r="T25" i="121"/>
  <c r="P25" i="121"/>
  <c r="Q25" i="121" s="1"/>
  <c r="R25" i="121"/>
  <c r="T24" i="121"/>
  <c r="P24" i="121"/>
  <c r="Q24" i="121" s="1"/>
  <c r="V24" i="121"/>
  <c r="R24" i="121"/>
  <c r="V10" i="120"/>
  <c r="R10" i="120"/>
  <c r="T10" i="120"/>
  <c r="P10" i="120"/>
  <c r="Q10" i="120" s="1"/>
  <c r="T11" i="120"/>
  <c r="V11" i="120"/>
  <c r="P9" i="119"/>
  <c r="Q9" i="119" s="1"/>
  <c r="V9" i="119"/>
  <c r="T9" i="119"/>
  <c r="R9" i="119"/>
  <c r="V20" i="131"/>
  <c r="T20" i="131"/>
  <c r="R20" i="131"/>
  <c r="P20" i="131"/>
  <c r="Q20" i="131" s="1"/>
  <c r="R26" i="123"/>
  <c r="T26" i="123"/>
  <c r="V26" i="123"/>
  <c r="V37" i="121"/>
  <c r="T37" i="121"/>
  <c r="R37" i="121"/>
  <c r="P37" i="121"/>
  <c r="Q37" i="121" s="1"/>
  <c r="R13" i="121"/>
  <c r="V13" i="121"/>
  <c r="T13" i="121"/>
  <c r="V11" i="133"/>
  <c r="T11" i="133"/>
  <c r="R11" i="133"/>
  <c r="P11" i="133"/>
  <c r="Q11" i="133" s="1"/>
  <c r="V12" i="133"/>
  <c r="T12" i="133"/>
  <c r="R12" i="133"/>
  <c r="P12" i="133"/>
  <c r="Q12" i="133" s="1"/>
  <c r="P15" i="133"/>
  <c r="Q15" i="133" s="1"/>
  <c r="R15" i="133"/>
  <c r="T15" i="133"/>
  <c r="V15" i="133"/>
  <c r="V12" i="135"/>
  <c r="T12" i="135"/>
  <c r="R12" i="135"/>
  <c r="P12" i="135"/>
  <c r="Q12" i="135" s="1"/>
  <c r="S12" i="135" s="1"/>
  <c r="U12" i="135" s="1"/>
  <c r="W12" i="135" s="1"/>
  <c r="T11" i="135"/>
  <c r="R11" i="135"/>
  <c r="P11" i="135"/>
  <c r="Q11" i="135" s="1"/>
  <c r="V11" i="135"/>
  <c r="T35" i="121"/>
  <c r="R35" i="121"/>
  <c r="P35" i="121"/>
  <c r="Q35" i="121" s="1"/>
  <c r="V35" i="121"/>
  <c r="V9" i="132"/>
  <c r="T9" i="132"/>
  <c r="R9" i="132"/>
  <c r="P9" i="132"/>
  <c r="Q9" i="132" s="1"/>
  <c r="U10" i="136"/>
  <c r="U12" i="136" s="1"/>
  <c r="O10" i="136"/>
  <c r="O12" i="136" s="1"/>
  <c r="S10" i="136"/>
  <c r="S12" i="136" s="1"/>
  <c r="Q10" i="136"/>
  <c r="Q12" i="136" s="1"/>
  <c r="N12" i="136"/>
  <c r="R10" i="119"/>
  <c r="P10" i="119"/>
  <c r="Q10" i="119" s="1"/>
  <c r="V10" i="119"/>
  <c r="T10" i="119"/>
  <c r="V11" i="119"/>
  <c r="R11" i="119"/>
  <c r="T11" i="119"/>
  <c r="P11" i="119"/>
  <c r="Q11" i="119" s="1"/>
  <c r="S11" i="119" s="1"/>
  <c r="U9" i="136"/>
  <c r="S9" i="136"/>
  <c r="Q9" i="136"/>
  <c r="O9" i="136"/>
  <c r="P9" i="136" s="1"/>
  <c r="R9" i="136" s="1"/>
  <c r="T9" i="136" s="1"/>
  <c r="V9" i="136" s="1"/>
  <c r="T13" i="119"/>
  <c r="R13" i="119"/>
  <c r="P13" i="119"/>
  <c r="Q13" i="119" s="1"/>
  <c r="V13" i="119"/>
  <c r="V15" i="135"/>
  <c r="T15" i="135"/>
  <c r="R15" i="135"/>
  <c r="P15" i="135"/>
  <c r="Q15" i="135" s="1"/>
  <c r="V25" i="135"/>
  <c r="T25" i="135"/>
  <c r="R25" i="135"/>
  <c r="P25" i="135"/>
  <c r="Q25" i="135" s="1"/>
  <c r="S25" i="135" s="1"/>
  <c r="T34" i="121"/>
  <c r="R34" i="121"/>
  <c r="P34" i="121"/>
  <c r="Q34" i="121" s="1"/>
  <c r="V34" i="121"/>
  <c r="P10" i="132"/>
  <c r="Q10" i="132" s="1"/>
  <c r="V10" i="132"/>
  <c r="T10" i="132"/>
  <c r="R10" i="132"/>
  <c r="V12" i="123"/>
  <c r="P12" i="123"/>
  <c r="Q12" i="123" s="1"/>
  <c r="T12" i="123"/>
  <c r="R12" i="123"/>
  <c r="P13" i="123"/>
  <c r="Q13" i="123" s="1"/>
  <c r="V13" i="123"/>
  <c r="T13" i="123"/>
  <c r="R13" i="123"/>
  <c r="V44" i="135"/>
  <c r="T44" i="135"/>
  <c r="R44" i="135"/>
  <c r="P44" i="135"/>
  <c r="Q44" i="135" s="1"/>
  <c r="R9" i="131"/>
  <c r="P9" i="131"/>
  <c r="Q9" i="131" s="1"/>
  <c r="S9" i="131" s="1"/>
  <c r="V9" i="131"/>
  <c r="T9" i="131"/>
  <c r="T17" i="135"/>
  <c r="V17" i="135"/>
  <c r="P17" i="135"/>
  <c r="R17" i="135"/>
  <c r="Q17" i="135"/>
  <c r="S17" i="135" s="1"/>
  <c r="U17" i="135" s="1"/>
  <c r="W17" i="135" s="1"/>
  <c r="T20" i="119"/>
  <c r="R20" i="119"/>
  <c r="P20" i="119"/>
  <c r="Q20" i="119" s="1"/>
  <c r="V20" i="119"/>
  <c r="V49" i="135"/>
  <c r="T49" i="135"/>
  <c r="R49" i="135"/>
  <c r="P49" i="135"/>
  <c r="Q49" i="135" s="1"/>
  <c r="R27" i="123"/>
  <c r="P27" i="123"/>
  <c r="Q27" i="123" s="1"/>
  <c r="V27" i="123"/>
  <c r="T27" i="123"/>
  <c r="V9" i="121"/>
  <c r="P9" i="121"/>
  <c r="Q9" i="121" s="1"/>
  <c r="T9" i="121"/>
  <c r="R9" i="121"/>
  <c r="V26" i="135"/>
  <c r="T26" i="135"/>
  <c r="P26" i="135"/>
  <c r="Q26" i="135" s="1"/>
  <c r="R26" i="135"/>
  <c r="R20" i="121"/>
  <c r="P20" i="121"/>
  <c r="Q20" i="121" s="1"/>
  <c r="V20" i="121"/>
  <c r="T20" i="121"/>
  <c r="V9" i="133"/>
  <c r="T9" i="133"/>
  <c r="R9" i="133"/>
  <c r="P9" i="133"/>
  <c r="Q9" i="133" s="1"/>
  <c r="S9" i="133" s="1"/>
  <c r="V29" i="135"/>
  <c r="T29" i="135"/>
  <c r="R29" i="135"/>
  <c r="P29" i="135"/>
  <c r="Q29" i="135" s="1"/>
  <c r="S29" i="135" s="1"/>
  <c r="U29" i="135" s="1"/>
  <c r="W29" i="135" s="1"/>
  <c r="P9" i="123"/>
  <c r="Q9" i="123" s="1"/>
  <c r="V9" i="123"/>
  <c r="T9" i="123"/>
  <c r="R9" i="123"/>
  <c r="V31" i="135"/>
  <c r="T31" i="135"/>
  <c r="R31" i="135"/>
  <c r="P31" i="135"/>
  <c r="Q31" i="135" s="1"/>
  <c r="V10" i="121"/>
  <c r="P10" i="121"/>
  <c r="R10" i="121"/>
  <c r="T10" i="121"/>
  <c r="V16" i="135"/>
  <c r="R16" i="135"/>
  <c r="P16" i="135"/>
  <c r="Q16" i="135" s="1"/>
  <c r="T16" i="135"/>
  <c r="V11" i="131"/>
  <c r="P11" i="131"/>
  <c r="Q11" i="131" s="1"/>
  <c r="T11" i="131"/>
  <c r="R11" i="131"/>
  <c r="V28" i="135"/>
  <c r="T28" i="135"/>
  <c r="R28" i="135"/>
  <c r="P28" i="135"/>
  <c r="Q28" i="135" s="1"/>
  <c r="S28" i="135" s="1"/>
  <c r="U28" i="135" s="1"/>
  <c r="W28" i="135" s="1"/>
  <c r="P21" i="121"/>
  <c r="Q21" i="121" s="1"/>
  <c r="T21" i="121"/>
  <c r="V21" i="121"/>
  <c r="R21" i="121"/>
  <c r="T10" i="133"/>
  <c r="R10" i="133"/>
  <c r="P10" i="133"/>
  <c r="Q10" i="133" s="1"/>
  <c r="S10" i="133" s="1"/>
  <c r="U10" i="133" s="1"/>
  <c r="V10" i="133"/>
  <c r="T12" i="118"/>
  <c r="Q12" i="118"/>
  <c r="S12" i="118" s="1"/>
  <c r="U12" i="118" s="1"/>
  <c r="W12" i="118" s="1"/>
  <c r="O14" i="118"/>
  <c r="P12" i="118"/>
  <c r="R12" i="118"/>
  <c r="V12" i="118"/>
  <c r="R32" i="135"/>
  <c r="P32" i="135"/>
  <c r="Q32" i="135" s="1"/>
  <c r="T32" i="135"/>
  <c r="V32" i="135"/>
  <c r="V24" i="119"/>
  <c r="T24" i="119"/>
  <c r="R24" i="119"/>
  <c r="P24" i="119"/>
  <c r="Q24" i="119" s="1"/>
  <c r="P12" i="131"/>
  <c r="Q12" i="131" s="1"/>
  <c r="S12" i="131" s="1"/>
  <c r="U12" i="131" s="1"/>
  <c r="V12" i="131"/>
  <c r="T12" i="131"/>
  <c r="R12" i="131"/>
  <c r="V27" i="135"/>
  <c r="T27" i="135"/>
  <c r="R27" i="135"/>
  <c r="P27" i="135"/>
  <c r="Q27" i="135" s="1"/>
  <c r="S27" i="135" s="1"/>
  <c r="U27" i="135" s="1"/>
  <c r="W27" i="135" s="1"/>
  <c r="R22" i="121"/>
  <c r="P22" i="121"/>
  <c r="Q22" i="121" s="1"/>
  <c r="V22" i="121"/>
  <c r="T22" i="121"/>
  <c r="V33" i="135"/>
  <c r="T33" i="135"/>
  <c r="R33" i="135"/>
  <c r="P33" i="135"/>
  <c r="Q33" i="135" s="1"/>
  <c r="S33" i="135" s="1"/>
  <c r="T9" i="120"/>
  <c r="O40" i="120"/>
  <c r="R9" i="120"/>
  <c r="P9" i="120"/>
  <c r="Q9" i="120" s="1"/>
  <c r="V9" i="120"/>
  <c r="P29" i="123"/>
  <c r="Q29" i="123" s="1"/>
  <c r="R29" i="123"/>
  <c r="V29" i="123"/>
  <c r="T29" i="123"/>
  <c r="T38" i="123"/>
  <c r="R38" i="123"/>
  <c r="P38" i="123"/>
  <c r="Q38" i="123" s="1"/>
  <c r="S38" i="123" s="1"/>
  <c r="V38" i="123"/>
  <c r="T40" i="123"/>
  <c r="R40" i="123"/>
  <c r="P40" i="123"/>
  <c r="Q40" i="123" s="1"/>
  <c r="S40" i="123" s="1"/>
  <c r="V40" i="123"/>
  <c r="R11" i="134"/>
  <c r="P11" i="134"/>
  <c r="Q11" i="134" s="1"/>
  <c r="S11" i="134" s="1"/>
  <c r="V11" i="134"/>
  <c r="T11" i="134"/>
  <c r="T23" i="121"/>
  <c r="V23" i="121"/>
  <c r="R23" i="121"/>
  <c r="P23" i="121"/>
  <c r="Q23" i="121" s="1"/>
  <c r="T23" i="131"/>
  <c r="V23" i="131"/>
  <c r="R23" i="131"/>
  <c r="P23" i="131"/>
  <c r="Q23" i="131" s="1"/>
  <c r="S23" i="131" s="1"/>
  <c r="U23" i="131" s="1"/>
  <c r="W23" i="131" s="1"/>
  <c r="V10" i="135"/>
  <c r="T10" i="135"/>
  <c r="R10" i="135"/>
  <c r="P10" i="135"/>
  <c r="Q10" i="135" s="1"/>
  <c r="P21" i="131"/>
  <c r="P13" i="132"/>
  <c r="Q13" i="132" s="1"/>
  <c r="S13" i="132" s="1"/>
  <c r="U13" i="132" s="1"/>
  <c r="W13" i="132" s="1"/>
  <c r="T11" i="121"/>
  <c r="T23" i="123"/>
  <c r="Q21" i="131"/>
  <c r="R21" i="131"/>
  <c r="R13" i="132"/>
  <c r="P19" i="119"/>
  <c r="Q19" i="119" s="1"/>
  <c r="P41" i="123"/>
  <c r="Q41" i="123" s="1"/>
  <c r="T21" i="131"/>
  <c r="T13" i="132"/>
  <c r="R19" i="119"/>
  <c r="P12" i="121"/>
  <c r="Q12" i="121" s="1"/>
  <c r="P25" i="123"/>
  <c r="Q25" i="123" s="1"/>
  <c r="R41" i="123"/>
  <c r="P10" i="131"/>
  <c r="Q10" i="131" s="1"/>
  <c r="T19" i="119"/>
  <c r="R12" i="121"/>
  <c r="P10" i="123"/>
  <c r="Q10" i="123" s="1"/>
  <c r="R25" i="123"/>
  <c r="T41" i="123"/>
  <c r="R10" i="131"/>
  <c r="P13" i="131"/>
  <c r="Q13" i="131" s="1"/>
  <c r="P11" i="132"/>
  <c r="Q11" i="132" s="1"/>
  <c r="S11" i="132" s="1"/>
  <c r="U11" i="132" s="1"/>
  <c r="W11" i="132" s="1"/>
  <c r="V19" i="119"/>
  <c r="T12" i="121"/>
  <c r="R10" i="123"/>
  <c r="T25" i="123"/>
  <c r="V41" i="123"/>
  <c r="T10" i="131"/>
  <c r="R13" i="131"/>
  <c r="P22" i="131"/>
  <c r="Q22" i="131" s="1"/>
  <c r="R11" i="132"/>
  <c r="P20" i="132"/>
  <c r="Q20" i="132" s="1"/>
  <c r="T11" i="132"/>
  <c r="R20" i="132"/>
  <c r="V14" i="118"/>
  <c r="R22" i="131"/>
  <c r="Q10" i="118"/>
  <c r="S10" i="118" s="1"/>
  <c r="U10" i="118" s="1"/>
  <c r="W10" i="118" s="1"/>
  <c r="X10" i="118" s="1"/>
  <c r="R11" i="120"/>
  <c r="V10" i="123"/>
  <c r="R10" i="118"/>
  <c r="R14" i="118" s="1"/>
  <c r="V13" i="131"/>
  <c r="T22" i="131"/>
  <c r="T20" i="132"/>
  <c r="T14" i="118"/>
  <c r="P11" i="120"/>
  <c r="Q11" i="120" s="1"/>
  <c r="P9" i="134"/>
  <c r="Q9" i="134" s="1"/>
  <c r="S9" i="134" s="1"/>
  <c r="U9" i="134" s="1"/>
  <c r="W9" i="134" s="1"/>
  <c r="P13" i="121"/>
  <c r="Q13" i="121" s="1"/>
  <c r="P26" i="123"/>
  <c r="Q26" i="123" s="1"/>
  <c r="P13" i="135"/>
  <c r="Q13" i="135" s="1"/>
  <c r="S13" i="135" s="1"/>
  <c r="U13" i="135" s="1"/>
  <c r="W13" i="135" s="1"/>
  <c r="P42" i="135"/>
  <c r="Q42" i="135" s="1"/>
  <c r="V11" i="121"/>
  <c r="V23" i="123"/>
  <c r="P10" i="118"/>
  <c r="P11" i="118"/>
  <c r="P14" i="118" s="1"/>
  <c r="P21" i="132"/>
  <c r="Q21" i="132" s="1"/>
  <c r="S21" i="132" s="1"/>
  <c r="U21" i="132" s="1"/>
  <c r="W21" i="132" s="1"/>
  <c r="P12" i="120"/>
  <c r="Q12" i="120" s="1"/>
  <c r="R21" i="132"/>
  <c r="R12" i="120"/>
  <c r="T21" i="132"/>
  <c r="T12" i="120"/>
  <c r="P11" i="121"/>
  <c r="Q11" i="121" s="1"/>
  <c r="S11" i="121" s="1"/>
  <c r="P23" i="123"/>
  <c r="Q23" i="123" s="1"/>
  <c r="S23" i="123" s="1"/>
  <c r="O39" i="121"/>
  <c r="O26" i="119"/>
  <c r="Z23" i="119"/>
  <c r="X23" i="119"/>
  <c r="L23" i="119"/>
  <c r="K23" i="119"/>
  <c r="M20" i="119"/>
  <c r="M19" i="119"/>
  <c r="Z18" i="119"/>
  <c r="L18" i="119"/>
  <c r="K18" i="119"/>
  <c r="B18" i="131"/>
  <c r="M29" i="123"/>
  <c r="M28" i="123" s="1"/>
  <c r="Z28" i="123"/>
  <c r="L28" i="123"/>
  <c r="K28" i="123"/>
  <c r="B35" i="123"/>
  <c r="B21" i="123"/>
  <c r="Z33" i="121"/>
  <c r="L33" i="121"/>
  <c r="K33" i="121"/>
  <c r="B29" i="121"/>
  <c r="M34" i="121"/>
  <c r="B31" i="120"/>
  <c r="B19" i="120"/>
  <c r="K40" i="120" s="1"/>
  <c r="Z50" i="135"/>
  <c r="L50" i="135"/>
  <c r="Z23" i="132"/>
  <c r="L23" i="132"/>
  <c r="Y12" i="136"/>
  <c r="K12" i="136"/>
  <c r="Z25" i="131"/>
  <c r="Z39" i="123"/>
  <c r="L39" i="123"/>
  <c r="K39" i="123"/>
  <c r="Z24" i="123"/>
  <c r="L24" i="123"/>
  <c r="K24" i="123"/>
  <c r="Z14" i="123"/>
  <c r="L14" i="123"/>
  <c r="K14" i="123"/>
  <c r="Z11" i="123"/>
  <c r="L11" i="123"/>
  <c r="Z8" i="123"/>
  <c r="L8" i="123"/>
  <c r="Z40" i="120"/>
  <c r="L40" i="120"/>
  <c r="M21" i="121"/>
  <c r="M10" i="121"/>
  <c r="U9" i="133" l="1"/>
  <c r="W9" i="133" s="1"/>
  <c r="S30" i="135"/>
  <c r="U30" i="135" s="1"/>
  <c r="W30" i="135" s="1"/>
  <c r="U9" i="135"/>
  <c r="S10" i="120"/>
  <c r="S32" i="135"/>
  <c r="S16" i="135"/>
  <c r="S10" i="135"/>
  <c r="S49" i="135"/>
  <c r="U49" i="135" s="1"/>
  <c r="W49" i="135" s="1"/>
  <c r="W9" i="135"/>
  <c r="S43" i="135"/>
  <c r="U43" i="135" s="1"/>
  <c r="U10" i="135"/>
  <c r="W10" i="135" s="1"/>
  <c r="S44" i="135"/>
  <c r="U44" i="135" s="1"/>
  <c r="W44" i="135" s="1"/>
  <c r="S31" i="135"/>
  <c r="S42" i="135"/>
  <c r="U42" i="135" s="1"/>
  <c r="W42" i="135" s="1"/>
  <c r="S15" i="135"/>
  <c r="U15" i="135" s="1"/>
  <c r="W15" i="135" s="1"/>
  <c r="U32" i="135"/>
  <c r="W32" i="135" s="1"/>
  <c r="U33" i="135"/>
  <c r="W33" i="135" s="1"/>
  <c r="U31" i="135"/>
  <c r="W31" i="135" s="1"/>
  <c r="W43" i="135"/>
  <c r="U40" i="123"/>
  <c r="W40" i="123" s="1"/>
  <c r="U10" i="120"/>
  <c r="W10" i="120" s="1"/>
  <c r="U11" i="134"/>
  <c r="U14" i="133"/>
  <c r="W14" i="133" s="1"/>
  <c r="X14" i="133" s="1"/>
  <c r="S12" i="133"/>
  <c r="U12" i="133" s="1"/>
  <c r="W12" i="133" s="1"/>
  <c r="Y12" i="133" s="1"/>
  <c r="AA12" i="133" s="1"/>
  <c r="S16" i="133"/>
  <c r="U16" i="133" s="1"/>
  <c r="W16" i="133" s="1"/>
  <c r="Y16" i="133" s="1"/>
  <c r="AA16" i="133" s="1"/>
  <c r="S11" i="133"/>
  <c r="U11" i="133" s="1"/>
  <c r="W11" i="133" s="1"/>
  <c r="Y11" i="133" s="1"/>
  <c r="AA11" i="133" s="1"/>
  <c r="S15" i="133"/>
  <c r="U15" i="133" s="1"/>
  <c r="W15" i="133" s="1"/>
  <c r="X15" i="133" s="1"/>
  <c r="W10" i="133"/>
  <c r="S9" i="132"/>
  <c r="U9" i="132" s="1"/>
  <c r="W9" i="132" s="1"/>
  <c r="S24" i="121"/>
  <c r="U24" i="121" s="1"/>
  <c r="W24" i="121" s="1"/>
  <c r="Y24" i="121" s="1"/>
  <c r="AA24" i="121" s="1"/>
  <c r="S25" i="121"/>
  <c r="U25" i="121" s="1"/>
  <c r="W25" i="121" s="1"/>
  <c r="Y25" i="121" s="1"/>
  <c r="AA25" i="121" s="1"/>
  <c r="S35" i="121"/>
  <c r="U35" i="121" s="1"/>
  <c r="W35" i="121" s="1"/>
  <c r="S34" i="121"/>
  <c r="U34" i="121" s="1"/>
  <c r="W34" i="121" s="1"/>
  <c r="S13" i="121"/>
  <c r="U13" i="121" s="1"/>
  <c r="W13" i="121" s="1"/>
  <c r="S20" i="121"/>
  <c r="U20" i="121" s="1"/>
  <c r="W20" i="121" s="1"/>
  <c r="S10" i="132"/>
  <c r="U10" i="132" s="1"/>
  <c r="W10" i="132" s="1"/>
  <c r="S10" i="123"/>
  <c r="U10" i="123" s="1"/>
  <c r="W10" i="123" s="1"/>
  <c r="S37" i="121"/>
  <c r="U37" i="121" s="1"/>
  <c r="W37" i="121" s="1"/>
  <c r="S23" i="121"/>
  <c r="U23" i="121" s="1"/>
  <c r="W23" i="121" s="1"/>
  <c r="S22" i="121"/>
  <c r="U22" i="121" s="1"/>
  <c r="W22" i="121" s="1"/>
  <c r="U11" i="121"/>
  <c r="W11" i="121" s="1"/>
  <c r="V40" i="120"/>
  <c r="S12" i="120"/>
  <c r="U12" i="120" s="1"/>
  <c r="W12" i="120" s="1"/>
  <c r="S11" i="120"/>
  <c r="U11" i="120" s="1"/>
  <c r="W11" i="120" s="1"/>
  <c r="S10" i="119"/>
  <c r="U10" i="119" s="1"/>
  <c r="W10" i="119" s="1"/>
  <c r="U11" i="119"/>
  <c r="W11" i="119" s="1"/>
  <c r="S13" i="119"/>
  <c r="U13" i="119" s="1"/>
  <c r="W13" i="119" s="1"/>
  <c r="T26" i="119"/>
  <c r="S9" i="119"/>
  <c r="U9" i="119" s="1"/>
  <c r="W9" i="119" s="1"/>
  <c r="S24" i="119"/>
  <c r="U24" i="119" s="1"/>
  <c r="W24" i="119" s="1"/>
  <c r="S19" i="119"/>
  <c r="U19" i="119" s="1"/>
  <c r="W19" i="119" s="1"/>
  <c r="U9" i="131"/>
  <c r="W9" i="131" s="1"/>
  <c r="S13" i="131"/>
  <c r="U13" i="131" s="1"/>
  <c r="W13" i="131" s="1"/>
  <c r="S20" i="131"/>
  <c r="U20" i="131" s="1"/>
  <c r="W20" i="131" s="1"/>
  <c r="U23" i="123"/>
  <c r="W23" i="123" s="1"/>
  <c r="S26" i="123"/>
  <c r="U26" i="123" s="1"/>
  <c r="W26" i="123" s="1"/>
  <c r="S25" i="123"/>
  <c r="U25" i="123" s="1"/>
  <c r="W25" i="123" s="1"/>
  <c r="S9" i="123"/>
  <c r="U9" i="123" s="1"/>
  <c r="W9" i="123" s="1"/>
  <c r="S27" i="123"/>
  <c r="U38" i="123"/>
  <c r="S29" i="123"/>
  <c r="U29" i="123" s="1"/>
  <c r="W29" i="123" s="1"/>
  <c r="S12" i="123"/>
  <c r="S41" i="123"/>
  <c r="U41" i="123" s="1"/>
  <c r="W41" i="123" s="1"/>
  <c r="S13" i="123"/>
  <c r="U13" i="123" s="1"/>
  <c r="W13" i="123" s="1"/>
  <c r="X13" i="123" s="1"/>
  <c r="U27" i="123"/>
  <c r="W27" i="123" s="1"/>
  <c r="P39" i="121"/>
  <c r="S21" i="121"/>
  <c r="U21" i="121" s="1"/>
  <c r="W21" i="121" s="1"/>
  <c r="S9" i="121"/>
  <c r="U9" i="121" s="1"/>
  <c r="W9" i="121" s="1"/>
  <c r="Q10" i="121"/>
  <c r="S10" i="121" s="1"/>
  <c r="U10" i="121" s="1"/>
  <c r="W10" i="121" s="1"/>
  <c r="V39" i="121"/>
  <c r="T39" i="121"/>
  <c r="R39" i="121"/>
  <c r="X9" i="136"/>
  <c r="W9" i="136"/>
  <c r="S20" i="119"/>
  <c r="U20" i="119" s="1"/>
  <c r="W20" i="119" s="1"/>
  <c r="P40" i="120"/>
  <c r="R40" i="120"/>
  <c r="S26" i="135"/>
  <c r="U26" i="135" s="1"/>
  <c r="W26" i="135" s="1"/>
  <c r="S9" i="120"/>
  <c r="T40" i="120"/>
  <c r="W11" i="134"/>
  <c r="W12" i="131"/>
  <c r="S11" i="131"/>
  <c r="U11" i="131" s="1"/>
  <c r="W11" i="131" s="1"/>
  <c r="U25" i="135"/>
  <c r="W25" i="135" s="1"/>
  <c r="S21" i="131"/>
  <c r="U21" i="131" s="1"/>
  <c r="W21" i="131" s="1"/>
  <c r="U16" i="135"/>
  <c r="W16" i="135" s="1"/>
  <c r="Q11" i="118"/>
  <c r="Q14" i="118" s="1"/>
  <c r="S10" i="131"/>
  <c r="U10" i="131" s="1"/>
  <c r="W10" i="131" s="1"/>
  <c r="Y10" i="118"/>
  <c r="AA10" i="118" s="1"/>
  <c r="W38" i="123"/>
  <c r="U12" i="123"/>
  <c r="W12" i="123" s="1"/>
  <c r="Y12" i="123" s="1"/>
  <c r="S11" i="135"/>
  <c r="U11" i="135" s="1"/>
  <c r="W11" i="135" s="1"/>
  <c r="S12" i="121"/>
  <c r="U12" i="121" s="1"/>
  <c r="W12" i="121" s="1"/>
  <c r="P10" i="136"/>
  <c r="S22" i="131"/>
  <c r="U22" i="131" s="1"/>
  <c r="W22" i="131" s="1"/>
  <c r="S20" i="132"/>
  <c r="U20" i="132" s="1"/>
  <c r="W20" i="132" s="1"/>
  <c r="S11" i="118"/>
  <c r="P26" i="119"/>
  <c r="R26" i="119"/>
  <c r="V26" i="119"/>
  <c r="M18" i="119"/>
  <c r="X16" i="133" l="1"/>
  <c r="Y14" i="133"/>
  <c r="AA14" i="133" s="1"/>
  <c r="AB14" i="133" s="1"/>
  <c r="X12" i="133"/>
  <c r="X11" i="133"/>
  <c r="AB11" i="133" s="1"/>
  <c r="AB16" i="133"/>
  <c r="AB12" i="133"/>
  <c r="X24" i="121"/>
  <c r="AB24" i="121" s="1"/>
  <c r="X25" i="121"/>
  <c r="AB25" i="121" s="1"/>
  <c r="Y15" i="133"/>
  <c r="AA15" i="133" s="1"/>
  <c r="AB15" i="133" s="1"/>
  <c r="Q40" i="120"/>
  <c r="U9" i="120"/>
  <c r="S40" i="120"/>
  <c r="X12" i="123"/>
  <c r="R10" i="136"/>
  <c r="P12" i="136"/>
  <c r="Z9" i="136"/>
  <c r="X9" i="131"/>
  <c r="Y9" i="131"/>
  <c r="S14" i="118"/>
  <c r="U11" i="118"/>
  <c r="Q39" i="121"/>
  <c r="W26" i="119"/>
  <c r="X9" i="119"/>
  <c r="Y9" i="119"/>
  <c r="AA9" i="119" s="1"/>
  <c r="X19" i="119"/>
  <c r="Y19" i="119"/>
  <c r="AA19" i="119" s="1"/>
  <c r="X21" i="121"/>
  <c r="T10" i="136" l="1"/>
  <c r="R12" i="136"/>
  <c r="U40" i="120"/>
  <c r="W9" i="120"/>
  <c r="W40" i="120" s="1"/>
  <c r="U14" i="118"/>
  <c r="W11" i="118"/>
  <c r="W14" i="118" s="1"/>
  <c r="S39" i="121"/>
  <c r="AB19" i="119"/>
  <c r="Y20" i="119"/>
  <c r="AA20" i="119" s="1"/>
  <c r="AA18" i="119" s="1"/>
  <c r="X20" i="119"/>
  <c r="X29" i="123"/>
  <c r="Y29" i="123"/>
  <c r="Y21" i="121"/>
  <c r="AA21" i="121" s="1"/>
  <c r="AB21" i="121" s="1"/>
  <c r="X10" i="121"/>
  <c r="Y10" i="121"/>
  <c r="AA10" i="121" s="1"/>
  <c r="V10" i="136" l="1"/>
  <c r="T12" i="136"/>
  <c r="U39" i="121"/>
  <c r="AB20" i="119"/>
  <c r="AB18" i="119" s="1"/>
  <c r="X18" i="119"/>
  <c r="Y18" i="119"/>
  <c r="AA29" i="123"/>
  <c r="AA28" i="123" s="1"/>
  <c r="Y28" i="123"/>
  <c r="X28" i="123"/>
  <c r="AB10" i="121"/>
  <c r="W10" i="136" l="1"/>
  <c r="W12" i="136" s="1"/>
  <c r="X10" i="136"/>
  <c r="V12" i="136"/>
  <c r="W39" i="121"/>
  <c r="Y34" i="121"/>
  <c r="AA34" i="121" s="1"/>
  <c r="X34" i="121"/>
  <c r="AB29" i="123"/>
  <c r="AB28" i="123" s="1"/>
  <c r="Z12" i="119"/>
  <c r="L12" i="119"/>
  <c r="K12" i="119"/>
  <c r="M42" i="135"/>
  <c r="Z18" i="133"/>
  <c r="L18" i="133"/>
  <c r="K18" i="133"/>
  <c r="J12" i="136"/>
  <c r="Z8" i="119"/>
  <c r="Z26" i="119" s="1"/>
  <c r="L8" i="119"/>
  <c r="L26" i="119" s="1"/>
  <c r="B40" i="135"/>
  <c r="M20" i="121"/>
  <c r="M12" i="121"/>
  <c r="B18" i="121"/>
  <c r="L10" i="136"/>
  <c r="M23" i="123"/>
  <c r="M21" i="132"/>
  <c r="M20" i="132"/>
  <c r="Z10" i="136" l="1"/>
  <c r="Z12" i="136" s="1"/>
  <c r="X12" i="136"/>
  <c r="AB34" i="121"/>
  <c r="AA10" i="136" l="1"/>
  <c r="X20" i="132"/>
  <c r="Y42" i="135"/>
  <c r="AA42" i="135" s="1"/>
  <c r="Y12" i="121"/>
  <c r="AA12" i="121" s="1"/>
  <c r="Y20" i="132" l="1"/>
  <c r="AA20" i="132" s="1"/>
  <c r="AB20" i="132" s="1"/>
  <c r="X21" i="132"/>
  <c r="Y21" i="132"/>
  <c r="AA21" i="132" s="1"/>
  <c r="X23" i="123"/>
  <c r="Y23" i="123"/>
  <c r="AA23" i="123" s="1"/>
  <c r="X42" i="135"/>
  <c r="AB42" i="135" s="1"/>
  <c r="Y20" i="121"/>
  <c r="AA20" i="121" s="1"/>
  <c r="X20" i="121"/>
  <c r="X12" i="121"/>
  <c r="AB12" i="121" s="1"/>
  <c r="AB21" i="132" l="1"/>
  <c r="AB23" i="123"/>
  <c r="AB20" i="121"/>
  <c r="M10" i="133"/>
  <c r="M9" i="133"/>
  <c r="M44" i="135"/>
  <c r="M13" i="132"/>
  <c r="Y9" i="133" l="1"/>
  <c r="AA9" i="133" s="1"/>
  <c r="Y10" i="133"/>
  <c r="AA10" i="133" s="1"/>
  <c r="X44" i="135"/>
  <c r="Y13" i="132"/>
  <c r="AA13" i="132" s="1"/>
  <c r="X9" i="133" l="1"/>
  <c r="AB9" i="133" s="1"/>
  <c r="Y44" i="135"/>
  <c r="AA44" i="135" s="1"/>
  <c r="AB44" i="135" s="1"/>
  <c r="X10" i="133"/>
  <c r="AB10" i="133" s="1"/>
  <c r="X13" i="132"/>
  <c r="AB13" i="132" s="1"/>
  <c r="L9" i="136" l="1"/>
  <c r="I9" i="136"/>
  <c r="M25" i="135"/>
  <c r="M10" i="120"/>
  <c r="L12" i="136" l="1"/>
  <c r="AA9" i="136"/>
  <c r="AA12" i="136" s="1"/>
  <c r="X25" i="135"/>
  <c r="Y10" i="120"/>
  <c r="AA10" i="120" s="1"/>
  <c r="Y25" i="135" l="1"/>
  <c r="AA25" i="135" s="1"/>
  <c r="AB25" i="135" s="1"/>
  <c r="X10" i="120"/>
  <c r="AB10" i="120" s="1"/>
  <c r="M9" i="134" l="1"/>
  <c r="M8" i="134" s="1"/>
  <c r="Z8" i="134"/>
  <c r="L8" i="134"/>
  <c r="K8" i="134"/>
  <c r="X9" i="134" l="1"/>
  <c r="Y9" i="134" l="1"/>
  <c r="Y8" i="134" s="1"/>
  <c r="X8" i="134"/>
  <c r="AA9" i="134" l="1"/>
  <c r="AA8" i="134" s="1"/>
  <c r="AB9" i="134" l="1"/>
  <c r="AB8" i="134" s="1"/>
  <c r="M41" i="123" l="1"/>
  <c r="M37" i="121"/>
  <c r="M23" i="121"/>
  <c r="M40" i="123"/>
  <c r="M39" i="123" l="1"/>
  <c r="X37" i="121" l="1"/>
  <c r="X40" i="123"/>
  <c r="X41" i="123"/>
  <c r="X39" i="123" l="1"/>
  <c r="X23" i="121"/>
  <c r="Y23" i="121"/>
  <c r="Y37" i="121"/>
  <c r="AA37" i="121" s="1"/>
  <c r="AB37" i="121" s="1"/>
  <c r="Y41" i="123"/>
  <c r="AA41" i="123" s="1"/>
  <c r="AB41" i="123" s="1"/>
  <c r="Y40" i="123"/>
  <c r="Y39" i="123" l="1"/>
  <c r="AA23" i="121"/>
  <c r="AB23" i="121" s="1"/>
  <c r="AA40" i="123"/>
  <c r="AA39" i="123" s="1"/>
  <c r="AB40" i="123" l="1"/>
  <c r="AB39" i="123" s="1"/>
  <c r="M43" i="135" l="1"/>
  <c r="Y43" i="135" l="1"/>
  <c r="AA43" i="135" s="1"/>
  <c r="X43" i="135" l="1"/>
  <c r="AB43" i="135" s="1"/>
  <c r="M14" i="135"/>
  <c r="M26" i="135"/>
  <c r="K11" i="123"/>
  <c r="M13" i="121"/>
  <c r="M49" i="135" l="1"/>
  <c r="M33" i="135"/>
  <c r="M32" i="135"/>
  <c r="M31" i="135"/>
  <c r="M30" i="135"/>
  <c r="M29" i="135"/>
  <c r="M28" i="135"/>
  <c r="M27" i="135"/>
  <c r="M17" i="135"/>
  <c r="M16" i="135"/>
  <c r="M15" i="135"/>
  <c r="M13" i="123"/>
  <c r="A3" i="136"/>
  <c r="Y24" i="119"/>
  <c r="M24" i="119"/>
  <c r="M23" i="119" s="1"/>
  <c r="AA24" i="119" l="1"/>
  <c r="AA23" i="119" s="1"/>
  <c r="Y23" i="119"/>
  <c r="X14" i="135"/>
  <c r="Y26" i="135"/>
  <c r="AA26" i="135" s="1"/>
  <c r="Y14" i="135" l="1"/>
  <c r="AA14" i="135" s="1"/>
  <c r="AB14" i="135" s="1"/>
  <c r="X26" i="135"/>
  <c r="AB26" i="135" s="1"/>
  <c r="Y31" i="135"/>
  <c r="AA31" i="135" s="1"/>
  <c r="Y13" i="121"/>
  <c r="X13" i="121"/>
  <c r="X15" i="135"/>
  <c r="X29" i="135"/>
  <c r="X32" i="135"/>
  <c r="Y28" i="135"/>
  <c r="AA28" i="135" s="1"/>
  <c r="X49" i="135"/>
  <c r="Y16" i="135"/>
  <c r="AA16" i="135" s="1"/>
  <c r="Y33" i="135"/>
  <c r="AA33" i="135" s="1"/>
  <c r="Y49" i="135"/>
  <c r="AA49" i="135" s="1"/>
  <c r="Y29" i="135"/>
  <c r="AA29" i="135" s="1"/>
  <c r="AA13" i="123"/>
  <c r="X28" i="135" l="1"/>
  <c r="AB28" i="135" s="1"/>
  <c r="X31" i="135"/>
  <c r="AB31" i="135" s="1"/>
  <c r="Y32" i="135"/>
  <c r="AA32" i="135" s="1"/>
  <c r="AB32" i="135" s="1"/>
  <c r="AA13" i="121"/>
  <c r="AB13" i="121" s="1"/>
  <c r="AB29" i="135"/>
  <c r="Y15" i="135"/>
  <c r="AA15" i="135" s="1"/>
  <c r="AB15" i="135" s="1"/>
  <c r="X33" i="135"/>
  <c r="AB33" i="135" s="1"/>
  <c r="X16" i="135"/>
  <c r="AB16" i="135" s="1"/>
  <c r="Y30" i="135"/>
  <c r="AA30" i="135" s="1"/>
  <c r="X30" i="135"/>
  <c r="Y27" i="135"/>
  <c r="AA27" i="135" s="1"/>
  <c r="X27" i="135"/>
  <c r="AB49" i="135"/>
  <c r="X17" i="135"/>
  <c r="Y17" i="135"/>
  <c r="AA17" i="135" s="1"/>
  <c r="AB13" i="123"/>
  <c r="AB24" i="119"/>
  <c r="AB23" i="119" s="1"/>
  <c r="AB27" i="135" l="1"/>
  <c r="AB30" i="135"/>
  <c r="AB17" i="135"/>
  <c r="M13" i="135"/>
  <c r="M11" i="135"/>
  <c r="X11" i="135" l="1"/>
  <c r="X13" i="135" l="1"/>
  <c r="Y13" i="135"/>
  <c r="AA13" i="135" s="1"/>
  <c r="Y11" i="135"/>
  <c r="AA11" i="135" s="1"/>
  <c r="AB11" i="135" s="1"/>
  <c r="AB13" i="135" l="1"/>
  <c r="A3" i="132"/>
  <c r="A3" i="131"/>
  <c r="A3" i="118"/>
  <c r="A3" i="123"/>
  <c r="A3" i="121"/>
  <c r="A3" i="120"/>
  <c r="B3" i="134"/>
  <c r="A3" i="133" l="1"/>
  <c r="B18" i="132"/>
  <c r="M12" i="132"/>
  <c r="X12" i="132" l="1"/>
  <c r="Y12" i="132" l="1"/>
  <c r="AA12" i="132" s="1"/>
  <c r="AB12" i="132" l="1"/>
  <c r="M27" i="123"/>
  <c r="M22" i="121"/>
  <c r="K8" i="123" l="1"/>
  <c r="X22" i="121" l="1"/>
  <c r="X27" i="123"/>
  <c r="Y22" i="121" l="1"/>
  <c r="AA22" i="121" s="1"/>
  <c r="AB22" i="121" s="1"/>
  <c r="Y27" i="123"/>
  <c r="AA27" i="123" s="1"/>
  <c r="AB27" i="123" s="1"/>
  <c r="M25" i="123"/>
  <c r="M14" i="123" l="1"/>
  <c r="O14" i="123" l="1"/>
  <c r="N14" i="123"/>
  <c r="T14" i="123" l="1"/>
  <c r="V14" i="123"/>
  <c r="R14" i="123"/>
  <c r="P14" i="123" l="1"/>
  <c r="X25" i="123"/>
  <c r="M35" i="121"/>
  <c r="M33" i="121" s="1"/>
  <c r="Y25" i="123" l="1"/>
  <c r="Q14" i="123"/>
  <c r="S14" i="123" l="1"/>
  <c r="AA25" i="123"/>
  <c r="X35" i="121"/>
  <c r="X33" i="121" s="1"/>
  <c r="Y35" i="121" l="1"/>
  <c r="X14" i="123"/>
  <c r="U14" i="123"/>
  <c r="AB25" i="123"/>
  <c r="AA35" i="121" l="1"/>
  <c r="Y33" i="121"/>
  <c r="Y14" i="123"/>
  <c r="W14" i="123"/>
  <c r="AB35" i="121" l="1"/>
  <c r="AB33" i="121" s="1"/>
  <c r="AA33" i="121"/>
  <c r="AA14" i="123"/>
  <c r="M11" i="120"/>
  <c r="M26" i="123"/>
  <c r="M24" i="123" s="1"/>
  <c r="M11" i="121"/>
  <c r="M9" i="121"/>
  <c r="M9" i="132"/>
  <c r="M11" i="132"/>
  <c r="M9" i="135"/>
  <c r="M8" i="121" l="1"/>
  <c r="O24" i="123"/>
  <c r="N24" i="123"/>
  <c r="AB14" i="123"/>
  <c r="V24" i="123" l="1"/>
  <c r="T24" i="123"/>
  <c r="R24" i="123"/>
  <c r="X11" i="120"/>
  <c r="X9" i="135"/>
  <c r="X11" i="132"/>
  <c r="Y11" i="121" l="1"/>
  <c r="X11" i="121"/>
  <c r="Y9" i="132"/>
  <c r="X9" i="132"/>
  <c r="Y9" i="121"/>
  <c r="X9" i="121"/>
  <c r="X8" i="121" s="1"/>
  <c r="P24" i="123"/>
  <c r="Y9" i="135"/>
  <c r="Y11" i="120"/>
  <c r="AA11" i="120" s="1"/>
  <c r="AB11" i="120" s="1"/>
  <c r="Y11" i="132"/>
  <c r="AA11" i="132" s="1"/>
  <c r="AB11" i="132" s="1"/>
  <c r="Y8" i="121" l="1"/>
  <c r="AA9" i="132"/>
  <c r="AB9" i="132" s="1"/>
  <c r="AA9" i="121"/>
  <c r="AA11" i="121"/>
  <c r="AB11" i="121" s="1"/>
  <c r="AA9" i="135"/>
  <c r="Q24" i="123"/>
  <c r="AB9" i="135"/>
  <c r="AA8" i="121" l="1"/>
  <c r="AB9" i="121"/>
  <c r="AB8" i="121" s="1"/>
  <c r="S24" i="123"/>
  <c r="M12" i="135"/>
  <c r="X26" i="123" l="1"/>
  <c r="X24" i="123" s="1"/>
  <c r="U24" i="123"/>
  <c r="W24" i="123" l="1"/>
  <c r="Y26" i="123"/>
  <c r="Y24" i="123" s="1"/>
  <c r="X12" i="135"/>
  <c r="AA26" i="123" l="1"/>
  <c r="AA24" i="123" s="1"/>
  <c r="Y12" i="135"/>
  <c r="AA12" i="135" s="1"/>
  <c r="AB26" i="123" l="1"/>
  <c r="AB24" i="123" s="1"/>
  <c r="AB12" i="135"/>
  <c r="M10" i="118" l="1"/>
  <c r="AB10" i="118" s="1"/>
  <c r="M10" i="119"/>
  <c r="Q26" i="119" l="1"/>
  <c r="S26" i="119" l="1"/>
  <c r="U26" i="119" l="1"/>
  <c r="M12" i="123" l="1"/>
  <c r="M11" i="123" s="1"/>
  <c r="M38" i="123"/>
  <c r="M9" i="120"/>
  <c r="M13" i="119"/>
  <c r="M12" i="119" s="1"/>
  <c r="Y10" i="119" l="1"/>
  <c r="X10" i="119"/>
  <c r="Z10" i="134"/>
  <c r="L10" i="134"/>
  <c r="K10" i="134"/>
  <c r="M11" i="134"/>
  <c r="M10" i="134" s="1"/>
  <c r="AA10" i="119" l="1"/>
  <c r="X9" i="120"/>
  <c r="AB10" i="119" l="1"/>
  <c r="Y11" i="123"/>
  <c r="X11" i="123"/>
  <c r="Y38" i="123"/>
  <c r="AA38" i="123" s="1"/>
  <c r="X38" i="123"/>
  <c r="Y13" i="119"/>
  <c r="X13" i="119"/>
  <c r="X12" i="119" s="1"/>
  <c r="X11" i="134"/>
  <c r="Y9" i="120"/>
  <c r="AA9" i="120" l="1"/>
  <c r="AA13" i="119"/>
  <c r="AA12" i="119" s="1"/>
  <c r="Y12" i="119"/>
  <c r="AA12" i="123"/>
  <c r="AA11" i="123" s="1"/>
  <c r="AB38" i="123"/>
  <c r="Y11" i="134"/>
  <c r="X10" i="134"/>
  <c r="AB13" i="119" l="1"/>
  <c r="AB12" i="119" s="1"/>
  <c r="AB9" i="120"/>
  <c r="AB12" i="123"/>
  <c r="AB11" i="123" s="1"/>
  <c r="AA11" i="134"/>
  <c r="Y10" i="134"/>
  <c r="AA10" i="134" l="1"/>
  <c r="AB11" i="134"/>
  <c r="AB10" i="134" s="1"/>
  <c r="M10" i="123" l="1"/>
  <c r="X10" i="123" l="1"/>
  <c r="Y10" i="123" l="1"/>
  <c r="AA10" i="123" s="1"/>
  <c r="AB10" i="123" s="1"/>
  <c r="M10" i="135" l="1"/>
  <c r="M50" i="135" s="1"/>
  <c r="M10" i="132" l="1"/>
  <c r="M23" i="132" s="1"/>
  <c r="K50" i="135"/>
  <c r="M12" i="120"/>
  <c r="M40" i="120" s="1"/>
  <c r="X10" i="135" l="1"/>
  <c r="X50" i="135" s="1"/>
  <c r="X10" i="132" l="1"/>
  <c r="X23" i="132" s="1"/>
  <c r="X12" i="120"/>
  <c r="X40" i="120" s="1"/>
  <c r="Y10" i="135"/>
  <c r="Y50" i="135" s="1"/>
  <c r="AA10" i="135" l="1"/>
  <c r="AA50" i="135" s="1"/>
  <c r="Y12" i="120"/>
  <c r="Y40" i="120" s="1"/>
  <c r="Y10" i="132"/>
  <c r="AB10" i="135" l="1"/>
  <c r="AB50" i="135" s="1"/>
  <c r="AA10" i="132"/>
  <c r="AA23" i="132" s="1"/>
  <c r="Y23" i="132"/>
  <c r="AA12" i="120"/>
  <c r="AA40" i="120" s="1"/>
  <c r="AB10" i="132" l="1"/>
  <c r="AB23" i="132" s="1"/>
  <c r="AB12" i="120"/>
  <c r="AB40" i="120" s="1"/>
  <c r="M9" i="123"/>
  <c r="M8" i="123" s="1"/>
  <c r="O8" i="123" l="1"/>
  <c r="O43" i="123" s="1"/>
  <c r="N8" i="123"/>
  <c r="N43" i="123" s="1"/>
  <c r="P8" i="123" l="1"/>
  <c r="P43" i="123" s="1"/>
  <c r="T8" i="123"/>
  <c r="T43" i="123" s="1"/>
  <c r="V8" i="123"/>
  <c r="V43" i="123" s="1"/>
  <c r="R8" i="123"/>
  <c r="R43" i="123" s="1"/>
  <c r="Q8" i="123" l="1"/>
  <c r="Q43" i="123" s="1"/>
  <c r="S8" i="123" l="1"/>
  <c r="S43" i="123" s="1"/>
  <c r="X9" i="123"/>
  <c r="X8" i="123" s="1"/>
  <c r="U8" i="123"/>
  <c r="U43" i="123" s="1"/>
  <c r="W8" i="123" l="1"/>
  <c r="W43" i="123" s="1"/>
  <c r="Y9" i="123"/>
  <c r="Y8" i="123" s="1"/>
  <c r="AA9" i="123" l="1"/>
  <c r="AA8" i="123" s="1"/>
  <c r="M18" i="133"/>
  <c r="AB9" i="123" l="1"/>
  <c r="AB8" i="123" s="1"/>
  <c r="X18" i="133" l="1"/>
  <c r="Y18" i="133" l="1"/>
  <c r="AA18" i="133" l="1"/>
  <c r="AB18" i="133" l="1"/>
  <c r="M12" i="136"/>
  <c r="M12" i="131" l="1"/>
  <c r="M9" i="119" l="1"/>
  <c r="AB9" i="119" s="1"/>
  <c r="X12" i="131" l="1"/>
  <c r="Y12" i="131"/>
  <c r="AA12" i="131" s="1"/>
  <c r="AB12" i="131" l="1"/>
  <c r="X11" i="118" l="1"/>
  <c r="X12" i="118"/>
  <c r="M13" i="131"/>
  <c r="X14" i="118" l="1"/>
  <c r="Y11" i="119"/>
  <c r="Y8" i="119" s="1"/>
  <c r="Y26" i="119" s="1"/>
  <c r="X11" i="119"/>
  <c r="X8" i="119" s="1"/>
  <c r="X26" i="119" s="1"/>
  <c r="Y11" i="118"/>
  <c r="Y12" i="118"/>
  <c r="Y14" i="118" l="1"/>
  <c r="AA11" i="119"/>
  <c r="AA8" i="119" s="1"/>
  <c r="AA26" i="119" s="1"/>
  <c r="Y13" i="131" l="1"/>
  <c r="AA13" i="131" s="1"/>
  <c r="X13" i="131"/>
  <c r="AB13" i="131" l="1"/>
  <c r="T50" i="135" l="1"/>
  <c r="P50" i="135"/>
  <c r="N50" i="135"/>
  <c r="O50" i="135" l="1"/>
  <c r="Q50" i="135" l="1"/>
  <c r="M23" i="131" l="1"/>
  <c r="M22" i="131"/>
  <c r="M21" i="131"/>
  <c r="M20" i="131"/>
  <c r="M11" i="131"/>
  <c r="M10" i="131"/>
  <c r="M9" i="131"/>
  <c r="M25" i="131" l="1"/>
  <c r="Y10" i="131" l="1"/>
  <c r="AA10" i="131" s="1"/>
  <c r="Y21" i="131"/>
  <c r="Y20" i="131"/>
  <c r="Y23" i="131"/>
  <c r="Y11" i="131"/>
  <c r="Y22" i="131"/>
  <c r="Y25" i="131" l="1"/>
  <c r="T12" i="134" l="1"/>
  <c r="P12" i="134"/>
  <c r="N12" i="134"/>
  <c r="O12" i="134" l="1"/>
  <c r="R12" i="134" l="1"/>
  <c r="Q12" i="134"/>
  <c r="Z36" i="121" l="1"/>
  <c r="Z39" i="121" s="1"/>
  <c r="L36" i="121"/>
  <c r="L39" i="121" s="1"/>
  <c r="S12" i="134" l="1"/>
  <c r="U12" i="134"/>
  <c r="K36" i="121" l="1"/>
  <c r="K39" i="121" s="1"/>
  <c r="M36" i="121" l="1"/>
  <c r="M39" i="121" s="1"/>
  <c r="T18" i="133" l="1"/>
  <c r="P18" i="133"/>
  <c r="N18" i="133"/>
  <c r="Q18" i="133" l="1"/>
  <c r="O18" i="133" l="1"/>
  <c r="M11" i="118" l="1"/>
  <c r="Z14" i="118" l="1"/>
  <c r="L14" i="118"/>
  <c r="K8" i="119" l="1"/>
  <c r="K26" i="119" s="1"/>
  <c r="Z37" i="123" l="1"/>
  <c r="Z43" i="123" s="1"/>
  <c r="M37" i="123"/>
  <c r="M43" i="123" s="1"/>
  <c r="L37" i="123"/>
  <c r="L43" i="123" s="1"/>
  <c r="K37" i="123"/>
  <c r="K43" i="123" s="1"/>
  <c r="M11" i="119" l="1"/>
  <c r="M8" i="119" s="1"/>
  <c r="M26" i="119" s="1"/>
  <c r="AB11" i="119" l="1"/>
  <c r="AB8" i="119" s="1"/>
  <c r="AB26" i="119" s="1"/>
  <c r="T23" i="132"/>
  <c r="P23" i="132"/>
  <c r="N23" i="132"/>
  <c r="K23" i="132" l="1"/>
  <c r="V23" i="132" l="1"/>
  <c r="Q23" i="132"/>
  <c r="O23" i="132"/>
  <c r="N25" i="131" l="1"/>
  <c r="K25" i="131"/>
  <c r="O25" i="131" l="1"/>
  <c r="P25" i="131" l="1"/>
  <c r="T25" i="131"/>
  <c r="Q25" i="131" l="1"/>
  <c r="M12" i="118" l="1"/>
  <c r="M14" i="118" l="1"/>
  <c r="N14" i="118"/>
  <c r="N39" i="121"/>
  <c r="N40" i="120"/>
  <c r="K14" i="118" l="1"/>
  <c r="N26" i="119" l="1"/>
  <c r="AA23" i="131" l="1"/>
  <c r="V50" i="135"/>
  <c r="V12" i="134"/>
  <c r="AA11" i="131"/>
  <c r="X20" i="131"/>
  <c r="X10" i="131"/>
  <c r="R50" i="135"/>
  <c r="AA9" i="131"/>
  <c r="AA21" i="131"/>
  <c r="X21" i="131"/>
  <c r="X22" i="131"/>
  <c r="AA22" i="131"/>
  <c r="V18" i="133"/>
  <c r="R18" i="133"/>
  <c r="R23" i="132"/>
  <c r="V25" i="131"/>
  <c r="R25" i="131"/>
  <c r="AB10" i="131" l="1"/>
  <c r="AA20" i="131"/>
  <c r="AB20" i="131" s="1"/>
  <c r="X23" i="131"/>
  <c r="AB23" i="131" s="1"/>
  <c r="X11" i="131"/>
  <c r="AB11" i="131" s="1"/>
  <c r="AB21" i="131"/>
  <c r="AB9" i="131"/>
  <c r="X36" i="121"/>
  <c r="X39" i="121" s="1"/>
  <c r="W12" i="134"/>
  <c r="AA36" i="121"/>
  <c r="AA39" i="121" s="1"/>
  <c r="Y36" i="121"/>
  <c r="Y39" i="121" s="1"/>
  <c r="AB22" i="131"/>
  <c r="S50" i="135"/>
  <c r="AA11" i="118"/>
  <c r="S18" i="133"/>
  <c r="AA37" i="123"/>
  <c r="AA43" i="123" s="1"/>
  <c r="Y37" i="123"/>
  <c r="Y43" i="123" s="1"/>
  <c r="S25" i="131"/>
  <c r="U23" i="132"/>
  <c r="S23" i="132"/>
  <c r="X37" i="123"/>
  <c r="X43" i="123" s="1"/>
  <c r="AA12" i="118"/>
  <c r="AB12" i="118" s="1"/>
  <c r="AB11" i="118" l="1"/>
  <c r="AB14" i="118" s="1"/>
  <c r="AA14" i="118"/>
  <c r="AB25" i="131"/>
  <c r="X25" i="131"/>
  <c r="AA25" i="131"/>
  <c r="AB36" i="121"/>
  <c r="AB39" i="121" s="1"/>
  <c r="U50" i="135"/>
  <c r="U18" i="133"/>
  <c r="AB37" i="123"/>
  <c r="AB43" i="123" s="1"/>
  <c r="W23" i="132"/>
  <c r="U25" i="131"/>
  <c r="W50" i="135" l="1"/>
  <c r="W18" i="133"/>
  <c r="W25" i="131"/>
</calcChain>
</file>

<file path=xl/sharedStrings.xml><?xml version="1.0" encoding="utf-8"?>
<sst xmlns="http://schemas.openxmlformats.org/spreadsheetml/2006/main" count="1544" uniqueCount="648">
  <si>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</si>
  <si>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</si>
  <si>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</si>
  <si>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</si>
  <si>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</si>
  <si>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</si>
  <si>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</si>
  <si>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</si>
  <si>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</si>
  <si>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</si>
  <si>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</si>
  <si>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</si>
  <si>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</si>
  <si>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</si>
  <si>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</si>
  <si>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</si>
  <si>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</si>
  <si>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</si>
  <si>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</si>
  <si>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</si>
  <si>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</si>
  <si>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</si>
  <si>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</si>
  <si>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</si>
  <si>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</si>
  <si>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</si>
  <si>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</si>
  <si>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</si>
  <si>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</si>
  <si>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</si>
  <si>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</si>
  <si>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</si>
  <si>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</si>
  <si>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</si>
  <si>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</si>
  <si>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</si>
  <si>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</si>
  <si>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</si>
  <si>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</si>
  <si>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</si>
  <si>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</si>
  <si>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</si>
  <si>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</si>
  <si>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</si>
  <si>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</si>
  <si>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</si>
  <si>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</si>
  <si>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</si>
  <si>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</si>
  <si>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</si>
  <si>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</si>
  <si>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</si>
  <si>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</si>
  <si>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</si>
  <si>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</si>
  <si>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</si>
  <si>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</si>
  <si>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</si>
  <si>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</si>
  <si>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</si>
  <si>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</si>
  <si>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</si>
  <si>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</si>
  <si>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</si>
  <si>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</si>
  <si>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</si>
  <si>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</si>
  <si>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</si>
  <si>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</si>
  <si>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</si>
  <si>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</si>
  <si>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</si>
  <si>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</si>
  <si>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</si>
  <si>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</si>
  <si>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</si>
  <si>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</si>
  <si>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</si>
  <si>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</si>
  <si>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</si>
  <si>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</si>
  <si>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</si>
  <si>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</si>
  <si>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</si>
  <si>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</si>
  <si>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</si>
  <si>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</si>
  <si>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</si>
  <si>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</si>
  <si>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</si>
  <si>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</si>
  <si>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</si>
  <si>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</si>
  <si>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</si>
  <si>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</si>
  <si>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</si>
  <si>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</si>
  <si>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</si>
  <si>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</si>
  <si>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</si>
  <si>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</si>
  <si>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</si>
  <si>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</si>
  <si>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</si>
  <si>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</si>
  <si>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</si>
  <si>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</si>
  <si>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</si>
  <si>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</si>
  <si>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</si>
  <si>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</si>
  <si>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</si>
  <si>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</si>
  <si>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</si>
  <si>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</si>
  <si>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</si>
  <si>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</si>
  <si>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</si>
  <si>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</si>
  <si>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</si>
  <si>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</si>
  <si>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</si>
  <si>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</si>
  <si>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</si>
  <si>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</si>
  <si>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</si>
  <si>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</si>
  <si>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</si>
  <si>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</si>
  <si>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</si>
  <si>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</si>
  <si>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</si>
  <si>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</si>
  <si>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</si>
  <si>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</si>
  <si>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</si>
  <si>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</si>
  <si>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</si>
  <si>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</si>
  <si>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</si>
  <si>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</si>
  <si>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</si>
  <si>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</si>
  <si>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</si>
  <si>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</si>
  <si>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</si>
  <si>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</si>
  <si>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</si>
  <si>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</si>
  <si>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</si>
  <si>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</si>
  <si>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</si>
  <si>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</si>
  <si>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</si>
  <si>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</si>
  <si>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</si>
  <si>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</si>
  <si>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</si>
  <si>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</si>
  <si>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</si>
  <si>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</si>
  <si>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</si>
  <si>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</si>
  <si>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</si>
  <si>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</si>
  <si>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</si>
  <si>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</si>
  <si>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</si>
  <si>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</si>
  <si>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</si>
  <si>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</si>
  <si>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</si>
  <si>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</si>
  <si>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</si>
  <si>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</si>
  <si>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</si>
  <si>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</si>
  <si>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</si>
  <si>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</si>
  <si>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</si>
  <si>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</si>
  <si>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</si>
  <si>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</si>
  <si>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</si>
  <si>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</si>
  <si>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</si>
  <si>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</si>
  <si>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</si>
  <si>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</si>
  <si>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</si>
  <si>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</si>
  <si>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</si>
  <si>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</si>
  <si>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</si>
  <si>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</si>
  <si>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</si>
  <si>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</si>
  <si>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</si>
  <si>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</si>
  <si>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</si>
  <si>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</si>
  <si>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</si>
  <si>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</si>
  <si>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</si>
  <si>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</si>
  <si>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</si>
  <si>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</si>
  <si>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</si>
  <si>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</si>
  <si>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</si>
  <si>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</si>
  <si>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</si>
  <si>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</si>
  <si>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</si>
  <si>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</si>
  <si>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</si>
  <si>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</si>
  <si>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</si>
  <si>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</si>
  <si>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</si>
  <si>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</si>
  <si>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</si>
  <si>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</si>
  <si>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</si>
  <si>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</si>
  <si>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</si>
  <si>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</si>
  <si>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</si>
  <si>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</si>
  <si>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</si>
  <si>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</si>
  <si>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</si>
  <si>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</si>
  <si>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</si>
  <si>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</si>
  <si>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</si>
  <si>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</si>
  <si>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</si>
  <si>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</si>
  <si>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</si>
  <si>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</si>
  <si>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</si>
  <si>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</si>
  <si>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</si>
  <si>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</si>
  <si>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</si>
  <si>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</si>
  <si>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</si>
  <si>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</si>
  <si>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</si>
  <si>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</si>
  <si>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</si>
  <si>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</si>
  <si>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</si>
  <si>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</si>
  <si>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</si>
  <si>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</si>
  <si>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</si>
  <si>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</si>
  <si>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</si>
  <si>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</si>
  <si>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</si>
  <si>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</si>
  <si>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</si>
  <si>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</si>
  <si>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</si>
  <si>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</si>
  <si>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</si>
  <si>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</si>
  <si>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</si>
  <si>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</si>
  <si>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</si>
  <si>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</si>
  <si>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</si>
  <si>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</si>
  <si>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</si>
  <si>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</si>
  <si>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</si>
  <si>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</si>
  <si>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</si>
  <si>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</si>
  <si>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</si>
  <si>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</si>
  <si>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</si>
  <si>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</si>
  <si>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</si>
  <si>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</si>
  <si>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</si>
  <si>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</si>
  <si>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</si>
  <si>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</si>
  <si>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</si>
  <si>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</si>
  <si>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</si>
  <si>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</si>
  <si>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</si>
  <si>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</si>
  <si>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</si>
  <si>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</si>
  <si>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</si>
  <si>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</si>
  <si>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</si>
  <si>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</si>
  <si>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</si>
  <si>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316</t>
  </si>
  <si>
    <t>JAIME BALTIERRA SILVA</t>
  </si>
  <si>
    <t>BASJ750313467</t>
  </si>
  <si>
    <t>BASJ750313HJCLLM04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</si>
  <si>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</si>
  <si>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</si>
  <si>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</si>
  <si>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</si>
  <si>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</si>
  <si>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</si>
  <si>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</si>
  <si>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</si>
  <si>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</si>
  <si>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</si>
  <si>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</si>
  <si>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</si>
  <si>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</si>
  <si>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</si>
  <si>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</si>
  <si>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</si>
  <si>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</si>
  <si>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</si>
  <si>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</si>
  <si>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</si>
  <si>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</si>
  <si>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</si>
  <si>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</si>
  <si>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</si>
  <si>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</si>
  <si>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</si>
  <si>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</si>
  <si>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</si>
  <si>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</si>
  <si>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</si>
  <si>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</si>
  <si>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</si>
  <si>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</si>
  <si>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</si>
  <si>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</si>
  <si>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</si>
  <si>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</si>
  <si>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</si>
  <si>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</si>
  <si>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</si>
  <si>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</si>
  <si>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</si>
  <si>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</si>
  <si>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</si>
  <si>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</si>
  <si>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</si>
  <si>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</si>
  <si>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</si>
  <si>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</si>
  <si>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</si>
  <si>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</si>
  <si>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</si>
  <si>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</si>
  <si>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</si>
  <si>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</si>
  <si>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</si>
  <si>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</si>
  <si>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</si>
  <si>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</si>
  <si>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</si>
  <si>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</si>
  <si>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</si>
  <si>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</si>
  <si>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</si>
  <si>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</si>
  <si>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</si>
  <si>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</si>
  <si>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</si>
  <si>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</si>
  <si>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</si>
  <si>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</si>
  <si>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</si>
  <si>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</si>
  <si>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</si>
  <si>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</si>
  <si>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</si>
  <si>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</si>
  <si>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</si>
  <si>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</si>
  <si>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</si>
  <si>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</si>
  <si>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</si>
  <si>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</si>
  <si>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</si>
  <si>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</si>
  <si>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</si>
  <si>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</si>
  <si>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</si>
  <si>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</si>
  <si>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</si>
  <si>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</si>
  <si>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</si>
  <si>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</si>
  <si>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</si>
  <si>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</si>
  <si>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</si>
  <si>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</si>
  <si>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</si>
  <si>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</si>
  <si>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</si>
  <si>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</si>
  <si>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</si>
  <si>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</si>
  <si>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</si>
  <si>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</si>
  <si>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</si>
  <si>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</si>
  <si>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</si>
  <si>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</si>
  <si>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</si>
  <si>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</si>
  <si>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</si>
  <si>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</si>
  <si>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</si>
  <si>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</si>
  <si>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</si>
  <si>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</si>
  <si>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</si>
  <si>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</si>
  <si>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</si>
  <si>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</si>
  <si>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</si>
  <si>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</si>
  <si>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</si>
  <si>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</si>
  <si>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</si>
  <si>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</si>
  <si>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</si>
  <si>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</si>
  <si>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</si>
  <si>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</si>
  <si>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</si>
  <si>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</si>
  <si>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</si>
  <si>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</si>
  <si>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</si>
  <si>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</si>
  <si>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</si>
  <si>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</si>
  <si>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</si>
  <si>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</si>
  <si>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</si>
  <si>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</si>
  <si>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</si>
  <si>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</si>
  <si>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</si>
  <si>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</si>
  <si>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</si>
  <si>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</si>
  <si>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</si>
  <si>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</si>
  <si>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</si>
  <si>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</si>
  <si>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</si>
  <si>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</si>
  <si>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</si>
  <si>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</si>
  <si>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</si>
  <si>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</si>
  <si>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</si>
  <si>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</si>
  <si>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</si>
  <si>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</si>
  <si>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</si>
  <si>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</si>
  <si>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</si>
  <si>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</si>
  <si>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</si>
  <si>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</si>
  <si>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</si>
  <si>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</si>
  <si>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</si>
  <si>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</si>
  <si>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</si>
  <si>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</si>
  <si>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</si>
  <si>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</si>
  <si>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</si>
  <si>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</si>
  <si>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</si>
  <si>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</si>
  <si>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</si>
  <si>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</si>
  <si>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</si>
  <si>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</si>
  <si>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</si>
  <si>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</si>
  <si>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</si>
  <si>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</si>
  <si>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</si>
  <si>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</si>
  <si>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</si>
  <si>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</si>
  <si>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</si>
  <si>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</si>
  <si>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</si>
  <si>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</si>
  <si>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</si>
  <si>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</si>
  <si>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</si>
  <si>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</si>
  <si>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</si>
  <si>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</si>
  <si>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</si>
  <si>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</si>
  <si>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</si>
  <si>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</si>
  <si>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</si>
  <si>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</si>
  <si>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</si>
  <si>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</si>
  <si>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</si>
  <si>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</si>
  <si>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</si>
  <si>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</si>
  <si>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</si>
  <si>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</si>
  <si>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</si>
  <si>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</si>
  <si>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</si>
  <si>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</si>
  <si>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</si>
  <si>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</si>
  <si>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</si>
  <si>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</si>
  <si>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</si>
  <si>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</si>
  <si>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</si>
  <si>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</si>
  <si>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</si>
  <si>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</si>
  <si>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</si>
  <si>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</si>
  <si>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</si>
  <si>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</si>
  <si>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</si>
  <si>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</si>
  <si>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</si>
  <si>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</si>
  <si>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</si>
  <si>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</si>
  <si>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</si>
  <si>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</si>
  <si>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</si>
  <si>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</si>
  <si>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</si>
  <si>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</si>
  <si>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</si>
  <si>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</si>
  <si>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</si>
  <si>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</si>
  <si>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</si>
  <si>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</si>
  <si>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</si>
  <si>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</si>
  <si>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</si>
  <si>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</si>
  <si>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</si>
  <si>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</si>
  <si>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</si>
  <si>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</si>
  <si>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</si>
  <si>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</si>
  <si>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</si>
  <si>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SACA8104131B5</t>
  </si>
  <si>
    <t>305</t>
  </si>
  <si>
    <t>RAFAEL NUÑEZ SILVA</t>
  </si>
  <si>
    <t>NUSR670406TB4</t>
  </si>
  <si>
    <t>NUSR670406HJCXLF02</t>
  </si>
  <si>
    <t>ARACELI AVELAR VALDEZ</t>
  </si>
  <si>
    <t>AEVA930930QJ2</t>
  </si>
  <si>
    <t>AEVA930930MJCVLR07</t>
  </si>
  <si>
    <t>EDUCACIÓN</t>
  </si>
  <si>
    <t>HERIBERTO PEREZ CRUZ</t>
  </si>
  <si>
    <t>AUXILIAR ADMINISTRATIVO</t>
  </si>
  <si>
    <t>DIRECTOR GENERAL DE INFRAESTRUCTURA Y DESARROLLO SOCIAL</t>
  </si>
  <si>
    <t>DIRECTOR DE MAQUINARIA Y ALMACENES MUNICIPALES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</si>
  <si>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</si>
  <si>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</si>
  <si>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</si>
  <si>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</si>
  <si>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</si>
  <si>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</si>
  <si>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</si>
  <si>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</si>
  <si>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</si>
  <si>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</si>
  <si>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</si>
  <si>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</si>
  <si>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</si>
  <si>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</si>
  <si>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</si>
  <si>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</si>
  <si>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</si>
  <si>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</si>
  <si>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</si>
  <si>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</si>
  <si>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</si>
  <si>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</si>
  <si>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</si>
  <si>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</si>
  <si>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</si>
  <si>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</si>
  <si>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</si>
  <si>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</si>
  <si>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</si>
  <si>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</si>
  <si>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</si>
  <si>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</si>
  <si>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</si>
  <si>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</si>
  <si>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</si>
  <si>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</si>
  <si>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</si>
  <si>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</si>
  <si>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</si>
  <si>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</si>
  <si>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</si>
  <si>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</si>
  <si>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JESUS ALBERTO LOPEZ CAMPOS</t>
  </si>
  <si>
    <t>LOCJ880316841</t>
  </si>
  <si>
    <t>LOCJ880316HJCPMS01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</si>
  <si>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</si>
  <si>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</si>
  <si>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</si>
  <si>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</si>
  <si>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</si>
  <si>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</si>
  <si>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</si>
  <si>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HEPJ681011T78</t>
  </si>
  <si>
    <t>HEPJ681011HJCRRM07</t>
  </si>
  <si>
    <t>OPERADOR MOTOCONFORAMDORA</t>
  </si>
  <si>
    <t>MECG030503QW9</t>
  </si>
  <si>
    <t>MECG030503HJCNRLA2</t>
  </si>
  <si>
    <t>410</t>
  </si>
  <si>
    <t>GUILLEN DE LAMPORT MENDOZA CRUZ</t>
  </si>
  <si>
    <t>BAAC95090985A</t>
  </si>
  <si>
    <t>SUELDO  DEL 01 AL 15 DE MARZO DE 2025</t>
  </si>
  <si>
    <t>SUELDO DEL 01 AL 15 DE MARZO DE 2025</t>
  </si>
  <si>
    <t>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</si>
</sst>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18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2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2" fillId="5" borderId="2" xfId="5" applyNumberFormat="1" applyFont="1" applyFill="1" applyBorder="1" applyAlignment="1" applyProtection="1">
      <alignment vertical="center" wrapText="1"/>
      <protection locked="0"/>
    </xf>
    <xf numFmtId="49" fontId="42" fillId="5" borderId="14" xfId="5" applyNumberFormat="1" applyFont="1" applyFill="1" applyBorder="1" applyAlignment="1" applyProtection="1">
      <alignment vertical="center" wrapText="1"/>
      <protection locked="0"/>
    </xf>
    <xf numFmtId="49" fontId="42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2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2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5" fillId="0" borderId="4" xfId="0" applyFont="1" applyBorder="1" applyAlignment="1">
      <alignment horizontal="left" vertical="center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2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9" fontId="29" fillId="0" borderId="0" xfId="0" applyNumberFormat="1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1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2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2" fillId="5" borderId="4" xfId="0" applyNumberFormat="1" applyFont="1" applyFill="1" applyBorder="1" applyAlignment="1">
      <alignment vertical="center" wrapText="1"/>
    </xf>
    <xf numFmtId="49" fontId="42" fillId="0" borderId="4" xfId="0" applyNumberFormat="1" applyFont="1" applyBorder="1" applyAlignment="1">
      <alignment vertical="center" wrapText="1"/>
    </xf>
    <xf numFmtId="49" fontId="42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2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5" fillId="0" borderId="0" xfId="0" applyFont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165" fontId="44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4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26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18</xdr:row>
      <xdr:rowOff>242454</xdr:rowOff>
    </xdr:from>
    <xdr:to>
      <xdr:col>3</xdr:col>
      <xdr:colOff>851312</xdr:colOff>
      <xdr:row>20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32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195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594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7" t="s">
        <v>10</v>
      </c>
      <c r="C7" s="447"/>
      <c r="D7" s="447"/>
      <c r="E7" s="7"/>
      <c r="F7" s="440" t="s">
        <v>48</v>
      </c>
      <c r="G7" s="441"/>
      <c r="I7" s="110" t="s">
        <v>196</v>
      </c>
    </row>
    <row r="8" spans="1:9" ht="14.25" customHeight="1" x14ac:dyDescent="0.2">
      <c r="B8" s="444" t="s">
        <v>9</v>
      </c>
      <c r="C8" s="444"/>
      <c r="D8" s="444"/>
      <c r="E8" s="7"/>
      <c r="F8" s="445" t="s">
        <v>49</v>
      </c>
      <c r="G8" s="446"/>
      <c r="I8" s="109">
        <v>113.14</v>
      </c>
    </row>
    <row r="9" spans="1:9" ht="8.25" customHeight="1" x14ac:dyDescent="0.2">
      <c r="B9" s="448"/>
      <c r="C9" s="448"/>
      <c r="D9" s="448"/>
      <c r="E9" s="7"/>
      <c r="F9" s="442"/>
      <c r="G9" s="443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596</v>
      </c>
      <c r="C28" s="7"/>
      <c r="D28" s="7"/>
    </row>
    <row r="29" spans="1:8" x14ac:dyDescent="0.2">
      <c r="B29" s="32" t="s">
        <v>595</v>
      </c>
      <c r="C29" s="7"/>
      <c r="D29" s="7"/>
    </row>
    <row r="30" spans="1:8" x14ac:dyDescent="0.2">
      <c r="B30" s="199" t="s">
        <v>397</v>
      </c>
      <c r="C30" s="198"/>
      <c r="D30" s="198"/>
      <c r="E30" s="198"/>
      <c r="F30" s="198"/>
      <c r="G30" s="198"/>
      <c r="H30" s="198"/>
    </row>
    <row r="32" spans="1:8" ht="17.25" customHeight="1" x14ac:dyDescent="0.2">
      <c r="B32" s="5" t="s">
        <v>45</v>
      </c>
      <c r="E32" s="7"/>
      <c r="F32" s="440" t="s">
        <v>53</v>
      </c>
      <c r="G32" s="441"/>
    </row>
    <row r="33" spans="2:7" x14ac:dyDescent="0.2">
      <c r="E33" s="7"/>
      <c r="F33" s="445" t="s">
        <v>54</v>
      </c>
      <c r="G33" s="446"/>
    </row>
    <row r="34" spans="2:7" ht="5.25" customHeight="1" x14ac:dyDescent="0.2">
      <c r="E34" s="7"/>
      <c r="F34" s="442"/>
      <c r="G34" s="443"/>
    </row>
    <row r="35" spans="2:7" x14ac:dyDescent="0.2">
      <c r="B35" s="447" t="s">
        <v>10</v>
      </c>
      <c r="C35" s="447"/>
      <c r="D35" s="447"/>
      <c r="E35" s="7"/>
      <c r="F35" s="9" t="s">
        <v>16</v>
      </c>
      <c r="G35" s="9" t="s">
        <v>17</v>
      </c>
    </row>
    <row r="36" spans="2:7" x14ac:dyDescent="0.2">
      <c r="B36" s="444" t="s">
        <v>9</v>
      </c>
      <c r="C36" s="444"/>
      <c r="D36" s="444"/>
      <c r="E36" s="7"/>
      <c r="F36" s="9"/>
      <c r="G36" s="9" t="s">
        <v>18</v>
      </c>
    </row>
    <row r="37" spans="2:7" x14ac:dyDescent="0.2">
      <c r="B37" s="448"/>
      <c r="C37" s="448"/>
      <c r="D37" s="448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0"/>
  <sheetViews>
    <sheetView topLeftCell="B13" zoomScale="73" zoomScaleNormal="73" workbookViewId="0">
      <selection activeCell="Y11" sqref="Y1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30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30" ht="19.5" x14ac:dyDescent="0.25">
      <c r="A3" s="453" t="str">
        <f>PRESIDENCIA!A3</f>
        <v>SUELDO  DEL 01 AL 15 DE MARZO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499" t="s">
        <v>97</v>
      </c>
      <c r="C5" s="499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33"/>
    </row>
    <row r="6" spans="1:30" ht="12.75" customHeight="1" x14ac:dyDescent="0.2">
      <c r="A6" s="26" t="s">
        <v>20</v>
      </c>
      <c r="B6" s="500"/>
      <c r="C6" s="500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1"/>
      <c r="C7" s="501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198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3"/>
      <c r="C8" s="231"/>
      <c r="D8" s="230" t="s">
        <v>580</v>
      </c>
      <c r="E8" s="231" t="s">
        <v>98</v>
      </c>
      <c r="F8" s="231" t="s">
        <v>229</v>
      </c>
      <c r="G8" s="230" t="s">
        <v>291</v>
      </c>
      <c r="H8" s="241" t="s">
        <v>61</v>
      </c>
      <c r="I8" s="241"/>
      <c r="J8" s="241"/>
      <c r="K8" s="241"/>
      <c r="L8" s="241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3" customFormat="1" ht="230.25" customHeight="1" x14ac:dyDescent="0.2">
      <c r="A9" s="268" t="s">
        <v>85</v>
      </c>
      <c r="B9" s="292" t="s">
        <v>161</v>
      </c>
      <c r="C9" s="381" t="s">
        <v>118</v>
      </c>
      <c r="D9" s="266" t="s">
        <v>146</v>
      </c>
      <c r="E9" s="145" t="s">
        <v>157</v>
      </c>
      <c r="F9" s="145" t="s">
        <v>245</v>
      </c>
      <c r="G9" s="244">
        <v>43374</v>
      </c>
      <c r="H9" s="328" t="s">
        <v>120</v>
      </c>
      <c r="I9" s="275">
        <v>15</v>
      </c>
      <c r="J9" s="276">
        <f>K9/I9</f>
        <v>309.60000000000002</v>
      </c>
      <c r="K9" s="277">
        <v>4644</v>
      </c>
      <c r="L9" s="278">
        <v>0</v>
      </c>
      <c r="M9" s="279">
        <f>SUM(K9:L9)</f>
        <v>4644</v>
      </c>
      <c r="N9" s="301">
        <f>IF(K9/15&lt;=SMG,0,L9/2)</f>
        <v>0</v>
      </c>
      <c r="O9" s="322">
        <f>(K9+N9)/I9*30.4</f>
        <v>9411.84</v>
      </c>
      <c r="P9" s="322">
        <f>VLOOKUP(O9,Tarifa,1)</f>
        <v>6332.06</v>
      </c>
      <c r="Q9" s="301">
        <f>O9-P9</f>
        <v>3079.7799999999997</v>
      </c>
      <c r="R9" s="302">
        <f>VLOOKUP(O9,Tarifa,3)</f>
        <v>0.10879999999999999</v>
      </c>
      <c r="S9" s="301">
        <f>Q9*R9</f>
        <v>335.08006399999994</v>
      </c>
      <c r="T9" s="303">
        <f>VLOOKUP(O9,Tarifa,2)</f>
        <v>371.83</v>
      </c>
      <c r="U9" s="301">
        <f>S9+T9</f>
        <v>706.91006399999992</v>
      </c>
      <c r="V9" s="301">
        <f>VLOOKUP(O9,Credito,2)</f>
        <v>475</v>
      </c>
      <c r="W9" s="301">
        <f>ROUND((U9-V9)/30.4*I9,2)</f>
        <v>114.43</v>
      </c>
      <c r="X9" s="279">
        <f>-IF(W9&gt;0,0,0)</f>
        <v>0</v>
      </c>
      <c r="Y9" s="279">
        <f t="shared" ref="Y9:Y11" si="0">IF(K9/15&lt;=SMG,0,IF(W9&lt;0,0,W9))</f>
        <v>114.43</v>
      </c>
      <c r="Z9" s="280">
        <v>0</v>
      </c>
      <c r="AA9" s="279">
        <f t="shared" ref="AA9:AA11" si="1">SUM(Y9:Z9)</f>
        <v>114.43</v>
      </c>
      <c r="AB9" s="279">
        <f>M9+X9-AA9</f>
        <v>4529.57</v>
      </c>
      <c r="AC9" s="291"/>
    </row>
    <row r="10" spans="1:30" s="283" customFormat="1" ht="230.25" customHeight="1" x14ac:dyDescent="0.2">
      <c r="A10" s="310"/>
      <c r="B10" s="285">
        <v>188</v>
      </c>
      <c r="C10" s="381" t="s">
        <v>118</v>
      </c>
      <c r="D10" s="287" t="s">
        <v>162</v>
      </c>
      <c r="E10" s="288" t="s">
        <v>163</v>
      </c>
      <c r="F10" s="288" t="s">
        <v>246</v>
      </c>
      <c r="G10" s="382">
        <v>43389</v>
      </c>
      <c r="H10" s="274" t="s">
        <v>228</v>
      </c>
      <c r="I10" s="275">
        <v>15</v>
      </c>
      <c r="J10" s="276">
        <f>K10/I10</f>
        <v>442.26666666666665</v>
      </c>
      <c r="K10" s="277">
        <v>6634</v>
      </c>
      <c r="L10" s="278">
        <v>0</v>
      </c>
      <c r="M10" s="277">
        <f>K10</f>
        <v>6634</v>
      </c>
      <c r="N10" s="301">
        <f>IF(K10/15&lt;=SMG,0,L10/2)</f>
        <v>0</v>
      </c>
      <c r="O10" s="322">
        <f>(K10+N10)/I10*30.4</f>
        <v>13444.906666666666</v>
      </c>
      <c r="P10" s="322">
        <f>VLOOKUP(O10,Tarifa,1)</f>
        <v>12935.83</v>
      </c>
      <c r="Q10" s="301">
        <f>O10-P10</f>
        <v>509.07666666666591</v>
      </c>
      <c r="R10" s="302">
        <f>VLOOKUP(O10,Tarifa,3)</f>
        <v>0.1792</v>
      </c>
      <c r="S10" s="301">
        <f>Q10*R10</f>
        <v>91.226538666666528</v>
      </c>
      <c r="T10" s="303">
        <f>VLOOKUP(O10,Tarifa,2)</f>
        <v>1182.8800000000001</v>
      </c>
      <c r="U10" s="301">
        <f>S10+T10</f>
        <v>1274.1065386666667</v>
      </c>
      <c r="V10" s="301">
        <f>VLOOKUP(O10,Credito,2)</f>
        <v>0</v>
      </c>
      <c r="W10" s="301">
        <f>ROUND((U10-V10)/30.4*I10,2)</f>
        <v>628.66999999999996</v>
      </c>
      <c r="X10" s="279">
        <f>-IF(W10&gt;0,0,0)</f>
        <v>0</v>
      </c>
      <c r="Y10" s="279">
        <f t="shared" si="0"/>
        <v>628.66999999999996</v>
      </c>
      <c r="Z10" s="280">
        <v>0</v>
      </c>
      <c r="AA10" s="279">
        <f t="shared" si="1"/>
        <v>628.66999999999996</v>
      </c>
      <c r="AB10" s="279">
        <f>M10+X10-AA10+L10</f>
        <v>6005.33</v>
      </c>
      <c r="AC10" s="291"/>
    </row>
    <row r="11" spans="1:30" s="283" customFormat="1" ht="230.25" customHeight="1" x14ac:dyDescent="0.2">
      <c r="A11" s="383"/>
      <c r="B11" s="286" t="s">
        <v>215</v>
      </c>
      <c r="C11" s="286" t="s">
        <v>118</v>
      </c>
      <c r="D11" s="336" t="s">
        <v>216</v>
      </c>
      <c r="E11" s="134" t="s">
        <v>217</v>
      </c>
      <c r="F11" s="134" t="s">
        <v>248</v>
      </c>
      <c r="G11" s="212">
        <v>43512</v>
      </c>
      <c r="H11" s="328" t="s">
        <v>120</v>
      </c>
      <c r="I11" s="275">
        <v>15</v>
      </c>
      <c r="J11" s="276">
        <f>K11/I11</f>
        <v>309.60000000000002</v>
      </c>
      <c r="K11" s="277">
        <v>4644</v>
      </c>
      <c r="L11" s="278">
        <v>0</v>
      </c>
      <c r="M11" s="279">
        <f>SUM(K11:L11)</f>
        <v>4644</v>
      </c>
      <c r="N11" s="301">
        <f>IF(K11/15&lt;=SMG,0,L11/2)</f>
        <v>0</v>
      </c>
      <c r="O11" s="322">
        <f>(K11+N11)/I11*30.4</f>
        <v>9411.84</v>
      </c>
      <c r="P11" s="322">
        <f>VLOOKUP(O11,Tarifa,1)</f>
        <v>6332.06</v>
      </c>
      <c r="Q11" s="301">
        <f>O11-P11</f>
        <v>3079.7799999999997</v>
      </c>
      <c r="R11" s="302">
        <f>VLOOKUP(O11,Tarifa,3)</f>
        <v>0.10879999999999999</v>
      </c>
      <c r="S11" s="301">
        <f>Q11*R11</f>
        <v>335.08006399999994</v>
      </c>
      <c r="T11" s="303">
        <f>VLOOKUP(O11,Tarifa,2)</f>
        <v>371.83</v>
      </c>
      <c r="U11" s="301">
        <f>S11+T11</f>
        <v>706.91006399999992</v>
      </c>
      <c r="V11" s="301">
        <f>VLOOKUP(O11,Credito,2)</f>
        <v>475</v>
      </c>
      <c r="W11" s="301">
        <f>ROUND((U11-V11)/30.4*I11,2)</f>
        <v>114.43</v>
      </c>
      <c r="X11" s="279">
        <f>-IF(W11&gt;0,0,0)</f>
        <v>0</v>
      </c>
      <c r="Y11" s="279">
        <f t="shared" si="0"/>
        <v>114.43</v>
      </c>
      <c r="Z11" s="280">
        <v>0</v>
      </c>
      <c r="AA11" s="279">
        <f t="shared" si="1"/>
        <v>114.43</v>
      </c>
      <c r="AB11" s="279">
        <f>M11+X11-AA11</f>
        <v>4529.57</v>
      </c>
      <c r="AC11" s="291"/>
    </row>
    <row r="12" spans="1:30" s="283" customFormat="1" ht="230.25" customHeight="1" x14ac:dyDescent="0.2">
      <c r="A12" s="383"/>
      <c r="B12" s="285">
        <v>317</v>
      </c>
      <c r="C12" s="286" t="s">
        <v>118</v>
      </c>
      <c r="D12" s="265" t="s">
        <v>308</v>
      </c>
      <c r="E12" s="145" t="s">
        <v>309</v>
      </c>
      <c r="F12" s="145" t="s">
        <v>310</v>
      </c>
      <c r="G12" s="244">
        <v>45078</v>
      </c>
      <c r="H12" s="328" t="s">
        <v>120</v>
      </c>
      <c r="I12" s="275">
        <v>15</v>
      </c>
      <c r="J12" s="276">
        <f>K12/I12</f>
        <v>309.60000000000002</v>
      </c>
      <c r="K12" s="277">
        <v>4644</v>
      </c>
      <c r="L12" s="278">
        <v>0</v>
      </c>
      <c r="M12" s="279">
        <f>SUM(K12:L12)</f>
        <v>4644</v>
      </c>
      <c r="N12" s="301">
        <f>IF(K12/15&lt;=SMG,0,L12/2)</f>
        <v>0</v>
      </c>
      <c r="O12" s="322">
        <f>(K12+N12)/I12*30.4</f>
        <v>9411.84</v>
      </c>
      <c r="P12" s="322">
        <f>VLOOKUP(O12,Tarifa,1)</f>
        <v>6332.06</v>
      </c>
      <c r="Q12" s="301">
        <f>O12-P12</f>
        <v>3079.7799999999997</v>
      </c>
      <c r="R12" s="302">
        <f>VLOOKUP(O12,Tarifa,3)</f>
        <v>0.10879999999999999</v>
      </c>
      <c r="S12" s="301">
        <f>Q12*R12</f>
        <v>335.08006399999994</v>
      </c>
      <c r="T12" s="303">
        <f>VLOOKUP(O12,Tarifa,2)</f>
        <v>371.83</v>
      </c>
      <c r="U12" s="301">
        <f>S12+T12</f>
        <v>706.91006399999992</v>
      </c>
      <c r="V12" s="301">
        <f>VLOOKUP(O12,Credito,2)</f>
        <v>475</v>
      </c>
      <c r="W12" s="301">
        <f>ROUND((U12-V12)/30.4*I12,2)</f>
        <v>114.43</v>
      </c>
      <c r="X12" s="279">
        <f t="shared" ref="X12" si="2">-IF(W12&gt;0,0,0)</f>
        <v>0</v>
      </c>
      <c r="Y12" s="279">
        <f t="shared" ref="Y12:Y21" si="3">IF(K12/15&lt;=SMG,0,IF(W12&lt;0,0,W12))</f>
        <v>114.43</v>
      </c>
      <c r="Z12" s="280">
        <v>0</v>
      </c>
      <c r="AA12" s="279">
        <f t="shared" ref="AA12:AA20" si="4">SUM(Y12:Z12)</f>
        <v>114.43</v>
      </c>
      <c r="AB12" s="279">
        <f>M12+X12-AA12</f>
        <v>4529.57</v>
      </c>
      <c r="AC12" s="291"/>
    </row>
    <row r="13" spans="1:30" s="283" customFormat="1" ht="230.25" customHeight="1" x14ac:dyDescent="0.2">
      <c r="A13" s="383"/>
      <c r="B13" s="327">
        <v>353</v>
      </c>
      <c r="C13" s="286" t="s">
        <v>118</v>
      </c>
      <c r="D13" s="267" t="s">
        <v>390</v>
      </c>
      <c r="E13" s="135" t="s">
        <v>391</v>
      </c>
      <c r="F13" s="135" t="s">
        <v>392</v>
      </c>
      <c r="G13" s="264">
        <v>45391</v>
      </c>
      <c r="H13" s="328" t="s">
        <v>120</v>
      </c>
      <c r="I13" s="275">
        <v>15</v>
      </c>
      <c r="J13" s="276">
        <f>K13/I13</f>
        <v>309.60000000000002</v>
      </c>
      <c r="K13" s="277">
        <v>4644</v>
      </c>
      <c r="L13" s="278">
        <v>0</v>
      </c>
      <c r="M13" s="279">
        <f>SUM(K13:L13)</f>
        <v>4644</v>
      </c>
      <c r="N13" s="301">
        <f>IF(K13/15&lt;=SMG,0,L13/2)</f>
        <v>0</v>
      </c>
      <c r="O13" s="322">
        <f>(K13+N13)/I13*30.4</f>
        <v>9411.84</v>
      </c>
      <c r="P13" s="322">
        <f>VLOOKUP(O13,Tarifa,1)</f>
        <v>6332.06</v>
      </c>
      <c r="Q13" s="301">
        <f>O13-P13</f>
        <v>3079.7799999999997</v>
      </c>
      <c r="R13" s="302">
        <f>VLOOKUP(O13,Tarifa,3)</f>
        <v>0.10879999999999999</v>
      </c>
      <c r="S13" s="301">
        <f>Q13*R13</f>
        <v>335.08006399999994</v>
      </c>
      <c r="T13" s="303">
        <f>VLOOKUP(O13,Tarifa,2)</f>
        <v>371.83</v>
      </c>
      <c r="U13" s="301">
        <f>S13+T13</f>
        <v>706.91006399999992</v>
      </c>
      <c r="V13" s="301">
        <f>VLOOKUP(O13,Credito,2)</f>
        <v>475</v>
      </c>
      <c r="W13" s="301">
        <f>ROUND((U13-V13)/30.4*I13,2)</f>
        <v>114.43</v>
      </c>
      <c r="X13" s="279">
        <f t="shared" ref="X13:X21" si="5">-IF(W13&gt;0,0,0)</f>
        <v>0</v>
      </c>
      <c r="Y13" s="279">
        <f t="shared" si="3"/>
        <v>114.43</v>
      </c>
      <c r="Z13" s="280">
        <v>0</v>
      </c>
      <c r="AA13" s="279">
        <f t="shared" si="4"/>
        <v>114.43</v>
      </c>
      <c r="AB13" s="279">
        <f>M13+X13-AA13</f>
        <v>4529.57</v>
      </c>
      <c r="AC13" s="291"/>
    </row>
    <row r="14" spans="1:30" s="91" customFormat="1" ht="36.75" customHeight="1" x14ac:dyDescent="0.3">
      <c r="A14" s="146"/>
      <c r="B14" s="259"/>
      <c r="C14" s="217"/>
      <c r="D14" s="260"/>
      <c r="E14" s="261"/>
      <c r="F14" s="261"/>
      <c r="G14" s="262"/>
      <c r="H14" s="263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s="91" customFormat="1" ht="23.25" customHeight="1" x14ac:dyDescent="0.3">
      <c r="A15" s="146"/>
      <c r="B15" s="259"/>
      <c r="C15" s="217"/>
      <c r="D15" s="260"/>
      <c r="E15" s="261"/>
      <c r="F15" s="261"/>
      <c r="G15" s="262"/>
      <c r="H15" s="263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s="91" customFormat="1" ht="31.5" customHeight="1" x14ac:dyDescent="0.25">
      <c r="A16" s="146"/>
      <c r="B16" s="463" t="s">
        <v>77</v>
      </c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</row>
    <row r="17" spans="1:30" s="91" customFormat="1" ht="26.25" customHeight="1" x14ac:dyDescent="0.25">
      <c r="A17" s="146"/>
      <c r="B17" s="463" t="s">
        <v>64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</row>
    <row r="18" spans="1:30" s="91" customFormat="1" ht="27.75" customHeight="1" x14ac:dyDescent="0.25">
      <c r="A18" s="146"/>
      <c r="B18" s="453" t="str">
        <f>A3</f>
        <v>SUELDO  DEL 01 AL 15 DE MARZO DE 2025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  <c r="AB18" s="453"/>
      <c r="AC18" s="453"/>
      <c r="AD18" s="453"/>
    </row>
    <row r="19" spans="1:30" s="91" customFormat="1" ht="26.25" customHeight="1" x14ac:dyDescent="0.3">
      <c r="A19" s="146"/>
      <c r="B19" s="259"/>
      <c r="C19" s="217"/>
      <c r="D19" s="260"/>
      <c r="E19" s="261"/>
      <c r="F19" s="261"/>
      <c r="G19" s="262"/>
      <c r="H19" s="263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0" s="283" customFormat="1" ht="216.75" customHeight="1" x14ac:dyDescent="0.2">
      <c r="A20" s="383"/>
      <c r="B20" s="327">
        <v>398</v>
      </c>
      <c r="C20" s="286" t="s">
        <v>118</v>
      </c>
      <c r="D20" s="267" t="s">
        <v>561</v>
      </c>
      <c r="E20" s="135" t="s">
        <v>562</v>
      </c>
      <c r="F20" s="135" t="s">
        <v>563</v>
      </c>
      <c r="G20" s="264">
        <v>45597</v>
      </c>
      <c r="H20" s="328" t="s">
        <v>120</v>
      </c>
      <c r="I20" s="275">
        <v>15</v>
      </c>
      <c r="J20" s="276">
        <f>K20/I20</f>
        <v>309.60000000000002</v>
      </c>
      <c r="K20" s="277">
        <v>4644</v>
      </c>
      <c r="L20" s="278">
        <v>0</v>
      </c>
      <c r="M20" s="279">
        <f>SUM(K20:L20)</f>
        <v>4644</v>
      </c>
      <c r="N20" s="301">
        <f>IF(K20/15&lt;=SMG,0,L20/2)</f>
        <v>0</v>
      </c>
      <c r="O20" s="322">
        <f>(K20+N20)/I20*30.4</f>
        <v>9411.84</v>
      </c>
      <c r="P20" s="322">
        <f>VLOOKUP(O20,Tarifa,1)</f>
        <v>6332.06</v>
      </c>
      <c r="Q20" s="301">
        <f>O20-P20</f>
        <v>3079.7799999999997</v>
      </c>
      <c r="R20" s="302">
        <f>VLOOKUP(O20,Tarifa,3)</f>
        <v>0.10879999999999999</v>
      </c>
      <c r="S20" s="301">
        <f>Q20*R20</f>
        <v>335.08006399999994</v>
      </c>
      <c r="T20" s="303">
        <f>VLOOKUP(O20,Tarifa,2)</f>
        <v>371.83</v>
      </c>
      <c r="U20" s="301">
        <f>S20+T20</f>
        <v>706.91006399999992</v>
      </c>
      <c r="V20" s="301">
        <f>VLOOKUP(O20,Credito,2)</f>
        <v>475</v>
      </c>
      <c r="W20" s="301">
        <f>ROUND((U20-V20)/30.4*I20,2)</f>
        <v>114.43</v>
      </c>
      <c r="X20" s="279">
        <f t="shared" si="5"/>
        <v>0</v>
      </c>
      <c r="Y20" s="279">
        <f t="shared" si="3"/>
        <v>114.43</v>
      </c>
      <c r="Z20" s="280">
        <v>0</v>
      </c>
      <c r="AA20" s="279">
        <f t="shared" si="4"/>
        <v>114.43</v>
      </c>
      <c r="AB20" s="279">
        <f>M20+X20-AA20</f>
        <v>4529.57</v>
      </c>
      <c r="AC20" s="291"/>
    </row>
    <row r="21" spans="1:30" s="283" customFormat="1" ht="216.75" customHeight="1" x14ac:dyDescent="0.2">
      <c r="A21" s="383"/>
      <c r="B21" s="292" t="s">
        <v>188</v>
      </c>
      <c r="C21" s="286" t="s">
        <v>118</v>
      </c>
      <c r="D21" s="271" t="s">
        <v>80</v>
      </c>
      <c r="E21" s="272" t="s">
        <v>107</v>
      </c>
      <c r="F21" s="272" t="s">
        <v>232</v>
      </c>
      <c r="G21" s="273">
        <v>41410</v>
      </c>
      <c r="H21" s="274" t="s">
        <v>177</v>
      </c>
      <c r="I21" s="275">
        <v>15</v>
      </c>
      <c r="J21" s="276">
        <f>K21/I21</f>
        <v>253.33333333333334</v>
      </c>
      <c r="K21" s="277">
        <v>3800</v>
      </c>
      <c r="L21" s="278">
        <v>0</v>
      </c>
      <c r="M21" s="279">
        <f>SUM(K21:L21)</f>
        <v>3800</v>
      </c>
      <c r="N21" s="301">
        <f>IF(K21/15&lt;=SMG,0,L21/2)</f>
        <v>0</v>
      </c>
      <c r="O21" s="322">
        <f>(K21+N21)/I21*30.4</f>
        <v>7701.333333333333</v>
      </c>
      <c r="P21" s="322">
        <f>VLOOKUP(O21,Tarifa,1)</f>
        <v>6332.06</v>
      </c>
      <c r="Q21" s="301">
        <f>O21-P21</f>
        <v>1369.2733333333326</v>
      </c>
      <c r="R21" s="302">
        <f>VLOOKUP(O21,Tarifa,3)</f>
        <v>0.10879999999999999</v>
      </c>
      <c r="S21" s="301">
        <f>Q21*R21</f>
        <v>148.97693866666657</v>
      </c>
      <c r="T21" s="303">
        <f>VLOOKUP(O21,Tarifa,2)</f>
        <v>371.83</v>
      </c>
      <c r="U21" s="301">
        <f>S21+T21</f>
        <v>520.80693866666661</v>
      </c>
      <c r="V21" s="301">
        <f>VLOOKUP(O21,Credito,2)</f>
        <v>475</v>
      </c>
      <c r="W21" s="301">
        <f>ROUND((U21-V21)/30.4*I21,2)</f>
        <v>22.6</v>
      </c>
      <c r="X21" s="279">
        <f t="shared" si="5"/>
        <v>0</v>
      </c>
      <c r="Y21" s="279">
        <f t="shared" si="3"/>
        <v>0</v>
      </c>
      <c r="Z21" s="280">
        <v>0</v>
      </c>
      <c r="AA21" s="279">
        <f>SUM(Y21:Z21)</f>
        <v>0</v>
      </c>
      <c r="AB21" s="279">
        <f>M21+X21-AA21</f>
        <v>3800</v>
      </c>
      <c r="AC21" s="291"/>
    </row>
    <row r="22" spans="1:30" ht="18" x14ac:dyDescent="0.25">
      <c r="A22" s="138"/>
      <c r="B22" s="138"/>
      <c r="C22" s="138"/>
      <c r="D22" s="138"/>
      <c r="E22" s="138"/>
      <c r="F22" s="138"/>
      <c r="G22" s="138"/>
      <c r="H22" s="138"/>
      <c r="I22" s="139"/>
      <c r="J22" s="138"/>
      <c r="K22" s="140"/>
      <c r="L22" s="140"/>
      <c r="M22" s="140"/>
      <c r="N22" s="141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30" ht="45" customHeight="1" thickBot="1" x14ac:dyDescent="0.35">
      <c r="A23" s="449" t="s">
        <v>44</v>
      </c>
      <c r="B23" s="450"/>
      <c r="C23" s="450"/>
      <c r="D23" s="450"/>
      <c r="E23" s="450"/>
      <c r="F23" s="450"/>
      <c r="G23" s="450"/>
      <c r="H23" s="450"/>
      <c r="I23" s="450"/>
      <c r="J23" s="451"/>
      <c r="K23" s="210">
        <f t="shared" ref="K23:AB23" si="6">SUM(K9:K22)</f>
        <v>33654</v>
      </c>
      <c r="L23" s="210">
        <f t="shared" si="6"/>
        <v>0</v>
      </c>
      <c r="M23" s="210">
        <f t="shared" si="6"/>
        <v>33654</v>
      </c>
      <c r="N23" s="211">
        <f t="shared" si="6"/>
        <v>0</v>
      </c>
      <c r="O23" s="211">
        <f t="shared" si="6"/>
        <v>68205.439999999988</v>
      </c>
      <c r="P23" s="211">
        <f t="shared" si="6"/>
        <v>50928.189999999995</v>
      </c>
      <c r="Q23" s="211">
        <f t="shared" si="6"/>
        <v>17277.249999999993</v>
      </c>
      <c r="R23" s="211">
        <f t="shared" si="6"/>
        <v>0.83199999999999996</v>
      </c>
      <c r="S23" s="211">
        <f t="shared" si="6"/>
        <v>1915.6037973333327</v>
      </c>
      <c r="T23" s="211">
        <f t="shared" si="6"/>
        <v>3413.8599999999997</v>
      </c>
      <c r="U23" s="211">
        <f t="shared" si="6"/>
        <v>5329.463797333332</v>
      </c>
      <c r="V23" s="211">
        <f t="shared" si="6"/>
        <v>2850</v>
      </c>
      <c r="W23" s="211">
        <f t="shared" si="6"/>
        <v>1223.42</v>
      </c>
      <c r="X23" s="210">
        <f t="shared" si="6"/>
        <v>0</v>
      </c>
      <c r="Y23" s="210">
        <f t="shared" si="6"/>
        <v>1200.8200000000002</v>
      </c>
      <c r="Z23" s="210">
        <f t="shared" si="6"/>
        <v>0</v>
      </c>
      <c r="AA23" s="210">
        <f t="shared" si="6"/>
        <v>1200.8200000000002</v>
      </c>
      <c r="AB23" s="210">
        <f t="shared" si="6"/>
        <v>32453.18</v>
      </c>
    </row>
    <row r="24" spans="1:30" ht="13.5" thickTop="1" x14ac:dyDescent="0.2"/>
    <row r="38" spans="4:29" x14ac:dyDescent="0.2">
      <c r="D38" s="4"/>
      <c r="Y38" s="4"/>
    </row>
    <row r="39" spans="4:29" ht="18" x14ac:dyDescent="0.25">
      <c r="D39" s="216" t="s">
        <v>530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6" t="s">
        <v>152</v>
      </c>
      <c r="Z39" s="108"/>
      <c r="AA39" s="108"/>
      <c r="AB39" s="108"/>
    </row>
    <row r="40" spans="4:29" ht="18" x14ac:dyDescent="0.25">
      <c r="D40" s="216" t="s">
        <v>551</v>
      </c>
      <c r="E40" s="216"/>
      <c r="F40" s="216"/>
      <c r="G40" s="216"/>
      <c r="H40" s="216"/>
      <c r="I40" s="216"/>
      <c r="J40" s="216"/>
      <c r="K40" s="216"/>
      <c r="L40" s="216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6" t="s">
        <v>226</v>
      </c>
      <c r="Z40" s="108"/>
      <c r="AA40" s="216"/>
      <c r="AB40" s="216"/>
      <c r="AC40" s="42"/>
    </row>
  </sheetData>
  <mergeCells count="12">
    <mergeCell ref="Y5:AA5"/>
    <mergeCell ref="A23:J23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1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74"/>
  <sheetViews>
    <sheetView topLeftCell="B46" zoomScale="68" zoomScaleNormal="68" workbookViewId="0">
      <selection activeCell="AC44" sqref="AC44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1" ht="18" x14ac:dyDescent="0.25">
      <c r="A1" s="463" t="s">
        <v>76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"/>
    </row>
    <row r="2" spans="1:31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"/>
    </row>
    <row r="3" spans="1:31" ht="19.5" customHeight="1" x14ac:dyDescent="0.25">
      <c r="A3" s="41" t="s">
        <v>184</v>
      </c>
      <c r="B3" s="502" t="s">
        <v>646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205"/>
      <c r="AE3" s="205"/>
    </row>
    <row r="4" spans="1:31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1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4"/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101"/>
      <c r="AD5" s="4"/>
    </row>
    <row r="6" spans="1:31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1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1" ht="42" customHeight="1" x14ac:dyDescent="0.3">
      <c r="A8" s="38"/>
      <c r="B8" s="506" t="s">
        <v>117</v>
      </c>
      <c r="C8" s="507"/>
      <c r="D8" s="508"/>
      <c r="E8" s="231" t="s">
        <v>98</v>
      </c>
      <c r="F8" s="231" t="s">
        <v>229</v>
      </c>
      <c r="G8" s="230" t="s">
        <v>291</v>
      </c>
      <c r="H8" s="231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1" s="388" customFormat="1" ht="172.5" customHeight="1" x14ac:dyDescent="0.2">
      <c r="A9" s="268" t="s">
        <v>83</v>
      </c>
      <c r="B9" s="286" t="s">
        <v>373</v>
      </c>
      <c r="C9" s="286" t="s">
        <v>118</v>
      </c>
      <c r="D9" s="386" t="s">
        <v>374</v>
      </c>
      <c r="E9" s="371" t="s">
        <v>375</v>
      </c>
      <c r="F9" s="371" t="s">
        <v>376</v>
      </c>
      <c r="G9" s="361">
        <v>45367</v>
      </c>
      <c r="H9" s="328" t="s">
        <v>66</v>
      </c>
      <c r="I9" s="275">
        <v>15</v>
      </c>
      <c r="J9" s="275">
        <f t="shared" ref="J9:J17" si="0">K9/I9</f>
        <v>728</v>
      </c>
      <c r="K9" s="277">
        <v>10920</v>
      </c>
      <c r="L9" s="278">
        <v>0</v>
      </c>
      <c r="M9" s="279">
        <f t="shared" ref="M9" si="1">SUM(K9:L9)</f>
        <v>10920</v>
      </c>
      <c r="N9" s="301">
        <f t="shared" ref="N9:N17" si="2">IF(K9/15&lt;=SMG,0,L9/2)</f>
        <v>0</v>
      </c>
      <c r="O9" s="322">
        <f t="shared" ref="O9:O17" si="3">(K9+N9)/I9*30.4</f>
        <v>22131.200000000001</v>
      </c>
      <c r="P9" s="322">
        <f t="shared" ref="P9:P17" si="4">VLOOKUP(O9,Tarifa,1)</f>
        <v>15487.72</v>
      </c>
      <c r="Q9" s="301">
        <f t="shared" ref="Q9:Q17" si="5">O9-P9</f>
        <v>6643.4800000000014</v>
      </c>
      <c r="R9" s="302">
        <f t="shared" ref="R9:R17" si="6">VLOOKUP(O9,Tarifa,3)</f>
        <v>0.21360000000000001</v>
      </c>
      <c r="S9" s="301">
        <f t="shared" ref="S9:S17" si="7">Q9*R9</f>
        <v>1419.0473280000003</v>
      </c>
      <c r="T9" s="303">
        <f t="shared" ref="T9:T17" si="8">VLOOKUP(O9,Tarifa,2)</f>
        <v>1640.18</v>
      </c>
      <c r="U9" s="301">
        <f t="shared" ref="U9:U17" si="9">S9+T9</f>
        <v>3059.2273280000004</v>
      </c>
      <c r="V9" s="301">
        <f t="shared" ref="V9:V17" si="10">VLOOKUP(O9,Credito,2)</f>
        <v>0</v>
      </c>
      <c r="W9" s="301">
        <f t="shared" ref="W9:W17" si="11">ROUND((U9-V9)/30.4*I9,2)</f>
        <v>1509.49</v>
      </c>
      <c r="X9" s="279">
        <f>-IF(W9&gt;0,0,0)</f>
        <v>0</v>
      </c>
      <c r="Y9" s="279">
        <f t="shared" ref="Y9" si="12">IF(K9/15&lt;=SMG,0,IF(W9&lt;0,0,W9))</f>
        <v>1509.49</v>
      </c>
      <c r="Z9" s="280">
        <v>0</v>
      </c>
      <c r="AA9" s="279">
        <f t="shared" ref="AA9" si="13">SUM(Y9:Z9)</f>
        <v>1509.49</v>
      </c>
      <c r="AB9" s="279">
        <f>M9+X9-Y9</f>
        <v>9410.51</v>
      </c>
      <c r="AC9" s="387"/>
      <c r="AD9" s="343"/>
    </row>
    <row r="10" spans="1:31" s="283" customFormat="1" ht="172.5" customHeight="1" x14ac:dyDescent="0.2">
      <c r="A10" s="383"/>
      <c r="B10" s="286" t="s">
        <v>176</v>
      </c>
      <c r="C10" s="286" t="s">
        <v>118</v>
      </c>
      <c r="D10" s="386" t="s">
        <v>174</v>
      </c>
      <c r="E10" s="371" t="s">
        <v>175</v>
      </c>
      <c r="F10" s="371" t="s">
        <v>251</v>
      </c>
      <c r="G10" s="361">
        <v>43601</v>
      </c>
      <c r="H10" s="274" t="s">
        <v>78</v>
      </c>
      <c r="I10" s="275">
        <v>15</v>
      </c>
      <c r="J10" s="275">
        <f t="shared" si="0"/>
        <v>594.76666666666665</v>
      </c>
      <c r="K10" s="277">
        <v>8921.5</v>
      </c>
      <c r="L10" s="278">
        <v>0</v>
      </c>
      <c r="M10" s="279">
        <f t="shared" ref="M10:M12" si="14">SUM(K10:L10)</f>
        <v>8921.5</v>
      </c>
      <c r="N10" s="301">
        <f t="shared" si="2"/>
        <v>0</v>
      </c>
      <c r="O10" s="322">
        <f t="shared" si="3"/>
        <v>18080.906666666666</v>
      </c>
      <c r="P10" s="322">
        <f t="shared" si="4"/>
        <v>15487.72</v>
      </c>
      <c r="Q10" s="301">
        <f t="shared" si="5"/>
        <v>2593.1866666666665</v>
      </c>
      <c r="R10" s="302">
        <f t="shared" si="6"/>
        <v>0.21360000000000001</v>
      </c>
      <c r="S10" s="301">
        <f t="shared" si="7"/>
        <v>553.90467200000001</v>
      </c>
      <c r="T10" s="303">
        <f t="shared" si="8"/>
        <v>1640.18</v>
      </c>
      <c r="U10" s="301">
        <f t="shared" si="9"/>
        <v>2194.084672</v>
      </c>
      <c r="V10" s="301">
        <f t="shared" si="10"/>
        <v>0</v>
      </c>
      <c r="W10" s="301">
        <f t="shared" si="11"/>
        <v>1082.6099999999999</v>
      </c>
      <c r="X10" s="279">
        <f t="shared" ref="X10:X12" si="15">-IF(W10&gt;0,0,0)</f>
        <v>0</v>
      </c>
      <c r="Y10" s="279">
        <f t="shared" ref="Y10" si="16">IF(K10/15&lt;=SMG,0,IF(W10&lt;0,0,W10))</f>
        <v>1082.6099999999999</v>
      </c>
      <c r="Z10" s="280">
        <v>0</v>
      </c>
      <c r="AA10" s="279">
        <f t="shared" ref="AA10:AA12" si="17">SUM(Y10:Z10)</f>
        <v>1082.6099999999999</v>
      </c>
      <c r="AB10" s="279">
        <f t="shared" ref="AB10:AB12" si="18">M10+X10-AA10</f>
        <v>7838.89</v>
      </c>
      <c r="AC10" s="387"/>
      <c r="AD10" s="343"/>
    </row>
    <row r="11" spans="1:31" s="283" customFormat="1" ht="172.5" customHeight="1" x14ac:dyDescent="0.2">
      <c r="A11" s="383"/>
      <c r="B11" s="286" t="s">
        <v>381</v>
      </c>
      <c r="C11" s="286" t="s">
        <v>118</v>
      </c>
      <c r="D11" s="389" t="s">
        <v>548</v>
      </c>
      <c r="E11" s="371" t="s">
        <v>382</v>
      </c>
      <c r="F11" s="281" t="s">
        <v>383</v>
      </c>
      <c r="G11" s="332">
        <v>45367</v>
      </c>
      <c r="H11" s="274" t="s">
        <v>78</v>
      </c>
      <c r="I11" s="275">
        <v>15</v>
      </c>
      <c r="J11" s="275">
        <f t="shared" si="0"/>
        <v>594.76666666666665</v>
      </c>
      <c r="K11" s="277">
        <v>8921.5</v>
      </c>
      <c r="L11" s="278">
        <v>0</v>
      </c>
      <c r="M11" s="279">
        <f t="shared" ref="M11" si="19">SUM(K11:L11)</f>
        <v>8921.5</v>
      </c>
      <c r="N11" s="301">
        <f t="shared" si="2"/>
        <v>0</v>
      </c>
      <c r="O11" s="322">
        <f t="shared" si="3"/>
        <v>18080.906666666666</v>
      </c>
      <c r="P11" s="322">
        <f t="shared" si="4"/>
        <v>15487.72</v>
      </c>
      <c r="Q11" s="301">
        <f t="shared" si="5"/>
        <v>2593.1866666666665</v>
      </c>
      <c r="R11" s="302">
        <f t="shared" si="6"/>
        <v>0.21360000000000001</v>
      </c>
      <c r="S11" s="301">
        <f t="shared" si="7"/>
        <v>553.90467200000001</v>
      </c>
      <c r="T11" s="303">
        <f t="shared" si="8"/>
        <v>1640.18</v>
      </c>
      <c r="U11" s="301">
        <f t="shared" si="9"/>
        <v>2194.084672</v>
      </c>
      <c r="V11" s="301">
        <f t="shared" si="10"/>
        <v>0</v>
      </c>
      <c r="W11" s="301">
        <f t="shared" si="11"/>
        <v>1082.6099999999999</v>
      </c>
      <c r="X11" s="279">
        <f t="shared" ref="X11" si="20">-IF(W11&gt;0,0,0)</f>
        <v>0</v>
      </c>
      <c r="Y11" s="279">
        <f t="shared" ref="Y11" si="21">IF(K11/15&lt;=SMG,0,IF(W11&lt;0,0,W11))</f>
        <v>1082.6099999999999</v>
      </c>
      <c r="Z11" s="280">
        <v>0</v>
      </c>
      <c r="AA11" s="279">
        <f t="shared" ref="AA11" si="22">SUM(Y11:Z11)</f>
        <v>1082.6099999999999</v>
      </c>
      <c r="AB11" s="279">
        <f t="shared" ref="AB11" si="23">M11+X11-AA11</f>
        <v>7838.89</v>
      </c>
      <c r="AC11" s="387"/>
      <c r="AD11" s="343"/>
    </row>
    <row r="12" spans="1:31" s="283" customFormat="1" ht="172.5" customHeight="1" x14ac:dyDescent="0.2">
      <c r="A12" s="383"/>
      <c r="B12" s="286" t="s">
        <v>377</v>
      </c>
      <c r="C12" s="286" t="s">
        <v>118</v>
      </c>
      <c r="D12" s="389" t="s">
        <v>378</v>
      </c>
      <c r="E12" s="371" t="s">
        <v>379</v>
      </c>
      <c r="F12" s="371" t="s">
        <v>380</v>
      </c>
      <c r="G12" s="361">
        <v>45367</v>
      </c>
      <c r="H12" s="274" t="s">
        <v>264</v>
      </c>
      <c r="I12" s="275">
        <v>15</v>
      </c>
      <c r="J12" s="275">
        <f t="shared" si="0"/>
        <v>566.93333333333328</v>
      </c>
      <c r="K12" s="277">
        <v>8504</v>
      </c>
      <c r="L12" s="278">
        <v>0</v>
      </c>
      <c r="M12" s="279">
        <f t="shared" si="14"/>
        <v>8504</v>
      </c>
      <c r="N12" s="301">
        <f t="shared" si="2"/>
        <v>0</v>
      </c>
      <c r="O12" s="322">
        <f t="shared" si="3"/>
        <v>17234.773333333331</v>
      </c>
      <c r="P12" s="322">
        <f t="shared" si="4"/>
        <v>15487.72</v>
      </c>
      <c r="Q12" s="301">
        <f t="shared" si="5"/>
        <v>1747.0533333333315</v>
      </c>
      <c r="R12" s="302">
        <f t="shared" si="6"/>
        <v>0.21360000000000001</v>
      </c>
      <c r="S12" s="301">
        <f t="shared" si="7"/>
        <v>373.1705919999996</v>
      </c>
      <c r="T12" s="303">
        <f t="shared" si="8"/>
        <v>1640.18</v>
      </c>
      <c r="U12" s="301">
        <f t="shared" si="9"/>
        <v>2013.3505919999998</v>
      </c>
      <c r="V12" s="301">
        <f t="shared" si="10"/>
        <v>0</v>
      </c>
      <c r="W12" s="301">
        <f t="shared" si="11"/>
        <v>993.43</v>
      </c>
      <c r="X12" s="279">
        <f t="shared" si="15"/>
        <v>0</v>
      </c>
      <c r="Y12" s="279">
        <f t="shared" ref="Y12" si="24">IF(K12/15&lt;=SMG,0,IF(W12&lt;0,0,W12))</f>
        <v>993.43</v>
      </c>
      <c r="Z12" s="280">
        <v>0</v>
      </c>
      <c r="AA12" s="279">
        <f t="shared" si="17"/>
        <v>993.43</v>
      </c>
      <c r="AB12" s="279">
        <f t="shared" si="18"/>
        <v>7510.57</v>
      </c>
      <c r="AC12" s="387"/>
      <c r="AD12" s="343"/>
    </row>
    <row r="13" spans="1:31" s="283" customFormat="1" ht="172.5" customHeight="1" x14ac:dyDescent="0.2">
      <c r="A13" s="383"/>
      <c r="B13" s="286" t="s">
        <v>369</v>
      </c>
      <c r="C13" s="286" t="s">
        <v>118</v>
      </c>
      <c r="D13" s="389" t="s">
        <v>370</v>
      </c>
      <c r="E13" s="371" t="s">
        <v>371</v>
      </c>
      <c r="F13" s="281" t="s">
        <v>372</v>
      </c>
      <c r="G13" s="332">
        <v>45352</v>
      </c>
      <c r="H13" s="274" t="s">
        <v>264</v>
      </c>
      <c r="I13" s="275">
        <v>15</v>
      </c>
      <c r="J13" s="275">
        <f t="shared" si="0"/>
        <v>566.93333333333328</v>
      </c>
      <c r="K13" s="277">
        <v>8504</v>
      </c>
      <c r="L13" s="278">
        <v>0</v>
      </c>
      <c r="M13" s="279">
        <f t="shared" ref="M13" si="25">SUM(K13:L13)</f>
        <v>8504</v>
      </c>
      <c r="N13" s="301">
        <f t="shared" si="2"/>
        <v>0</v>
      </c>
      <c r="O13" s="322">
        <f t="shared" si="3"/>
        <v>17234.773333333331</v>
      </c>
      <c r="P13" s="322">
        <f t="shared" si="4"/>
        <v>15487.72</v>
      </c>
      <c r="Q13" s="301">
        <f t="shared" si="5"/>
        <v>1747.0533333333315</v>
      </c>
      <c r="R13" s="302">
        <f t="shared" si="6"/>
        <v>0.21360000000000001</v>
      </c>
      <c r="S13" s="301">
        <f t="shared" si="7"/>
        <v>373.1705919999996</v>
      </c>
      <c r="T13" s="303">
        <f t="shared" si="8"/>
        <v>1640.18</v>
      </c>
      <c r="U13" s="301">
        <f t="shared" si="9"/>
        <v>2013.3505919999998</v>
      </c>
      <c r="V13" s="301">
        <f t="shared" si="10"/>
        <v>0</v>
      </c>
      <c r="W13" s="301">
        <f t="shared" si="11"/>
        <v>993.43</v>
      </c>
      <c r="X13" s="279">
        <f t="shared" ref="X13:X14" si="26">-IF(W13&gt;0,0,0)</f>
        <v>0</v>
      </c>
      <c r="Y13" s="279">
        <f t="shared" ref="Y13:Y14" si="27">IF(K13/15&lt;=SMG,0,IF(W13&lt;0,0,W13))</f>
        <v>993.43</v>
      </c>
      <c r="Z13" s="280">
        <v>0</v>
      </c>
      <c r="AA13" s="279">
        <f t="shared" ref="AA13:AA14" si="28">SUM(Y13:Z13)</f>
        <v>993.43</v>
      </c>
      <c r="AB13" s="279">
        <f t="shared" ref="AB13:AB14" si="29">M13+X13-AA13</f>
        <v>7510.57</v>
      </c>
      <c r="AC13" s="387"/>
      <c r="AD13" s="343"/>
    </row>
    <row r="14" spans="1:31" s="283" customFormat="1" ht="172.5" customHeight="1" x14ac:dyDescent="0.2">
      <c r="A14" s="383"/>
      <c r="B14" s="286" t="s">
        <v>387</v>
      </c>
      <c r="C14" s="286" t="s">
        <v>118</v>
      </c>
      <c r="D14" s="389" t="s">
        <v>547</v>
      </c>
      <c r="E14" s="371" t="s">
        <v>388</v>
      </c>
      <c r="F14" s="281" t="s">
        <v>389</v>
      </c>
      <c r="G14" s="332">
        <v>45367</v>
      </c>
      <c r="H14" s="274" t="s">
        <v>264</v>
      </c>
      <c r="I14" s="275">
        <v>15</v>
      </c>
      <c r="J14" s="275">
        <f t="shared" si="0"/>
        <v>566.93333333333328</v>
      </c>
      <c r="K14" s="277">
        <v>8504</v>
      </c>
      <c r="L14" s="278">
        <v>0</v>
      </c>
      <c r="M14" s="279">
        <f t="shared" ref="M14" si="30">SUM(K14:L14)</f>
        <v>8504</v>
      </c>
      <c r="N14" s="301">
        <f t="shared" si="2"/>
        <v>0</v>
      </c>
      <c r="O14" s="322">
        <f t="shared" si="3"/>
        <v>17234.773333333331</v>
      </c>
      <c r="P14" s="322">
        <f t="shared" si="4"/>
        <v>15487.72</v>
      </c>
      <c r="Q14" s="301">
        <f t="shared" si="5"/>
        <v>1747.0533333333315</v>
      </c>
      <c r="R14" s="302">
        <f t="shared" si="6"/>
        <v>0.21360000000000001</v>
      </c>
      <c r="S14" s="301">
        <f t="shared" si="7"/>
        <v>373.1705919999996</v>
      </c>
      <c r="T14" s="303">
        <f t="shared" si="8"/>
        <v>1640.18</v>
      </c>
      <c r="U14" s="301">
        <f t="shared" si="9"/>
        <v>2013.3505919999998</v>
      </c>
      <c r="V14" s="301">
        <f t="shared" si="10"/>
        <v>0</v>
      </c>
      <c r="W14" s="301">
        <f t="shared" si="11"/>
        <v>993.43</v>
      </c>
      <c r="X14" s="279">
        <f t="shared" si="26"/>
        <v>0</v>
      </c>
      <c r="Y14" s="279">
        <f t="shared" si="27"/>
        <v>993.43</v>
      </c>
      <c r="Z14" s="280">
        <v>0</v>
      </c>
      <c r="AA14" s="279">
        <f t="shared" si="28"/>
        <v>993.43</v>
      </c>
      <c r="AB14" s="279">
        <f t="shared" si="29"/>
        <v>7510.57</v>
      </c>
      <c r="AC14" s="387"/>
      <c r="AD14" s="343"/>
    </row>
    <row r="15" spans="1:31" s="283" customFormat="1" ht="172.5" customHeight="1" x14ac:dyDescent="0.2">
      <c r="A15" s="383"/>
      <c r="B15" s="286" t="s">
        <v>103</v>
      </c>
      <c r="C15" s="286" t="s">
        <v>118</v>
      </c>
      <c r="D15" s="386" t="s">
        <v>82</v>
      </c>
      <c r="E15" s="281" t="s">
        <v>116</v>
      </c>
      <c r="F15" s="281" t="s">
        <v>234</v>
      </c>
      <c r="G15" s="332">
        <v>41898</v>
      </c>
      <c r="H15" s="274" t="s">
        <v>79</v>
      </c>
      <c r="I15" s="275">
        <v>15</v>
      </c>
      <c r="J15" s="275">
        <f t="shared" si="0"/>
        <v>539.13333333333333</v>
      </c>
      <c r="K15" s="277">
        <v>8087</v>
      </c>
      <c r="L15" s="278">
        <v>0</v>
      </c>
      <c r="M15" s="279">
        <f t="shared" ref="M15:M17" si="31">SUM(K15:L15)</f>
        <v>8087</v>
      </c>
      <c r="N15" s="301">
        <f t="shared" si="2"/>
        <v>0</v>
      </c>
      <c r="O15" s="322">
        <f t="shared" si="3"/>
        <v>16389.653333333332</v>
      </c>
      <c r="P15" s="322">
        <f t="shared" si="4"/>
        <v>15487.72</v>
      </c>
      <c r="Q15" s="301">
        <f t="shared" si="5"/>
        <v>901.93333333333248</v>
      </c>
      <c r="R15" s="302">
        <f t="shared" si="6"/>
        <v>0.21360000000000001</v>
      </c>
      <c r="S15" s="301">
        <f t="shared" si="7"/>
        <v>192.65295999999984</v>
      </c>
      <c r="T15" s="303">
        <f t="shared" si="8"/>
        <v>1640.18</v>
      </c>
      <c r="U15" s="301">
        <f t="shared" si="9"/>
        <v>1832.83296</v>
      </c>
      <c r="V15" s="301">
        <f t="shared" si="10"/>
        <v>0</v>
      </c>
      <c r="W15" s="301">
        <f t="shared" si="11"/>
        <v>904.36</v>
      </c>
      <c r="X15" s="279">
        <f t="shared" ref="X15:X17" si="32">-IF(W15&gt;0,0,0)</f>
        <v>0</v>
      </c>
      <c r="Y15" s="279">
        <f t="shared" ref="Y15:Y17" si="33">IF(K15/15&lt;=SMG,0,IF(W15&lt;0,0,W15))</f>
        <v>904.36</v>
      </c>
      <c r="Z15" s="280">
        <v>0</v>
      </c>
      <c r="AA15" s="279">
        <f t="shared" ref="AA15" si="34">SUM(Y15:Z15)</f>
        <v>904.36</v>
      </c>
      <c r="AB15" s="279">
        <f t="shared" ref="AB15:AB17" si="35">M15+X15-AA15</f>
        <v>7182.64</v>
      </c>
      <c r="AC15" s="387"/>
      <c r="AD15" s="343"/>
    </row>
    <row r="16" spans="1:31" s="283" customFormat="1" ht="172.5" customHeight="1" x14ac:dyDescent="0.2">
      <c r="A16" s="383"/>
      <c r="B16" s="286" t="s">
        <v>187</v>
      </c>
      <c r="C16" s="286" t="s">
        <v>118</v>
      </c>
      <c r="D16" s="390" t="s">
        <v>185</v>
      </c>
      <c r="E16" s="371" t="s">
        <v>186</v>
      </c>
      <c r="F16" s="371" t="s">
        <v>254</v>
      </c>
      <c r="G16" s="361">
        <v>43831</v>
      </c>
      <c r="H16" s="274" t="s">
        <v>79</v>
      </c>
      <c r="I16" s="275">
        <v>15</v>
      </c>
      <c r="J16" s="275">
        <f t="shared" si="0"/>
        <v>539.13333333333333</v>
      </c>
      <c r="K16" s="277">
        <v>8087</v>
      </c>
      <c r="L16" s="278">
        <v>0</v>
      </c>
      <c r="M16" s="279">
        <f t="shared" si="31"/>
        <v>8087</v>
      </c>
      <c r="N16" s="301">
        <f t="shared" si="2"/>
        <v>0</v>
      </c>
      <c r="O16" s="322">
        <f t="shared" si="3"/>
        <v>16389.653333333332</v>
      </c>
      <c r="P16" s="322">
        <f t="shared" si="4"/>
        <v>15487.72</v>
      </c>
      <c r="Q16" s="301">
        <f t="shared" si="5"/>
        <v>901.93333333333248</v>
      </c>
      <c r="R16" s="302">
        <f t="shared" si="6"/>
        <v>0.21360000000000001</v>
      </c>
      <c r="S16" s="301">
        <f t="shared" si="7"/>
        <v>192.65295999999984</v>
      </c>
      <c r="T16" s="303">
        <f t="shared" si="8"/>
        <v>1640.18</v>
      </c>
      <c r="U16" s="301">
        <f t="shared" si="9"/>
        <v>1832.83296</v>
      </c>
      <c r="V16" s="301">
        <f t="shared" si="10"/>
        <v>0</v>
      </c>
      <c r="W16" s="301">
        <f t="shared" si="11"/>
        <v>904.36</v>
      </c>
      <c r="X16" s="279">
        <f t="shared" si="32"/>
        <v>0</v>
      </c>
      <c r="Y16" s="279">
        <f t="shared" si="33"/>
        <v>904.36</v>
      </c>
      <c r="Z16" s="280">
        <v>0</v>
      </c>
      <c r="AA16" s="279">
        <f t="shared" ref="AA16:AA17" si="36">SUM(Y16:Z16)</f>
        <v>904.36</v>
      </c>
      <c r="AB16" s="279">
        <f t="shared" si="35"/>
        <v>7182.64</v>
      </c>
      <c r="AC16" s="387"/>
      <c r="AD16" s="343"/>
    </row>
    <row r="17" spans="1:30" s="283" customFormat="1" ht="172.5" customHeight="1" x14ac:dyDescent="0.2">
      <c r="A17" s="383"/>
      <c r="B17" s="286" t="s">
        <v>260</v>
      </c>
      <c r="C17" s="286" t="s">
        <v>118</v>
      </c>
      <c r="D17" s="389" t="s">
        <v>261</v>
      </c>
      <c r="E17" s="371" t="s">
        <v>262</v>
      </c>
      <c r="F17" s="371" t="s">
        <v>263</v>
      </c>
      <c r="G17" s="361">
        <v>44608</v>
      </c>
      <c r="H17" s="274" t="s">
        <v>79</v>
      </c>
      <c r="I17" s="275">
        <v>15</v>
      </c>
      <c r="J17" s="275">
        <f t="shared" si="0"/>
        <v>539.13333333333333</v>
      </c>
      <c r="K17" s="277">
        <v>8087</v>
      </c>
      <c r="L17" s="278">
        <v>0</v>
      </c>
      <c r="M17" s="279">
        <f t="shared" si="31"/>
        <v>8087</v>
      </c>
      <c r="N17" s="301">
        <f t="shared" si="2"/>
        <v>0</v>
      </c>
      <c r="O17" s="322">
        <f t="shared" si="3"/>
        <v>16389.653333333332</v>
      </c>
      <c r="P17" s="322">
        <f t="shared" si="4"/>
        <v>15487.72</v>
      </c>
      <c r="Q17" s="301">
        <f t="shared" si="5"/>
        <v>901.93333333333248</v>
      </c>
      <c r="R17" s="302">
        <f t="shared" si="6"/>
        <v>0.21360000000000001</v>
      </c>
      <c r="S17" s="301">
        <f t="shared" si="7"/>
        <v>192.65295999999984</v>
      </c>
      <c r="T17" s="303">
        <f t="shared" si="8"/>
        <v>1640.18</v>
      </c>
      <c r="U17" s="301">
        <f t="shared" si="9"/>
        <v>1832.83296</v>
      </c>
      <c r="V17" s="301">
        <f t="shared" si="10"/>
        <v>0</v>
      </c>
      <c r="W17" s="301">
        <f t="shared" si="11"/>
        <v>904.36</v>
      </c>
      <c r="X17" s="279">
        <f t="shared" si="32"/>
        <v>0</v>
      </c>
      <c r="Y17" s="279">
        <f t="shared" si="33"/>
        <v>904.36</v>
      </c>
      <c r="Z17" s="280">
        <v>0</v>
      </c>
      <c r="AA17" s="279">
        <f t="shared" si="36"/>
        <v>904.36</v>
      </c>
      <c r="AB17" s="279">
        <f t="shared" si="35"/>
        <v>7182.64</v>
      </c>
      <c r="AC17" s="342"/>
      <c r="AD17" s="343"/>
    </row>
    <row r="18" spans="1:30" ht="53.25" customHeight="1" x14ac:dyDescent="0.3">
      <c r="A18" s="146"/>
      <c r="B18" s="146"/>
      <c r="C18" s="146"/>
      <c r="D18" s="200"/>
      <c r="E18" s="201"/>
      <c r="F18" s="108"/>
      <c r="G18" s="163"/>
      <c r="H18" s="150"/>
      <c r="I18" s="151"/>
      <c r="J18" s="151"/>
      <c r="K18" s="153"/>
      <c r="L18" s="154"/>
      <c r="M18" s="155"/>
      <c r="N18" s="202"/>
      <c r="O18" s="202"/>
      <c r="P18" s="202"/>
      <c r="Q18" s="202"/>
      <c r="R18" s="203"/>
      <c r="S18" s="202"/>
      <c r="T18" s="204"/>
      <c r="U18" s="202"/>
      <c r="V18" s="202"/>
      <c r="W18" s="202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200"/>
      <c r="E19" s="201"/>
      <c r="F19" s="108"/>
      <c r="G19" s="163"/>
      <c r="H19" s="150"/>
      <c r="I19" s="151"/>
      <c r="J19" s="151"/>
      <c r="K19" s="153"/>
      <c r="L19" s="154"/>
      <c r="M19" s="155"/>
      <c r="N19" s="202"/>
      <c r="O19" s="202"/>
      <c r="P19" s="202"/>
      <c r="Q19" s="202"/>
      <c r="R19" s="203"/>
      <c r="S19" s="202"/>
      <c r="T19" s="204"/>
      <c r="U19" s="202"/>
      <c r="V19" s="202"/>
      <c r="W19" s="202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200"/>
      <c r="E20" s="201"/>
      <c r="F20" s="108"/>
      <c r="G20" s="163"/>
      <c r="H20" s="150"/>
      <c r="I20" s="151"/>
      <c r="J20" s="151"/>
      <c r="K20" s="153"/>
      <c r="L20" s="154"/>
      <c r="M20" s="155"/>
      <c r="N20" s="202"/>
      <c r="O20" s="202"/>
      <c r="P20" s="202"/>
      <c r="Q20" s="202"/>
      <c r="R20" s="203"/>
      <c r="S20" s="202"/>
      <c r="T20" s="204"/>
      <c r="U20" s="202"/>
      <c r="V20" s="202"/>
      <c r="W20" s="202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502" t="s">
        <v>402</v>
      </c>
      <c r="C21" s="503"/>
      <c r="D21" s="503"/>
      <c r="E21" s="503"/>
      <c r="F21" s="503"/>
      <c r="G21" s="503"/>
      <c r="H21" s="503"/>
      <c r="I21" s="503"/>
      <c r="J21" s="503"/>
      <c r="K21" s="503"/>
      <c r="L21" s="503"/>
      <c r="M21" s="503"/>
      <c r="N21" s="503"/>
      <c r="O21" s="503"/>
      <c r="P21" s="503"/>
      <c r="Q21" s="503"/>
      <c r="R21" s="503"/>
      <c r="S21" s="503"/>
      <c r="T21" s="503"/>
      <c r="U21" s="503"/>
      <c r="V21" s="503"/>
      <c r="W21" s="503"/>
      <c r="X21" s="503"/>
      <c r="Y21" s="503"/>
      <c r="Z21" s="503"/>
      <c r="AA21" s="503"/>
      <c r="AB21" s="503"/>
      <c r="AC21" s="503"/>
      <c r="AD21" s="4"/>
    </row>
    <row r="22" spans="1:30" ht="23.25" customHeight="1" x14ac:dyDescent="0.25">
      <c r="A22" s="146"/>
      <c r="B22" s="502" t="s">
        <v>403</v>
      </c>
      <c r="C22" s="503"/>
      <c r="D22" s="503"/>
      <c r="E22" s="503"/>
      <c r="F22" s="503"/>
      <c r="G22" s="503"/>
      <c r="H22" s="503"/>
      <c r="I22" s="503"/>
      <c r="J22" s="503"/>
      <c r="K22" s="503"/>
      <c r="L22" s="503"/>
      <c r="M22" s="503"/>
      <c r="N22" s="503"/>
      <c r="O22" s="503"/>
      <c r="P22" s="503"/>
      <c r="Q22" s="503"/>
      <c r="R22" s="503"/>
      <c r="S22" s="503"/>
      <c r="T22" s="503"/>
      <c r="U22" s="503"/>
      <c r="V22" s="503"/>
      <c r="W22" s="503"/>
      <c r="X22" s="503"/>
      <c r="Y22" s="503"/>
      <c r="Z22" s="503"/>
      <c r="AA22" s="503"/>
      <c r="AB22" s="503"/>
      <c r="AC22" s="503"/>
      <c r="AD22" s="4"/>
    </row>
    <row r="23" spans="1:30" ht="21" customHeight="1" x14ac:dyDescent="0.25">
      <c r="A23" s="146"/>
      <c r="B23" s="502" t="s">
        <v>646</v>
      </c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2"/>
      <c r="W23" s="502"/>
      <c r="X23" s="502"/>
      <c r="Y23" s="502"/>
      <c r="Z23" s="502"/>
      <c r="AA23" s="502"/>
      <c r="AB23" s="502"/>
      <c r="AC23" s="502"/>
      <c r="AD23" s="4"/>
    </row>
    <row r="24" spans="1:30" ht="20.25" customHeight="1" x14ac:dyDescent="0.25">
      <c r="A24" s="146"/>
      <c r="B24" s="504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4"/>
    </row>
    <row r="25" spans="1:30" s="388" customFormat="1" ht="178.5" customHeight="1" x14ac:dyDescent="0.2">
      <c r="A25" s="383"/>
      <c r="B25" s="286" t="s">
        <v>315</v>
      </c>
      <c r="C25" s="286" t="s">
        <v>118</v>
      </c>
      <c r="D25" s="389" t="s">
        <v>316</v>
      </c>
      <c r="E25" s="371" t="s">
        <v>317</v>
      </c>
      <c r="F25" s="281" t="s">
        <v>318</v>
      </c>
      <c r="G25" s="332">
        <v>45092</v>
      </c>
      <c r="H25" s="274" t="s">
        <v>79</v>
      </c>
      <c r="I25" s="275">
        <v>15</v>
      </c>
      <c r="J25" s="275">
        <f t="shared" ref="J25:J33" si="37">K25/I25</f>
        <v>539.13333333333333</v>
      </c>
      <c r="K25" s="277">
        <v>8087</v>
      </c>
      <c r="L25" s="278">
        <v>0</v>
      </c>
      <c r="M25" s="279">
        <f t="shared" ref="M25" si="38">SUM(K25:L25)</f>
        <v>8087</v>
      </c>
      <c r="N25" s="301">
        <f t="shared" ref="N25:N33" si="39">IF(K25/15&lt;=SMG,0,L25/2)</f>
        <v>0</v>
      </c>
      <c r="O25" s="322">
        <f t="shared" ref="O25:O33" si="40">(K25+N25)/I25*30.4</f>
        <v>16389.653333333332</v>
      </c>
      <c r="P25" s="322">
        <f t="shared" ref="P25:P33" si="41">VLOOKUP(O25,Tarifa,1)</f>
        <v>15487.72</v>
      </c>
      <c r="Q25" s="301">
        <f t="shared" ref="Q25:Q33" si="42">O25-P25</f>
        <v>901.93333333333248</v>
      </c>
      <c r="R25" s="302">
        <f t="shared" ref="R25:R33" si="43">VLOOKUP(O25,Tarifa,3)</f>
        <v>0.21360000000000001</v>
      </c>
      <c r="S25" s="301">
        <f t="shared" ref="S25:S33" si="44">Q25*R25</f>
        <v>192.65295999999984</v>
      </c>
      <c r="T25" s="303">
        <f t="shared" ref="T25:T33" si="45">VLOOKUP(O25,Tarifa,2)</f>
        <v>1640.18</v>
      </c>
      <c r="U25" s="301">
        <f t="shared" ref="U25:U33" si="46">S25+T25</f>
        <v>1832.83296</v>
      </c>
      <c r="V25" s="301">
        <f t="shared" ref="V25:V33" si="47">VLOOKUP(O25,Credito,2)</f>
        <v>0</v>
      </c>
      <c r="W25" s="301">
        <f t="shared" ref="W25:W33" si="48">ROUND((U25-V25)/30.4*I25,2)</f>
        <v>904.36</v>
      </c>
      <c r="X25" s="279">
        <f t="shared" ref="X25" si="49">-IF(W25&gt;0,0,0)</f>
        <v>0</v>
      </c>
      <c r="Y25" s="279">
        <f t="shared" ref="Y25" si="50">IF(K25/15&lt;=SMG,0,IF(W25&lt;0,0,W25))</f>
        <v>904.36</v>
      </c>
      <c r="Z25" s="280">
        <v>0</v>
      </c>
      <c r="AA25" s="279">
        <f t="shared" ref="AA25" si="51">SUM(Y25:Z25)</f>
        <v>904.36</v>
      </c>
      <c r="AB25" s="279">
        <f t="shared" ref="AB25" si="52">M25+X25-AA25</f>
        <v>7182.64</v>
      </c>
      <c r="AC25" s="342"/>
      <c r="AD25" s="343"/>
    </row>
    <row r="26" spans="1:30" s="388" customFormat="1" ht="178.5" customHeight="1" x14ac:dyDescent="0.2">
      <c r="A26" s="383"/>
      <c r="B26" s="286" t="s">
        <v>384</v>
      </c>
      <c r="C26" s="286" t="s">
        <v>118</v>
      </c>
      <c r="D26" s="389" t="s">
        <v>549</v>
      </c>
      <c r="E26" s="371" t="s">
        <v>385</v>
      </c>
      <c r="F26" s="281" t="s">
        <v>386</v>
      </c>
      <c r="G26" s="332">
        <v>45367</v>
      </c>
      <c r="H26" s="274" t="s">
        <v>79</v>
      </c>
      <c r="I26" s="275">
        <v>15</v>
      </c>
      <c r="J26" s="275">
        <f t="shared" si="37"/>
        <v>539.13333333333333</v>
      </c>
      <c r="K26" s="277">
        <v>8087</v>
      </c>
      <c r="L26" s="278">
        <v>0</v>
      </c>
      <c r="M26" s="279">
        <f t="shared" ref="M26" si="53">SUM(K26:L26)</f>
        <v>8087</v>
      </c>
      <c r="N26" s="301">
        <f t="shared" si="39"/>
        <v>0</v>
      </c>
      <c r="O26" s="322">
        <f t="shared" si="40"/>
        <v>16389.653333333332</v>
      </c>
      <c r="P26" s="322">
        <f t="shared" si="41"/>
        <v>15487.72</v>
      </c>
      <c r="Q26" s="301">
        <f t="shared" si="42"/>
        <v>901.93333333333248</v>
      </c>
      <c r="R26" s="302">
        <f t="shared" si="43"/>
        <v>0.21360000000000001</v>
      </c>
      <c r="S26" s="301">
        <f t="shared" si="44"/>
        <v>192.65295999999984</v>
      </c>
      <c r="T26" s="303">
        <f t="shared" si="45"/>
        <v>1640.18</v>
      </c>
      <c r="U26" s="301">
        <f t="shared" si="46"/>
        <v>1832.83296</v>
      </c>
      <c r="V26" s="301">
        <f t="shared" si="47"/>
        <v>0</v>
      </c>
      <c r="W26" s="301">
        <f t="shared" si="48"/>
        <v>904.36</v>
      </c>
      <c r="X26" s="279">
        <f t="shared" ref="X26" si="54">-IF(W26&gt;0,0,0)</f>
        <v>0</v>
      </c>
      <c r="Y26" s="279">
        <f t="shared" ref="Y26" si="55">IF(K26/15&lt;=SMG,0,IF(W26&lt;0,0,W26))</f>
        <v>904.36</v>
      </c>
      <c r="Z26" s="280">
        <v>0</v>
      </c>
      <c r="AA26" s="279">
        <f t="shared" ref="AA26" si="56">SUM(Y26:Z26)</f>
        <v>904.36</v>
      </c>
      <c r="AB26" s="279">
        <f t="shared" ref="AB26" si="57">M26+X26-AA26</f>
        <v>7182.64</v>
      </c>
      <c r="AC26" s="342"/>
      <c r="AD26" s="343"/>
    </row>
    <row r="27" spans="1:30" s="388" customFormat="1" ht="178.5" customHeight="1" x14ac:dyDescent="0.2">
      <c r="A27" s="383"/>
      <c r="B27" s="286" t="s">
        <v>350</v>
      </c>
      <c r="C27" s="286" t="s">
        <v>118</v>
      </c>
      <c r="D27" s="389" t="s">
        <v>351</v>
      </c>
      <c r="E27" s="371" t="s">
        <v>359</v>
      </c>
      <c r="F27" s="281" t="s">
        <v>352</v>
      </c>
      <c r="G27" s="332">
        <v>45200</v>
      </c>
      <c r="H27" s="274" t="s">
        <v>79</v>
      </c>
      <c r="I27" s="275">
        <v>15</v>
      </c>
      <c r="J27" s="275">
        <f t="shared" si="37"/>
        <v>539.13333333333333</v>
      </c>
      <c r="K27" s="277">
        <v>8087</v>
      </c>
      <c r="L27" s="278">
        <v>0</v>
      </c>
      <c r="M27" s="279">
        <f t="shared" ref="M27:M49" si="58">SUM(K27:L27)</f>
        <v>8087</v>
      </c>
      <c r="N27" s="301">
        <f t="shared" si="39"/>
        <v>0</v>
      </c>
      <c r="O27" s="322">
        <f t="shared" si="40"/>
        <v>16389.653333333332</v>
      </c>
      <c r="P27" s="322">
        <f t="shared" si="41"/>
        <v>15487.72</v>
      </c>
      <c r="Q27" s="301">
        <f t="shared" si="42"/>
        <v>901.93333333333248</v>
      </c>
      <c r="R27" s="302">
        <f t="shared" si="43"/>
        <v>0.21360000000000001</v>
      </c>
      <c r="S27" s="301">
        <f t="shared" si="44"/>
        <v>192.65295999999984</v>
      </c>
      <c r="T27" s="303">
        <f t="shared" si="45"/>
        <v>1640.18</v>
      </c>
      <c r="U27" s="301">
        <f t="shared" si="46"/>
        <v>1832.83296</v>
      </c>
      <c r="V27" s="301">
        <f t="shared" si="47"/>
        <v>0</v>
      </c>
      <c r="W27" s="301">
        <f t="shared" si="48"/>
        <v>904.36</v>
      </c>
      <c r="X27" s="279">
        <f t="shared" ref="X27:X49" si="59">-IF(W27&gt;0,0,0)</f>
        <v>0</v>
      </c>
      <c r="Y27" s="279">
        <f t="shared" ref="Y27:Y49" si="60">IF(K27/15&lt;=SMG,0,IF(W27&lt;0,0,W27))</f>
        <v>904.36</v>
      </c>
      <c r="Z27" s="280">
        <v>0</v>
      </c>
      <c r="AA27" s="279">
        <f t="shared" ref="AA27:AA49" si="61">SUM(Y27:Z27)</f>
        <v>904.36</v>
      </c>
      <c r="AB27" s="279">
        <f t="shared" ref="AB27:AB49" si="62">M27+X27-AA27</f>
        <v>7182.64</v>
      </c>
      <c r="AC27" s="342"/>
      <c r="AD27" s="343"/>
    </row>
    <row r="28" spans="1:30" s="388" customFormat="1" ht="178.5" customHeight="1" x14ac:dyDescent="0.2">
      <c r="A28" s="383"/>
      <c r="B28" s="286" t="s">
        <v>364</v>
      </c>
      <c r="C28" s="286" t="s">
        <v>118</v>
      </c>
      <c r="D28" s="389" t="s">
        <v>367</v>
      </c>
      <c r="E28" s="371" t="s">
        <v>365</v>
      </c>
      <c r="F28" s="281" t="s">
        <v>366</v>
      </c>
      <c r="G28" s="332">
        <v>45292</v>
      </c>
      <c r="H28" s="274" t="s">
        <v>79</v>
      </c>
      <c r="I28" s="275">
        <v>15</v>
      </c>
      <c r="J28" s="275">
        <f t="shared" si="37"/>
        <v>539.13333333333333</v>
      </c>
      <c r="K28" s="277">
        <v>8087</v>
      </c>
      <c r="L28" s="278">
        <v>0</v>
      </c>
      <c r="M28" s="279">
        <f t="shared" si="58"/>
        <v>8087</v>
      </c>
      <c r="N28" s="301">
        <f t="shared" si="39"/>
        <v>0</v>
      </c>
      <c r="O28" s="322">
        <f t="shared" si="40"/>
        <v>16389.653333333332</v>
      </c>
      <c r="P28" s="322">
        <f t="shared" si="41"/>
        <v>15487.72</v>
      </c>
      <c r="Q28" s="301">
        <f t="shared" si="42"/>
        <v>901.93333333333248</v>
      </c>
      <c r="R28" s="302">
        <f t="shared" si="43"/>
        <v>0.21360000000000001</v>
      </c>
      <c r="S28" s="301">
        <f t="shared" si="44"/>
        <v>192.65295999999984</v>
      </c>
      <c r="T28" s="303">
        <f t="shared" si="45"/>
        <v>1640.18</v>
      </c>
      <c r="U28" s="301">
        <f t="shared" si="46"/>
        <v>1832.83296</v>
      </c>
      <c r="V28" s="301">
        <f t="shared" si="47"/>
        <v>0</v>
      </c>
      <c r="W28" s="301">
        <f t="shared" si="48"/>
        <v>904.36</v>
      </c>
      <c r="X28" s="279">
        <f t="shared" si="59"/>
        <v>0</v>
      </c>
      <c r="Y28" s="279">
        <f t="shared" si="60"/>
        <v>904.36</v>
      </c>
      <c r="Z28" s="280">
        <v>0</v>
      </c>
      <c r="AA28" s="279">
        <f t="shared" si="61"/>
        <v>904.36</v>
      </c>
      <c r="AB28" s="279">
        <f t="shared" si="62"/>
        <v>7182.64</v>
      </c>
      <c r="AC28" s="342"/>
      <c r="AD28" s="343"/>
    </row>
    <row r="29" spans="1:30" s="388" customFormat="1" ht="178.5" customHeight="1" x14ac:dyDescent="0.2">
      <c r="A29" s="383"/>
      <c r="B29" s="286" t="s">
        <v>393</v>
      </c>
      <c r="C29" s="286" t="s">
        <v>118</v>
      </c>
      <c r="D29" s="389" t="s">
        <v>394</v>
      </c>
      <c r="E29" s="371" t="s">
        <v>395</v>
      </c>
      <c r="F29" s="281" t="s">
        <v>396</v>
      </c>
      <c r="G29" s="332">
        <v>45398</v>
      </c>
      <c r="H29" s="274" t="s">
        <v>79</v>
      </c>
      <c r="I29" s="275">
        <v>15</v>
      </c>
      <c r="J29" s="275">
        <f t="shared" si="37"/>
        <v>539.13333333333333</v>
      </c>
      <c r="K29" s="277">
        <v>8087</v>
      </c>
      <c r="L29" s="278">
        <v>0</v>
      </c>
      <c r="M29" s="279">
        <f t="shared" si="58"/>
        <v>8087</v>
      </c>
      <c r="N29" s="301">
        <f t="shared" si="39"/>
        <v>0</v>
      </c>
      <c r="O29" s="322">
        <f t="shared" si="40"/>
        <v>16389.653333333332</v>
      </c>
      <c r="P29" s="322">
        <f t="shared" si="41"/>
        <v>15487.72</v>
      </c>
      <c r="Q29" s="301">
        <f t="shared" si="42"/>
        <v>901.93333333333248</v>
      </c>
      <c r="R29" s="302">
        <f t="shared" si="43"/>
        <v>0.21360000000000001</v>
      </c>
      <c r="S29" s="301">
        <f t="shared" si="44"/>
        <v>192.65295999999984</v>
      </c>
      <c r="T29" s="303">
        <f t="shared" si="45"/>
        <v>1640.18</v>
      </c>
      <c r="U29" s="301">
        <f t="shared" si="46"/>
        <v>1832.83296</v>
      </c>
      <c r="V29" s="301">
        <f t="shared" si="47"/>
        <v>0</v>
      </c>
      <c r="W29" s="301">
        <f t="shared" si="48"/>
        <v>904.36</v>
      </c>
      <c r="X29" s="279">
        <f t="shared" si="59"/>
        <v>0</v>
      </c>
      <c r="Y29" s="279">
        <f t="shared" si="60"/>
        <v>904.36</v>
      </c>
      <c r="Z29" s="280">
        <v>0</v>
      </c>
      <c r="AA29" s="279">
        <f t="shared" si="61"/>
        <v>904.36</v>
      </c>
      <c r="AB29" s="279">
        <f t="shared" si="62"/>
        <v>7182.64</v>
      </c>
      <c r="AC29" s="342"/>
      <c r="AD29" s="343"/>
    </row>
    <row r="30" spans="1:30" s="388" customFormat="1" ht="178.5" customHeight="1" x14ac:dyDescent="0.2">
      <c r="A30" s="383"/>
      <c r="B30" s="286" t="s">
        <v>398</v>
      </c>
      <c r="C30" s="286" t="s">
        <v>118</v>
      </c>
      <c r="D30" s="389" t="s">
        <v>399</v>
      </c>
      <c r="E30" s="371" t="s">
        <v>400</v>
      </c>
      <c r="F30" s="281" t="s">
        <v>401</v>
      </c>
      <c r="G30" s="332">
        <v>45413</v>
      </c>
      <c r="H30" s="274" t="s">
        <v>79</v>
      </c>
      <c r="I30" s="275">
        <v>15</v>
      </c>
      <c r="J30" s="275">
        <f t="shared" si="37"/>
        <v>539.13333333333333</v>
      </c>
      <c r="K30" s="277">
        <v>8087</v>
      </c>
      <c r="L30" s="278">
        <v>0</v>
      </c>
      <c r="M30" s="279">
        <f t="shared" si="58"/>
        <v>8087</v>
      </c>
      <c r="N30" s="301">
        <f t="shared" si="39"/>
        <v>0</v>
      </c>
      <c r="O30" s="322">
        <f t="shared" si="40"/>
        <v>16389.653333333332</v>
      </c>
      <c r="P30" s="322">
        <f t="shared" si="41"/>
        <v>15487.72</v>
      </c>
      <c r="Q30" s="301">
        <f t="shared" si="42"/>
        <v>901.93333333333248</v>
      </c>
      <c r="R30" s="302">
        <f t="shared" si="43"/>
        <v>0.21360000000000001</v>
      </c>
      <c r="S30" s="301">
        <f t="shared" si="44"/>
        <v>192.65295999999984</v>
      </c>
      <c r="T30" s="303">
        <f t="shared" si="45"/>
        <v>1640.18</v>
      </c>
      <c r="U30" s="301">
        <f t="shared" si="46"/>
        <v>1832.83296</v>
      </c>
      <c r="V30" s="301">
        <f t="shared" si="47"/>
        <v>0</v>
      </c>
      <c r="W30" s="301">
        <f t="shared" si="48"/>
        <v>904.36</v>
      </c>
      <c r="X30" s="279">
        <f t="shared" si="59"/>
        <v>0</v>
      </c>
      <c r="Y30" s="279">
        <f t="shared" si="60"/>
        <v>904.36</v>
      </c>
      <c r="Z30" s="280">
        <v>0</v>
      </c>
      <c r="AA30" s="279">
        <f t="shared" si="61"/>
        <v>904.36</v>
      </c>
      <c r="AB30" s="279">
        <f t="shared" si="62"/>
        <v>7182.64</v>
      </c>
      <c r="AC30" s="342"/>
      <c r="AD30" s="343"/>
    </row>
    <row r="31" spans="1:30" s="388" customFormat="1" ht="178.5" customHeight="1" x14ac:dyDescent="0.2">
      <c r="A31" s="383"/>
      <c r="B31" s="286" t="s">
        <v>404</v>
      </c>
      <c r="C31" s="286" t="s">
        <v>118</v>
      </c>
      <c r="D31" s="389" t="s">
        <v>405</v>
      </c>
      <c r="E31" s="371" t="s">
        <v>406</v>
      </c>
      <c r="F31" s="281" t="s">
        <v>407</v>
      </c>
      <c r="G31" s="332">
        <v>45428</v>
      </c>
      <c r="H31" s="274" t="s">
        <v>79</v>
      </c>
      <c r="I31" s="275">
        <v>15</v>
      </c>
      <c r="J31" s="275">
        <f t="shared" si="37"/>
        <v>539.13333333333333</v>
      </c>
      <c r="K31" s="277">
        <v>8087</v>
      </c>
      <c r="L31" s="278">
        <v>0</v>
      </c>
      <c r="M31" s="279">
        <f t="shared" si="58"/>
        <v>8087</v>
      </c>
      <c r="N31" s="301">
        <f t="shared" si="39"/>
        <v>0</v>
      </c>
      <c r="O31" s="322">
        <f t="shared" si="40"/>
        <v>16389.653333333332</v>
      </c>
      <c r="P31" s="322">
        <f t="shared" si="41"/>
        <v>15487.72</v>
      </c>
      <c r="Q31" s="301">
        <f t="shared" si="42"/>
        <v>901.93333333333248</v>
      </c>
      <c r="R31" s="302">
        <f t="shared" si="43"/>
        <v>0.21360000000000001</v>
      </c>
      <c r="S31" s="301">
        <f t="shared" si="44"/>
        <v>192.65295999999984</v>
      </c>
      <c r="T31" s="303">
        <f t="shared" si="45"/>
        <v>1640.18</v>
      </c>
      <c r="U31" s="301">
        <f t="shared" si="46"/>
        <v>1832.83296</v>
      </c>
      <c r="V31" s="301">
        <f t="shared" si="47"/>
        <v>0</v>
      </c>
      <c r="W31" s="301">
        <f t="shared" si="48"/>
        <v>904.36</v>
      </c>
      <c r="X31" s="279">
        <f t="shared" si="59"/>
        <v>0</v>
      </c>
      <c r="Y31" s="279">
        <f t="shared" si="60"/>
        <v>904.36</v>
      </c>
      <c r="Z31" s="280">
        <v>0</v>
      </c>
      <c r="AA31" s="279">
        <f t="shared" si="61"/>
        <v>904.36</v>
      </c>
      <c r="AB31" s="279">
        <f t="shared" si="62"/>
        <v>7182.64</v>
      </c>
      <c r="AC31" s="342"/>
      <c r="AD31" s="343"/>
    </row>
    <row r="32" spans="1:30" s="388" customFormat="1" ht="178.5" customHeight="1" x14ac:dyDescent="0.2">
      <c r="A32" s="383"/>
      <c r="B32" s="286" t="s">
        <v>408</v>
      </c>
      <c r="C32" s="286" t="s">
        <v>118</v>
      </c>
      <c r="D32" s="389" t="s">
        <v>409</v>
      </c>
      <c r="E32" s="371" t="s">
        <v>415</v>
      </c>
      <c r="F32" s="281" t="s">
        <v>410</v>
      </c>
      <c r="G32" s="332">
        <v>45444</v>
      </c>
      <c r="H32" s="274" t="s">
        <v>79</v>
      </c>
      <c r="I32" s="275">
        <v>15</v>
      </c>
      <c r="J32" s="275">
        <f t="shared" si="37"/>
        <v>539.13333333333333</v>
      </c>
      <c r="K32" s="277">
        <v>8087</v>
      </c>
      <c r="L32" s="278">
        <v>0</v>
      </c>
      <c r="M32" s="279">
        <f t="shared" si="58"/>
        <v>8087</v>
      </c>
      <c r="N32" s="301">
        <f t="shared" si="39"/>
        <v>0</v>
      </c>
      <c r="O32" s="322">
        <f t="shared" si="40"/>
        <v>16389.653333333332</v>
      </c>
      <c r="P32" s="322">
        <f t="shared" si="41"/>
        <v>15487.72</v>
      </c>
      <c r="Q32" s="301">
        <f t="shared" si="42"/>
        <v>901.93333333333248</v>
      </c>
      <c r="R32" s="302">
        <f t="shared" si="43"/>
        <v>0.21360000000000001</v>
      </c>
      <c r="S32" s="301">
        <f t="shared" si="44"/>
        <v>192.65295999999984</v>
      </c>
      <c r="T32" s="303">
        <f t="shared" si="45"/>
        <v>1640.18</v>
      </c>
      <c r="U32" s="301">
        <f t="shared" si="46"/>
        <v>1832.83296</v>
      </c>
      <c r="V32" s="301">
        <f t="shared" si="47"/>
        <v>0</v>
      </c>
      <c r="W32" s="301">
        <f t="shared" si="48"/>
        <v>904.36</v>
      </c>
      <c r="X32" s="279">
        <f t="shared" si="59"/>
        <v>0</v>
      </c>
      <c r="Y32" s="279">
        <f t="shared" si="60"/>
        <v>904.36</v>
      </c>
      <c r="Z32" s="280">
        <v>0</v>
      </c>
      <c r="AA32" s="279">
        <f t="shared" si="61"/>
        <v>904.36</v>
      </c>
      <c r="AB32" s="279">
        <f t="shared" si="62"/>
        <v>7182.64</v>
      </c>
      <c r="AC32" s="342"/>
      <c r="AD32" s="343"/>
    </row>
    <row r="33" spans="1:30" s="388" customFormat="1" ht="178.5" customHeight="1" x14ac:dyDescent="0.2">
      <c r="A33" s="383"/>
      <c r="B33" s="286" t="s">
        <v>425</v>
      </c>
      <c r="C33" s="286" t="s">
        <v>118</v>
      </c>
      <c r="D33" s="389" t="s">
        <v>427</v>
      </c>
      <c r="E33" s="371" t="s">
        <v>428</v>
      </c>
      <c r="F33" s="281" t="s">
        <v>429</v>
      </c>
      <c r="G33" s="332">
        <v>45459</v>
      </c>
      <c r="H33" s="274" t="s">
        <v>79</v>
      </c>
      <c r="I33" s="275">
        <v>15</v>
      </c>
      <c r="J33" s="275">
        <f t="shared" si="37"/>
        <v>539.13333333333333</v>
      </c>
      <c r="K33" s="277">
        <v>8087</v>
      </c>
      <c r="L33" s="278">
        <v>0</v>
      </c>
      <c r="M33" s="279">
        <f t="shared" si="58"/>
        <v>8087</v>
      </c>
      <c r="N33" s="301">
        <f t="shared" si="39"/>
        <v>0</v>
      </c>
      <c r="O33" s="322">
        <f t="shared" si="40"/>
        <v>16389.653333333332</v>
      </c>
      <c r="P33" s="322">
        <f t="shared" si="41"/>
        <v>15487.72</v>
      </c>
      <c r="Q33" s="301">
        <f t="shared" si="42"/>
        <v>901.93333333333248</v>
      </c>
      <c r="R33" s="302">
        <f t="shared" si="43"/>
        <v>0.21360000000000001</v>
      </c>
      <c r="S33" s="301">
        <f t="shared" si="44"/>
        <v>192.65295999999984</v>
      </c>
      <c r="T33" s="303">
        <f t="shared" si="45"/>
        <v>1640.18</v>
      </c>
      <c r="U33" s="301">
        <f t="shared" si="46"/>
        <v>1832.83296</v>
      </c>
      <c r="V33" s="301">
        <f t="shared" si="47"/>
        <v>0</v>
      </c>
      <c r="W33" s="301">
        <f t="shared" si="48"/>
        <v>904.36</v>
      </c>
      <c r="X33" s="279">
        <f t="shared" si="59"/>
        <v>0</v>
      </c>
      <c r="Y33" s="279">
        <f t="shared" si="60"/>
        <v>904.36</v>
      </c>
      <c r="Z33" s="280">
        <v>0</v>
      </c>
      <c r="AA33" s="279">
        <f t="shared" si="61"/>
        <v>904.36</v>
      </c>
      <c r="AB33" s="279">
        <f t="shared" si="62"/>
        <v>7182.64</v>
      </c>
      <c r="AC33" s="342"/>
      <c r="AD33" s="343"/>
    </row>
    <row r="34" spans="1:30" ht="15.75" customHeight="1" x14ac:dyDescent="0.3">
      <c r="A34" s="146"/>
      <c r="B34" s="217"/>
      <c r="C34" s="217"/>
      <c r="D34" s="200"/>
      <c r="E34" s="201"/>
      <c r="F34" s="108"/>
      <c r="G34" s="213"/>
      <c r="H34" s="208"/>
      <c r="I34" s="221"/>
      <c r="J34" s="221"/>
      <c r="K34" s="223"/>
      <c r="L34" s="224"/>
      <c r="M34" s="225"/>
      <c r="N34" s="226"/>
      <c r="O34" s="226"/>
      <c r="P34" s="226"/>
      <c r="Q34" s="226"/>
      <c r="R34" s="227"/>
      <c r="S34" s="226"/>
      <c r="T34" s="228"/>
      <c r="U34" s="226"/>
      <c r="V34" s="226"/>
      <c r="W34" s="226"/>
      <c r="X34" s="225"/>
      <c r="Y34" s="225"/>
      <c r="Z34" s="229"/>
      <c r="AA34" s="225"/>
      <c r="AB34" s="225"/>
      <c r="AC34" s="4"/>
      <c r="AD34" s="4"/>
    </row>
    <row r="35" spans="1:30" ht="15.75" customHeight="1" x14ac:dyDescent="0.3">
      <c r="A35" s="146"/>
      <c r="B35" s="217"/>
      <c r="C35" s="217"/>
      <c r="D35" s="200"/>
      <c r="E35" s="201"/>
      <c r="F35" s="108"/>
      <c r="G35" s="213"/>
      <c r="H35" s="208"/>
      <c r="I35" s="221"/>
      <c r="J35" s="221"/>
      <c r="K35" s="223"/>
      <c r="L35" s="224"/>
      <c r="M35" s="225"/>
      <c r="N35" s="226"/>
      <c r="O35" s="226"/>
      <c r="P35" s="226"/>
      <c r="Q35" s="226"/>
      <c r="R35" s="227"/>
      <c r="S35" s="226"/>
      <c r="T35" s="228"/>
      <c r="U35" s="226"/>
      <c r="V35" s="226"/>
      <c r="W35" s="226"/>
      <c r="X35" s="225"/>
      <c r="Y35" s="225"/>
      <c r="Z35" s="229"/>
      <c r="AA35" s="225"/>
      <c r="AB35" s="225"/>
      <c r="AC35" s="4"/>
      <c r="AD35" s="4"/>
    </row>
    <row r="36" spans="1:30" ht="15.75" customHeight="1" x14ac:dyDescent="0.3">
      <c r="A36" s="146"/>
      <c r="B36" s="217"/>
      <c r="C36" s="217"/>
      <c r="D36" s="200"/>
      <c r="E36" s="201"/>
      <c r="F36" s="108"/>
      <c r="G36" s="213"/>
      <c r="H36" s="208"/>
      <c r="I36" s="221"/>
      <c r="J36" s="221"/>
      <c r="K36" s="223"/>
      <c r="L36" s="224"/>
      <c r="M36" s="225"/>
      <c r="N36" s="226"/>
      <c r="O36" s="226"/>
      <c r="P36" s="226"/>
      <c r="Q36" s="226"/>
      <c r="R36" s="227"/>
      <c r="S36" s="226"/>
      <c r="T36" s="228"/>
      <c r="U36" s="226"/>
      <c r="V36" s="226"/>
      <c r="W36" s="226"/>
      <c r="X36" s="225"/>
      <c r="Y36" s="225"/>
      <c r="Z36" s="229"/>
      <c r="AA36" s="225"/>
      <c r="AB36" s="225"/>
      <c r="AC36" s="4"/>
      <c r="AD36" s="4"/>
    </row>
    <row r="37" spans="1:30" ht="15.75" customHeight="1" x14ac:dyDescent="0.3">
      <c r="A37" s="146"/>
      <c r="B37" s="217"/>
      <c r="C37" s="217"/>
      <c r="D37" s="200"/>
      <c r="E37" s="201"/>
      <c r="F37" s="108"/>
      <c r="G37" s="213"/>
      <c r="H37" s="208"/>
      <c r="I37" s="221"/>
      <c r="J37" s="221"/>
      <c r="K37" s="223"/>
      <c r="L37" s="224"/>
      <c r="M37" s="225"/>
      <c r="N37" s="226"/>
      <c r="O37" s="226"/>
      <c r="P37" s="226"/>
      <c r="Q37" s="226"/>
      <c r="R37" s="227"/>
      <c r="S37" s="226"/>
      <c r="T37" s="228"/>
      <c r="U37" s="226"/>
      <c r="V37" s="226"/>
      <c r="W37" s="226"/>
      <c r="X37" s="225"/>
      <c r="Y37" s="225"/>
      <c r="Z37" s="229"/>
      <c r="AA37" s="225"/>
      <c r="AB37" s="225"/>
      <c r="AC37" s="4"/>
      <c r="AD37" s="4"/>
    </row>
    <row r="38" spans="1:30" ht="32.25" customHeight="1" x14ac:dyDescent="0.25">
      <c r="A38" s="146"/>
      <c r="B38" s="502" t="s">
        <v>402</v>
      </c>
      <c r="C38" s="503"/>
      <c r="D38" s="503"/>
      <c r="E38" s="503"/>
      <c r="F38" s="503"/>
      <c r="G38" s="503"/>
      <c r="H38" s="503"/>
      <c r="I38" s="503"/>
      <c r="J38" s="503"/>
      <c r="K38" s="503"/>
      <c r="L38" s="503"/>
      <c r="M38" s="503"/>
      <c r="N38" s="503"/>
      <c r="O38" s="503"/>
      <c r="P38" s="503"/>
      <c r="Q38" s="503"/>
      <c r="R38" s="503"/>
      <c r="S38" s="503"/>
      <c r="T38" s="503"/>
      <c r="U38" s="503"/>
      <c r="V38" s="503"/>
      <c r="W38" s="503"/>
      <c r="X38" s="503"/>
      <c r="Y38" s="503"/>
      <c r="Z38" s="503"/>
      <c r="AA38" s="503"/>
      <c r="AB38" s="503"/>
      <c r="AC38" s="503"/>
      <c r="AD38" s="4"/>
    </row>
    <row r="39" spans="1:30" ht="18.75" customHeight="1" x14ac:dyDescent="0.25">
      <c r="A39" s="146"/>
      <c r="B39" s="502" t="s">
        <v>403</v>
      </c>
      <c r="C39" s="503"/>
      <c r="D39" s="503"/>
      <c r="E39" s="503"/>
      <c r="F39" s="503"/>
      <c r="G39" s="503"/>
      <c r="H39" s="503"/>
      <c r="I39" s="503"/>
      <c r="J39" s="503"/>
      <c r="K39" s="503"/>
      <c r="L39" s="503"/>
      <c r="M39" s="503"/>
      <c r="N39" s="503"/>
      <c r="O39" s="503"/>
      <c r="P39" s="503"/>
      <c r="Q39" s="503"/>
      <c r="R39" s="503"/>
      <c r="S39" s="503"/>
      <c r="T39" s="503"/>
      <c r="U39" s="503"/>
      <c r="V39" s="503"/>
      <c r="W39" s="503"/>
      <c r="X39" s="503"/>
      <c r="Y39" s="503"/>
      <c r="Z39" s="503"/>
      <c r="AA39" s="503"/>
      <c r="AB39" s="503"/>
      <c r="AC39" s="503"/>
      <c r="AD39" s="4"/>
    </row>
    <row r="40" spans="1:30" ht="32.25" customHeight="1" x14ac:dyDescent="0.3">
      <c r="A40" s="146"/>
      <c r="B40" s="487" t="str">
        <f>PRESIDENCIA!A3</f>
        <v>SUELDO  DEL 01 AL 15 DE MARZO DE 2025</v>
      </c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487"/>
      <c r="P40" s="487"/>
      <c r="Q40" s="487"/>
      <c r="R40" s="487"/>
      <c r="S40" s="487"/>
      <c r="T40" s="487"/>
      <c r="U40" s="487"/>
      <c r="V40" s="487"/>
      <c r="W40" s="487"/>
      <c r="X40" s="487"/>
      <c r="Y40" s="487"/>
      <c r="Z40" s="487"/>
      <c r="AA40" s="487"/>
      <c r="AB40" s="487"/>
      <c r="AC40" s="487"/>
      <c r="AD40" s="4"/>
    </row>
    <row r="41" spans="1:30" ht="22.5" customHeight="1" x14ac:dyDescent="0.3">
      <c r="A41" s="146"/>
      <c r="B41" s="217"/>
      <c r="C41" s="217"/>
      <c r="D41" s="200"/>
      <c r="E41" s="201"/>
      <c r="F41" s="108"/>
      <c r="G41" s="213"/>
      <c r="H41" s="208"/>
      <c r="I41" s="221"/>
      <c r="J41" s="221"/>
      <c r="K41" s="223"/>
      <c r="L41" s="224"/>
      <c r="M41" s="225"/>
      <c r="N41" s="226"/>
      <c r="O41" s="226"/>
      <c r="P41" s="226"/>
      <c r="Q41" s="226"/>
      <c r="R41" s="227"/>
      <c r="S41" s="226"/>
      <c r="T41" s="228"/>
      <c r="U41" s="226"/>
      <c r="V41" s="226"/>
      <c r="W41" s="226"/>
      <c r="X41" s="225"/>
      <c r="Y41" s="225"/>
      <c r="Z41" s="229"/>
      <c r="AA41" s="225"/>
      <c r="AB41" s="225"/>
      <c r="AC41" s="4"/>
      <c r="AD41" s="4"/>
    </row>
    <row r="42" spans="1:30" s="388" customFormat="1" ht="171" customHeight="1" x14ac:dyDescent="0.2">
      <c r="A42" s="383"/>
      <c r="B42" s="345" t="s">
        <v>426</v>
      </c>
      <c r="C42" s="345" t="s">
        <v>118</v>
      </c>
      <c r="D42" s="391" t="s">
        <v>430</v>
      </c>
      <c r="E42" s="392" t="s">
        <v>431</v>
      </c>
      <c r="F42" s="393" t="s">
        <v>432</v>
      </c>
      <c r="G42" s="394">
        <v>45459</v>
      </c>
      <c r="H42" s="349" t="s">
        <v>79</v>
      </c>
      <c r="I42" s="275">
        <v>15</v>
      </c>
      <c r="J42" s="275">
        <f t="shared" ref="J42:J49" si="63">K42/I42</f>
        <v>539.13333333333333</v>
      </c>
      <c r="K42" s="277">
        <v>8087</v>
      </c>
      <c r="L42" s="351">
        <v>0</v>
      </c>
      <c r="M42" s="352">
        <f t="shared" ref="M42" si="64">SUM(K42:L42)</f>
        <v>8087</v>
      </c>
      <c r="N42" s="301">
        <f t="shared" ref="N42:N49" si="65">IF(K42/15&lt;=SMG,0,L42/2)</f>
        <v>0</v>
      </c>
      <c r="O42" s="322">
        <f t="shared" ref="O42:O49" si="66">(K42+N42)/I42*30.4</f>
        <v>16389.653333333332</v>
      </c>
      <c r="P42" s="322">
        <f t="shared" ref="P42:P49" si="67">VLOOKUP(O42,Tarifa,1)</f>
        <v>15487.72</v>
      </c>
      <c r="Q42" s="301">
        <f t="shared" ref="Q42:Q49" si="68">O42-P42</f>
        <v>901.93333333333248</v>
      </c>
      <c r="R42" s="302">
        <f t="shared" ref="R42:R49" si="69">VLOOKUP(O42,Tarifa,3)</f>
        <v>0.21360000000000001</v>
      </c>
      <c r="S42" s="301">
        <f t="shared" ref="S42:S49" si="70">Q42*R42</f>
        <v>192.65295999999984</v>
      </c>
      <c r="T42" s="303">
        <f t="shared" ref="T42:T49" si="71">VLOOKUP(O42,Tarifa,2)</f>
        <v>1640.18</v>
      </c>
      <c r="U42" s="301">
        <f t="shared" ref="U42:U49" si="72">S42+T42</f>
        <v>1832.83296</v>
      </c>
      <c r="V42" s="301">
        <f t="shared" ref="V42:V49" si="73">VLOOKUP(O42,Credito,2)</f>
        <v>0</v>
      </c>
      <c r="W42" s="301">
        <f t="shared" ref="W42:W49" si="74">ROUND((U42-V42)/30.4*I42,2)</f>
        <v>904.36</v>
      </c>
      <c r="X42" s="352">
        <f t="shared" ref="X42" si="75">-IF(W42&gt;0,0,0)</f>
        <v>0</v>
      </c>
      <c r="Y42" s="352">
        <f t="shared" ref="Y42" si="76">IF(K42/15&lt;=SMG,0,IF(W42&lt;0,0,W42))</f>
        <v>904.36</v>
      </c>
      <c r="Z42" s="353">
        <v>0</v>
      </c>
      <c r="AA42" s="352">
        <f t="shared" ref="AA42" si="77">SUM(Y42:Z42)</f>
        <v>904.36</v>
      </c>
      <c r="AB42" s="352">
        <f t="shared" ref="AB42" si="78">M42+X42-AA42</f>
        <v>7182.64</v>
      </c>
      <c r="AC42" s="354"/>
      <c r="AD42" s="343"/>
    </row>
    <row r="43" spans="1:30" s="388" customFormat="1" ht="171" customHeight="1" x14ac:dyDescent="0.2">
      <c r="A43" s="383"/>
      <c r="B43" s="286" t="s">
        <v>441</v>
      </c>
      <c r="C43" s="286" t="s">
        <v>118</v>
      </c>
      <c r="D43" s="389" t="s">
        <v>442</v>
      </c>
      <c r="E43" s="371" t="s">
        <v>443</v>
      </c>
      <c r="F43" s="281" t="s">
        <v>444</v>
      </c>
      <c r="G43" s="332">
        <v>45520</v>
      </c>
      <c r="H43" s="274" t="s">
        <v>79</v>
      </c>
      <c r="I43" s="275">
        <v>15</v>
      </c>
      <c r="J43" s="275">
        <f t="shared" si="63"/>
        <v>539.13333333333333</v>
      </c>
      <c r="K43" s="277">
        <v>8087</v>
      </c>
      <c r="L43" s="278">
        <v>0</v>
      </c>
      <c r="M43" s="279">
        <f t="shared" ref="M43" si="79">SUM(K43:L43)</f>
        <v>8087</v>
      </c>
      <c r="N43" s="301">
        <f t="shared" si="65"/>
        <v>0</v>
      </c>
      <c r="O43" s="322">
        <f t="shared" si="66"/>
        <v>16389.653333333332</v>
      </c>
      <c r="P43" s="322">
        <f t="shared" si="67"/>
        <v>15487.72</v>
      </c>
      <c r="Q43" s="301">
        <f t="shared" si="68"/>
        <v>901.93333333333248</v>
      </c>
      <c r="R43" s="302">
        <f t="shared" si="69"/>
        <v>0.21360000000000001</v>
      </c>
      <c r="S43" s="301">
        <f t="shared" si="70"/>
        <v>192.65295999999984</v>
      </c>
      <c r="T43" s="303">
        <f t="shared" si="71"/>
        <v>1640.18</v>
      </c>
      <c r="U43" s="301">
        <f t="shared" si="72"/>
        <v>1832.83296</v>
      </c>
      <c r="V43" s="301">
        <f t="shared" si="73"/>
        <v>0</v>
      </c>
      <c r="W43" s="301">
        <f t="shared" si="74"/>
        <v>904.36</v>
      </c>
      <c r="X43" s="279">
        <f t="shared" ref="X43" si="80">-IF(W43&gt;0,0,0)</f>
        <v>0</v>
      </c>
      <c r="Y43" s="279">
        <f t="shared" ref="Y43" si="81">IF(K43/15&lt;=SMG,0,IF(W43&lt;0,0,W43))</f>
        <v>904.36</v>
      </c>
      <c r="Z43" s="280">
        <v>0</v>
      </c>
      <c r="AA43" s="279">
        <f t="shared" ref="AA43" si="82">SUM(Y43:Z43)</f>
        <v>904.36</v>
      </c>
      <c r="AB43" s="279">
        <f t="shared" ref="AB43" si="83">M43+X43-AA43</f>
        <v>7182.64</v>
      </c>
      <c r="AC43" s="342"/>
      <c r="AD43" s="343"/>
    </row>
    <row r="44" spans="1:30" s="388" customFormat="1" ht="171" customHeight="1" x14ac:dyDescent="0.2">
      <c r="A44" s="383"/>
      <c r="B44" s="286" t="s">
        <v>564</v>
      </c>
      <c r="C44" s="286" t="s">
        <v>118</v>
      </c>
      <c r="D44" s="389" t="s">
        <v>566</v>
      </c>
      <c r="E44" s="371" t="s">
        <v>568</v>
      </c>
      <c r="F44" s="281" t="s">
        <v>569</v>
      </c>
      <c r="G44" s="332">
        <v>45597</v>
      </c>
      <c r="H44" s="274" t="s">
        <v>79</v>
      </c>
      <c r="I44" s="275">
        <v>15</v>
      </c>
      <c r="J44" s="275">
        <f t="shared" si="63"/>
        <v>539.13333333333333</v>
      </c>
      <c r="K44" s="277">
        <v>8087</v>
      </c>
      <c r="L44" s="278">
        <v>0</v>
      </c>
      <c r="M44" s="279">
        <f t="shared" ref="M44:M45" si="84">SUM(K44:L44)</f>
        <v>8087</v>
      </c>
      <c r="N44" s="301">
        <f t="shared" si="65"/>
        <v>0</v>
      </c>
      <c r="O44" s="322">
        <f t="shared" si="66"/>
        <v>16389.653333333332</v>
      </c>
      <c r="P44" s="322">
        <f t="shared" si="67"/>
        <v>15487.72</v>
      </c>
      <c r="Q44" s="301">
        <f t="shared" si="68"/>
        <v>901.93333333333248</v>
      </c>
      <c r="R44" s="302">
        <f t="shared" si="69"/>
        <v>0.21360000000000001</v>
      </c>
      <c r="S44" s="301">
        <f t="shared" si="70"/>
        <v>192.65295999999984</v>
      </c>
      <c r="T44" s="303">
        <f t="shared" si="71"/>
        <v>1640.18</v>
      </c>
      <c r="U44" s="301">
        <f t="shared" si="72"/>
        <v>1832.83296</v>
      </c>
      <c r="V44" s="301">
        <f t="shared" si="73"/>
        <v>0</v>
      </c>
      <c r="W44" s="301">
        <f t="shared" si="74"/>
        <v>904.36</v>
      </c>
      <c r="X44" s="279">
        <f t="shared" ref="X44:X45" si="85">-IF(W44&gt;0,0,0)</f>
        <v>0</v>
      </c>
      <c r="Y44" s="279">
        <f t="shared" ref="Y44:Y45" si="86">IF(K44/15&lt;=SMG,0,IF(W44&lt;0,0,W44))</f>
        <v>904.36</v>
      </c>
      <c r="Z44" s="280">
        <v>0</v>
      </c>
      <c r="AA44" s="279">
        <f t="shared" ref="AA44:AA45" si="87">SUM(Y44:Z44)</f>
        <v>904.36</v>
      </c>
      <c r="AB44" s="279">
        <f t="shared" ref="AB44:AB45" si="88">M44+X44-AA44</f>
        <v>7182.64</v>
      </c>
      <c r="AC44" s="342"/>
      <c r="AD44" s="343"/>
    </row>
    <row r="45" spans="1:30" s="388" customFormat="1" ht="171" customHeight="1" x14ac:dyDescent="0.2">
      <c r="A45" s="383"/>
      <c r="B45" s="286" t="s">
        <v>565</v>
      </c>
      <c r="C45" s="286" t="s">
        <v>118</v>
      </c>
      <c r="D45" s="389" t="s">
        <v>567</v>
      </c>
      <c r="E45" s="371" t="s">
        <v>570</v>
      </c>
      <c r="F45" s="281" t="s">
        <v>571</v>
      </c>
      <c r="G45" s="332">
        <v>45597</v>
      </c>
      <c r="H45" s="274" t="s">
        <v>79</v>
      </c>
      <c r="I45" s="275">
        <v>15</v>
      </c>
      <c r="J45" s="275">
        <f t="shared" si="63"/>
        <v>539.13333333333333</v>
      </c>
      <c r="K45" s="277">
        <v>8087</v>
      </c>
      <c r="L45" s="278">
        <v>0</v>
      </c>
      <c r="M45" s="279">
        <f t="shared" si="84"/>
        <v>8087</v>
      </c>
      <c r="N45" s="301">
        <f t="shared" si="65"/>
        <v>0</v>
      </c>
      <c r="O45" s="322">
        <f t="shared" si="66"/>
        <v>16389.653333333332</v>
      </c>
      <c r="P45" s="322">
        <f t="shared" si="67"/>
        <v>15487.72</v>
      </c>
      <c r="Q45" s="301">
        <f t="shared" si="68"/>
        <v>901.93333333333248</v>
      </c>
      <c r="R45" s="302">
        <f t="shared" si="69"/>
        <v>0.21360000000000001</v>
      </c>
      <c r="S45" s="301">
        <f t="shared" si="70"/>
        <v>192.65295999999984</v>
      </c>
      <c r="T45" s="303">
        <f t="shared" si="71"/>
        <v>1640.18</v>
      </c>
      <c r="U45" s="301">
        <f t="shared" si="72"/>
        <v>1832.83296</v>
      </c>
      <c r="V45" s="301">
        <f t="shared" si="73"/>
        <v>0</v>
      </c>
      <c r="W45" s="301">
        <f t="shared" si="74"/>
        <v>904.36</v>
      </c>
      <c r="X45" s="279">
        <f t="shared" si="85"/>
        <v>0</v>
      </c>
      <c r="Y45" s="279">
        <f t="shared" si="86"/>
        <v>904.36</v>
      </c>
      <c r="Z45" s="280">
        <v>0</v>
      </c>
      <c r="AA45" s="279">
        <f t="shared" si="87"/>
        <v>904.36</v>
      </c>
      <c r="AB45" s="279">
        <f t="shared" si="88"/>
        <v>7182.64</v>
      </c>
      <c r="AC45" s="342"/>
      <c r="AD45" s="343"/>
    </row>
    <row r="46" spans="1:30" s="388" customFormat="1" ht="171" customHeight="1" x14ac:dyDescent="0.25">
      <c r="A46" s="383"/>
      <c r="B46" s="286" t="s">
        <v>632</v>
      </c>
      <c r="C46" s="286" t="s">
        <v>118</v>
      </c>
      <c r="D46" s="389" t="s">
        <v>622</v>
      </c>
      <c r="E46" s="371" t="s">
        <v>644</v>
      </c>
      <c r="F46" s="281" t="s">
        <v>623</v>
      </c>
      <c r="G46" s="332">
        <v>45704</v>
      </c>
      <c r="H46" s="274" t="s">
        <v>79</v>
      </c>
      <c r="I46" s="275">
        <v>15</v>
      </c>
      <c r="J46" s="275">
        <f t="shared" si="63"/>
        <v>539.13333333333333</v>
      </c>
      <c r="K46" s="277">
        <v>8087</v>
      </c>
      <c r="L46" s="278">
        <v>0</v>
      </c>
      <c r="M46" s="279">
        <f t="shared" ref="M46:M48" si="89">SUM(K46:L46)</f>
        <v>8087</v>
      </c>
      <c r="N46" s="301">
        <f t="shared" si="65"/>
        <v>0</v>
      </c>
      <c r="O46" s="322">
        <f t="shared" si="66"/>
        <v>16389.653333333332</v>
      </c>
      <c r="P46" s="322">
        <f t="shared" si="67"/>
        <v>15487.72</v>
      </c>
      <c r="Q46" s="301">
        <f t="shared" si="68"/>
        <v>901.93333333333248</v>
      </c>
      <c r="R46" s="302">
        <f t="shared" si="69"/>
        <v>0.21360000000000001</v>
      </c>
      <c r="S46" s="301">
        <f t="shared" si="70"/>
        <v>192.65295999999984</v>
      </c>
      <c r="T46" s="303">
        <f t="shared" si="71"/>
        <v>1640.18</v>
      </c>
      <c r="U46" s="301">
        <f t="shared" si="72"/>
        <v>1832.83296</v>
      </c>
      <c r="V46" s="301">
        <f t="shared" si="73"/>
        <v>0</v>
      </c>
      <c r="W46" s="301">
        <f t="shared" si="74"/>
        <v>904.36</v>
      </c>
      <c r="X46" s="279">
        <f t="shared" ref="X46:X48" si="90">-IF(W46&gt;0,0,0)</f>
        <v>0</v>
      </c>
      <c r="Y46" s="279">
        <f t="shared" ref="Y46:Y48" si="91">IF(K46/15&lt;=SMG,0,IF(W46&lt;0,0,W46))</f>
        <v>904.36</v>
      </c>
      <c r="Z46" s="280">
        <v>0</v>
      </c>
      <c r="AA46" s="279">
        <f t="shared" ref="AA46:AA48" si="92">SUM(Y46:Z46)</f>
        <v>904.36</v>
      </c>
      <c r="AB46" s="279">
        <f t="shared" ref="AB46:AB48" si="93">M46+X46-AA46</f>
        <v>7182.64</v>
      </c>
      <c r="AC46" s="439"/>
      <c r="AD46" s="343"/>
    </row>
    <row r="47" spans="1:30" s="388" customFormat="1" ht="171" customHeight="1" x14ac:dyDescent="0.2">
      <c r="A47" s="383"/>
      <c r="B47" s="286" t="s">
        <v>633</v>
      </c>
      <c r="C47" s="286" t="s">
        <v>118</v>
      </c>
      <c r="D47" s="389" t="s">
        <v>624</v>
      </c>
      <c r="E47" s="371" t="s">
        <v>625</v>
      </c>
      <c r="F47" s="281" t="s">
        <v>626</v>
      </c>
      <c r="G47" s="332">
        <v>45704</v>
      </c>
      <c r="H47" s="274" t="s">
        <v>79</v>
      </c>
      <c r="I47" s="275">
        <v>15</v>
      </c>
      <c r="J47" s="275">
        <f t="shared" si="63"/>
        <v>539.13333333333333</v>
      </c>
      <c r="K47" s="277">
        <v>8087</v>
      </c>
      <c r="L47" s="278">
        <v>0</v>
      </c>
      <c r="M47" s="279">
        <f t="shared" si="89"/>
        <v>8087</v>
      </c>
      <c r="N47" s="301">
        <f t="shared" si="65"/>
        <v>0</v>
      </c>
      <c r="O47" s="322">
        <f t="shared" si="66"/>
        <v>16389.653333333332</v>
      </c>
      <c r="P47" s="322">
        <f t="shared" si="67"/>
        <v>15487.72</v>
      </c>
      <c r="Q47" s="301">
        <f t="shared" si="68"/>
        <v>901.93333333333248</v>
      </c>
      <c r="R47" s="302">
        <f t="shared" si="69"/>
        <v>0.21360000000000001</v>
      </c>
      <c r="S47" s="301">
        <f t="shared" si="70"/>
        <v>192.65295999999984</v>
      </c>
      <c r="T47" s="303">
        <f t="shared" si="71"/>
        <v>1640.18</v>
      </c>
      <c r="U47" s="301">
        <f t="shared" si="72"/>
        <v>1832.83296</v>
      </c>
      <c r="V47" s="301">
        <f t="shared" si="73"/>
        <v>0</v>
      </c>
      <c r="W47" s="301">
        <f t="shared" si="74"/>
        <v>904.36</v>
      </c>
      <c r="X47" s="279">
        <f t="shared" si="90"/>
        <v>0</v>
      </c>
      <c r="Y47" s="279">
        <f t="shared" si="91"/>
        <v>904.36</v>
      </c>
      <c r="Z47" s="280">
        <v>0</v>
      </c>
      <c r="AA47" s="279">
        <f t="shared" si="92"/>
        <v>904.36</v>
      </c>
      <c r="AB47" s="279">
        <f t="shared" si="93"/>
        <v>7182.64</v>
      </c>
      <c r="AC47" s="342"/>
      <c r="AD47" s="343"/>
    </row>
    <row r="48" spans="1:30" s="388" customFormat="1" ht="171" customHeight="1" x14ac:dyDescent="0.2">
      <c r="A48" s="383"/>
      <c r="B48" s="286" t="s">
        <v>634</v>
      </c>
      <c r="C48" s="286" t="s">
        <v>118</v>
      </c>
      <c r="D48" s="389" t="s">
        <v>627</v>
      </c>
      <c r="E48" s="371" t="s">
        <v>628</v>
      </c>
      <c r="F48" s="281" t="s">
        <v>629</v>
      </c>
      <c r="G48" s="332">
        <v>45704</v>
      </c>
      <c r="H48" s="274" t="s">
        <v>79</v>
      </c>
      <c r="I48" s="275">
        <v>15</v>
      </c>
      <c r="J48" s="275">
        <f t="shared" ref="J48" si="94">K48/I48</f>
        <v>539.13333333333333</v>
      </c>
      <c r="K48" s="277">
        <v>8087</v>
      </c>
      <c r="L48" s="278">
        <v>0</v>
      </c>
      <c r="M48" s="279">
        <f t="shared" si="89"/>
        <v>8087</v>
      </c>
      <c r="N48" s="301">
        <f t="shared" ref="N48" si="95">IF(K48/15&lt;=SMG,0,L48/2)</f>
        <v>0</v>
      </c>
      <c r="O48" s="322">
        <f t="shared" ref="O48" si="96">(K48+N48)/I48*30.4</f>
        <v>16389.653333333332</v>
      </c>
      <c r="P48" s="322">
        <f t="shared" ref="P48" si="97">VLOOKUP(O48,Tarifa,1)</f>
        <v>15487.72</v>
      </c>
      <c r="Q48" s="301">
        <f t="shared" ref="Q48" si="98">O48-P48</f>
        <v>901.93333333333248</v>
      </c>
      <c r="R48" s="302">
        <f t="shared" ref="R48" si="99">VLOOKUP(O48,Tarifa,3)</f>
        <v>0.21360000000000001</v>
      </c>
      <c r="S48" s="301">
        <f t="shared" ref="S48" si="100">Q48*R48</f>
        <v>192.65295999999984</v>
      </c>
      <c r="T48" s="303">
        <f t="shared" ref="T48" si="101">VLOOKUP(O48,Tarifa,2)</f>
        <v>1640.18</v>
      </c>
      <c r="U48" s="301">
        <f t="shared" ref="U48" si="102">S48+T48</f>
        <v>1832.83296</v>
      </c>
      <c r="V48" s="301">
        <f t="shared" ref="V48" si="103">VLOOKUP(O48,Credito,2)</f>
        <v>0</v>
      </c>
      <c r="W48" s="301">
        <f t="shared" ref="W48" si="104">ROUND((U48-V48)/30.4*I48,2)</f>
        <v>904.36</v>
      </c>
      <c r="X48" s="279">
        <f t="shared" si="90"/>
        <v>0</v>
      </c>
      <c r="Y48" s="279">
        <f t="shared" si="91"/>
        <v>904.36</v>
      </c>
      <c r="Z48" s="280">
        <v>0</v>
      </c>
      <c r="AA48" s="279">
        <f t="shared" si="92"/>
        <v>904.36</v>
      </c>
      <c r="AB48" s="279">
        <f t="shared" si="93"/>
        <v>7182.64</v>
      </c>
      <c r="AC48" s="342"/>
      <c r="AD48" s="343"/>
    </row>
    <row r="49" spans="1:30" s="388" customFormat="1" ht="171" customHeight="1" x14ac:dyDescent="0.2">
      <c r="A49" s="383"/>
      <c r="B49" s="286" t="s">
        <v>642</v>
      </c>
      <c r="C49" s="286" t="s">
        <v>118</v>
      </c>
      <c r="D49" s="389" t="s">
        <v>643</v>
      </c>
      <c r="E49" s="371" t="s">
        <v>640</v>
      </c>
      <c r="F49" s="281" t="s">
        <v>641</v>
      </c>
      <c r="G49" s="332">
        <v>45717</v>
      </c>
      <c r="H49" s="274" t="s">
        <v>79</v>
      </c>
      <c r="I49" s="275">
        <v>15</v>
      </c>
      <c r="J49" s="275">
        <f t="shared" si="63"/>
        <v>539.13333333333333</v>
      </c>
      <c r="K49" s="277">
        <v>8087</v>
      </c>
      <c r="L49" s="278">
        <v>0</v>
      </c>
      <c r="M49" s="279">
        <f t="shared" si="58"/>
        <v>8087</v>
      </c>
      <c r="N49" s="301">
        <f t="shared" si="65"/>
        <v>0</v>
      </c>
      <c r="O49" s="322">
        <f t="shared" si="66"/>
        <v>16389.653333333332</v>
      </c>
      <c r="P49" s="322">
        <f t="shared" si="67"/>
        <v>15487.72</v>
      </c>
      <c r="Q49" s="301">
        <f t="shared" si="68"/>
        <v>901.93333333333248</v>
      </c>
      <c r="R49" s="302">
        <f t="shared" si="69"/>
        <v>0.21360000000000001</v>
      </c>
      <c r="S49" s="301">
        <f t="shared" si="70"/>
        <v>192.65295999999984</v>
      </c>
      <c r="T49" s="303">
        <f t="shared" si="71"/>
        <v>1640.18</v>
      </c>
      <c r="U49" s="301">
        <f t="shared" si="72"/>
        <v>1832.83296</v>
      </c>
      <c r="V49" s="301">
        <f t="shared" si="73"/>
        <v>0</v>
      </c>
      <c r="W49" s="301">
        <f t="shared" si="74"/>
        <v>904.36</v>
      </c>
      <c r="X49" s="279">
        <f t="shared" si="59"/>
        <v>0</v>
      </c>
      <c r="Y49" s="279">
        <f t="shared" si="60"/>
        <v>904.36</v>
      </c>
      <c r="Z49" s="280">
        <v>0</v>
      </c>
      <c r="AA49" s="279">
        <f t="shared" si="61"/>
        <v>904.36</v>
      </c>
      <c r="AB49" s="279">
        <f t="shared" si="62"/>
        <v>7182.64</v>
      </c>
      <c r="AC49" s="342"/>
      <c r="AD49" s="343"/>
    </row>
    <row r="50" spans="1:30" ht="29.25" customHeight="1" thickBot="1" x14ac:dyDescent="0.35">
      <c r="A50" s="449" t="s">
        <v>44</v>
      </c>
      <c r="B50" s="450"/>
      <c r="C50" s="450"/>
      <c r="D50" s="450"/>
      <c r="E50" s="450"/>
      <c r="F50" s="450"/>
      <c r="G50" s="450"/>
      <c r="H50" s="450"/>
      <c r="I50" s="450"/>
      <c r="J50" s="385"/>
      <c r="K50" s="210">
        <f>SUM(K9:K49)</f>
        <v>216015</v>
      </c>
      <c r="L50" s="210">
        <f>SUM(L9:L49)</f>
        <v>0</v>
      </c>
      <c r="M50" s="210">
        <f>SUM(M9:M49)</f>
        <v>216015</v>
      </c>
      <c r="N50" s="211">
        <f t="shared" ref="N50:W50" si="105">SUM(N9:N17)</f>
        <v>0</v>
      </c>
      <c r="O50" s="211">
        <f t="shared" si="105"/>
        <v>159166.29333333331</v>
      </c>
      <c r="P50" s="211">
        <f t="shared" si="105"/>
        <v>139389.47999999998</v>
      </c>
      <c r="Q50" s="211">
        <f t="shared" si="105"/>
        <v>19776.813333333332</v>
      </c>
      <c r="R50" s="211">
        <f t="shared" si="105"/>
        <v>1.9224000000000001</v>
      </c>
      <c r="S50" s="211">
        <f t="shared" si="105"/>
        <v>4224.3273279999985</v>
      </c>
      <c r="T50" s="211">
        <f t="shared" si="105"/>
        <v>14761.62</v>
      </c>
      <c r="U50" s="211">
        <f t="shared" si="105"/>
        <v>18985.947327999998</v>
      </c>
      <c r="V50" s="211">
        <f t="shared" si="105"/>
        <v>0</v>
      </c>
      <c r="W50" s="211">
        <f t="shared" si="105"/>
        <v>9368.0800000000017</v>
      </c>
      <c r="X50" s="210">
        <f>SUM(X9:X49)</f>
        <v>0</v>
      </c>
      <c r="Y50" s="210">
        <f>SUM(Y9:Y49)</f>
        <v>24742.200000000012</v>
      </c>
      <c r="Z50" s="210">
        <f>SUM(Z9:Z49)</f>
        <v>0</v>
      </c>
      <c r="AA50" s="210">
        <f>SUM(AA9:AA49)</f>
        <v>24742.200000000012</v>
      </c>
      <c r="AB50" s="210">
        <f>SUM(AB9:AB49)</f>
        <v>191272.8000000001</v>
      </c>
      <c r="AC50" s="4"/>
      <c r="AD50" s="4"/>
    </row>
    <row r="51" spans="1:30" ht="13.5" thickTop="1" x14ac:dyDescent="0.2"/>
    <row r="66" spans="4:42" ht="6" customHeight="1" x14ac:dyDescent="0.2"/>
    <row r="68" spans="4:42" ht="18" x14ac:dyDescent="0.25">
      <c r="D68" s="216" t="s">
        <v>530</v>
      </c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216" t="s">
        <v>153</v>
      </c>
      <c r="AA68" s="108"/>
      <c r="AB68" s="108"/>
      <c r="AC68" s="108"/>
    </row>
    <row r="69" spans="4:42" ht="18" x14ac:dyDescent="0.25">
      <c r="D69" s="216" t="s">
        <v>551</v>
      </c>
      <c r="E69" s="216"/>
      <c r="F69" s="216"/>
      <c r="G69" s="216"/>
      <c r="H69" s="216"/>
      <c r="I69" s="216"/>
      <c r="J69" s="216"/>
      <c r="K69" s="216"/>
      <c r="L69" s="216"/>
      <c r="M69" s="216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216" t="s">
        <v>223</v>
      </c>
      <c r="AA69" s="108"/>
      <c r="AB69" s="216"/>
      <c r="AC69" s="216"/>
      <c r="AD69" s="85"/>
      <c r="AE69" s="85"/>
      <c r="AF69" s="85"/>
      <c r="AG69" s="85"/>
      <c r="AH69" s="85"/>
      <c r="AI69" s="85"/>
      <c r="AJ69" s="85"/>
      <c r="AK69" s="85"/>
      <c r="AL69" s="85"/>
      <c r="AO69" s="85"/>
      <c r="AP69" s="85"/>
    </row>
    <row r="74" spans="4:42" x14ac:dyDescent="0.2">
      <c r="E74" s="4"/>
    </row>
  </sheetData>
  <mergeCells count="15">
    <mergeCell ref="A50:I50"/>
    <mergeCell ref="A1:AC1"/>
    <mergeCell ref="A2:AC2"/>
    <mergeCell ref="K5:M5"/>
    <mergeCell ref="P5:U5"/>
    <mergeCell ref="Y5:AA5"/>
    <mergeCell ref="B3:AC3"/>
    <mergeCell ref="B21:AC21"/>
    <mergeCell ref="B22:AC22"/>
    <mergeCell ref="B24:AC24"/>
    <mergeCell ref="B23:AC23"/>
    <mergeCell ref="B40:AC40"/>
    <mergeCell ref="B38:AC38"/>
    <mergeCell ref="B39:AC39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6"/>
  <sheetViews>
    <sheetView topLeftCell="B16" zoomScale="73" zoomScaleNormal="73" workbookViewId="0">
      <selection activeCell="X34" sqref="X34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29" ht="18" x14ac:dyDescent="0.25">
      <c r="A1" s="463" t="s">
        <v>76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9.5" x14ac:dyDescent="0.25">
      <c r="A3" s="453" t="str">
        <f>CHOFERES!A3</f>
        <v>SUELDO  DEL 01 AL 15 DE MARZO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09" t="s">
        <v>1</v>
      </c>
      <c r="L5" s="510"/>
      <c r="M5" s="511"/>
      <c r="N5" s="70" t="s">
        <v>25</v>
      </c>
      <c r="O5" s="71"/>
      <c r="P5" s="512" t="s">
        <v>8</v>
      </c>
      <c r="Q5" s="513"/>
      <c r="R5" s="513"/>
      <c r="S5" s="513"/>
      <c r="T5" s="513"/>
      <c r="U5" s="514"/>
      <c r="V5" s="70" t="s">
        <v>29</v>
      </c>
      <c r="W5" s="70" t="s">
        <v>9</v>
      </c>
      <c r="X5" s="69" t="s">
        <v>52</v>
      </c>
      <c r="Y5" s="515" t="s">
        <v>2</v>
      </c>
      <c r="Z5" s="516"/>
      <c r="AA5" s="517"/>
      <c r="AB5" s="69" t="s">
        <v>0</v>
      </c>
      <c r="AC5" s="72"/>
    </row>
    <row r="6" spans="1:29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281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229</v>
      </c>
      <c r="G8" s="98" t="s">
        <v>290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8" customFormat="1" ht="117" customHeight="1" x14ac:dyDescent="0.2">
      <c r="A9" s="395"/>
      <c r="B9" s="396">
        <v>391</v>
      </c>
      <c r="C9" s="270" t="s">
        <v>118</v>
      </c>
      <c r="D9" s="359" t="s">
        <v>540</v>
      </c>
      <c r="E9" s="360" t="s">
        <v>541</v>
      </c>
      <c r="F9" s="360" t="s">
        <v>542</v>
      </c>
      <c r="G9" s="397">
        <v>45586</v>
      </c>
      <c r="H9" s="398" t="s">
        <v>539</v>
      </c>
      <c r="I9" s="360">
        <v>15</v>
      </c>
      <c r="J9" s="360">
        <f t="shared" ref="J9:J17" si="0">K9/I9</f>
        <v>675.23333333333335</v>
      </c>
      <c r="K9" s="277">
        <v>10128.5</v>
      </c>
      <c r="L9" s="278">
        <v>0</v>
      </c>
      <c r="M9" s="279">
        <f t="shared" ref="M9:M10" si="1">SUM(K9:L9)</f>
        <v>10128.5</v>
      </c>
      <c r="N9" s="420">
        <f t="shared" ref="N9:N17" si="2">IF(K9/15&lt;=SMG,0,L9/2)</f>
        <v>0</v>
      </c>
      <c r="O9" s="420">
        <f t="shared" ref="O9:O17" si="3">(K9+N9)/I9*30.4</f>
        <v>20527.093333333334</v>
      </c>
      <c r="P9" s="420">
        <f t="shared" ref="P9:P17" si="4">VLOOKUP(O9,Tarifa,1)</f>
        <v>15487.72</v>
      </c>
      <c r="Q9" s="420">
        <f t="shared" ref="Q9:Q17" si="5">O9-P9</f>
        <v>5039.3733333333348</v>
      </c>
      <c r="R9" s="421">
        <f t="shared" ref="R9:R17" si="6">VLOOKUP(O9,Tarifa,3)</f>
        <v>0.21360000000000001</v>
      </c>
      <c r="S9" s="420">
        <f t="shared" ref="S9:S17" si="7">Q9*R9</f>
        <v>1076.4101440000004</v>
      </c>
      <c r="T9" s="422">
        <f t="shared" ref="T9:T17" si="8">VLOOKUP(O9,Tarifa,2)</f>
        <v>1640.18</v>
      </c>
      <c r="U9" s="420">
        <f t="shared" ref="U9:U17" si="9">S9+T9</f>
        <v>2716.5901440000007</v>
      </c>
      <c r="V9" s="420">
        <f t="shared" ref="V9:V17" si="10">VLOOKUP(O9,Credito,2)</f>
        <v>0</v>
      </c>
      <c r="W9" s="420">
        <f t="shared" ref="W9:W17" si="11">ROUND((U9-V9)/30.4*I9,2)</f>
        <v>1340.42</v>
      </c>
      <c r="X9" s="279">
        <f>-IF(W9&gt;0,0,0)</f>
        <v>0</v>
      </c>
      <c r="Y9" s="279">
        <f t="shared" ref="Y9:Y10" si="12">IF(K9/15&lt;=SMG,0,IF(W9&lt;0,0,W9))</f>
        <v>1340.42</v>
      </c>
      <c r="Z9" s="280">
        <v>0</v>
      </c>
      <c r="AA9" s="279">
        <f t="shared" ref="AA9:AA10" si="13">SUM(Y9:Z9)</f>
        <v>1340.42</v>
      </c>
      <c r="AB9" s="279">
        <f t="shared" ref="AB9:AB10" si="14">M9+X9-AA9</f>
        <v>8788.08</v>
      </c>
      <c r="AC9" s="360"/>
    </row>
    <row r="10" spans="1:29" s="388" customFormat="1" ht="117" customHeight="1" x14ac:dyDescent="0.2">
      <c r="A10" s="395"/>
      <c r="B10" s="396">
        <v>392</v>
      </c>
      <c r="C10" s="270" t="s">
        <v>118</v>
      </c>
      <c r="D10" s="359" t="s">
        <v>536</v>
      </c>
      <c r="E10" s="360" t="s">
        <v>537</v>
      </c>
      <c r="F10" s="360" t="s">
        <v>538</v>
      </c>
      <c r="G10" s="397">
        <v>45586</v>
      </c>
      <c r="H10" s="398" t="s">
        <v>539</v>
      </c>
      <c r="I10" s="360">
        <v>15</v>
      </c>
      <c r="J10" s="360">
        <f t="shared" si="0"/>
        <v>675.23333333333335</v>
      </c>
      <c r="K10" s="277">
        <v>10128.5</v>
      </c>
      <c r="L10" s="278">
        <v>0</v>
      </c>
      <c r="M10" s="279">
        <f t="shared" si="1"/>
        <v>10128.5</v>
      </c>
      <c r="N10" s="420">
        <f t="shared" si="2"/>
        <v>0</v>
      </c>
      <c r="O10" s="420">
        <f t="shared" si="3"/>
        <v>20527.093333333334</v>
      </c>
      <c r="P10" s="420">
        <f t="shared" si="4"/>
        <v>15487.72</v>
      </c>
      <c r="Q10" s="420">
        <f t="shared" si="5"/>
        <v>5039.3733333333348</v>
      </c>
      <c r="R10" s="421">
        <f t="shared" si="6"/>
        <v>0.21360000000000001</v>
      </c>
      <c r="S10" s="420">
        <f t="shared" si="7"/>
        <v>1076.4101440000004</v>
      </c>
      <c r="T10" s="422">
        <f t="shared" si="8"/>
        <v>1640.18</v>
      </c>
      <c r="U10" s="420">
        <f t="shared" si="9"/>
        <v>2716.5901440000007</v>
      </c>
      <c r="V10" s="420">
        <f t="shared" si="10"/>
        <v>0</v>
      </c>
      <c r="W10" s="420">
        <f t="shared" si="11"/>
        <v>1340.42</v>
      </c>
      <c r="X10" s="279">
        <f>-IF(W10&gt;0,0,0)</f>
        <v>0</v>
      </c>
      <c r="Y10" s="279">
        <f t="shared" si="12"/>
        <v>1340.42</v>
      </c>
      <c r="Z10" s="280">
        <v>0</v>
      </c>
      <c r="AA10" s="279">
        <f t="shared" si="13"/>
        <v>1340.42</v>
      </c>
      <c r="AB10" s="279">
        <f t="shared" si="14"/>
        <v>8788.08</v>
      </c>
      <c r="AC10" s="360"/>
    </row>
    <row r="11" spans="1:29" s="283" customFormat="1" ht="117" customHeight="1" x14ac:dyDescent="0.2">
      <c r="A11" s="268"/>
      <c r="B11" s="270" t="s">
        <v>601</v>
      </c>
      <c r="C11" s="270" t="s">
        <v>118</v>
      </c>
      <c r="D11" s="386" t="s">
        <v>597</v>
      </c>
      <c r="E11" s="371" t="s">
        <v>598</v>
      </c>
      <c r="F11" s="371" t="s">
        <v>599</v>
      </c>
      <c r="G11" s="399">
        <v>45658</v>
      </c>
      <c r="H11" s="398" t="s">
        <v>539</v>
      </c>
      <c r="I11" s="360">
        <v>15</v>
      </c>
      <c r="J11" s="360">
        <f t="shared" si="0"/>
        <v>675.23333333333335</v>
      </c>
      <c r="K11" s="277">
        <v>10128.5</v>
      </c>
      <c r="L11" s="278">
        <v>1350.46</v>
      </c>
      <c r="M11" s="279">
        <f t="shared" ref="M11" si="15">SUM(K11:L11)</f>
        <v>11478.96</v>
      </c>
      <c r="N11" s="420">
        <f t="shared" si="2"/>
        <v>675.23</v>
      </c>
      <c r="O11" s="420">
        <f t="shared" si="3"/>
        <v>21895.559466666666</v>
      </c>
      <c r="P11" s="420">
        <f t="shared" si="4"/>
        <v>15487.72</v>
      </c>
      <c r="Q11" s="420">
        <f t="shared" si="5"/>
        <v>6407.8394666666663</v>
      </c>
      <c r="R11" s="421">
        <f t="shared" si="6"/>
        <v>0.21360000000000001</v>
      </c>
      <c r="S11" s="420">
        <f t="shared" si="7"/>
        <v>1368.7145100800001</v>
      </c>
      <c r="T11" s="422">
        <f t="shared" si="8"/>
        <v>1640.18</v>
      </c>
      <c r="U11" s="420">
        <f t="shared" si="9"/>
        <v>3008.8945100800001</v>
      </c>
      <c r="V11" s="420">
        <f t="shared" si="10"/>
        <v>0</v>
      </c>
      <c r="W11" s="420">
        <f t="shared" si="11"/>
        <v>1484.65</v>
      </c>
      <c r="X11" s="279">
        <f>-IF(W11&gt;0,0,0)</f>
        <v>0</v>
      </c>
      <c r="Y11" s="279">
        <f t="shared" ref="Y11" si="16">IF(K11/15&lt;=SMG,0,IF(W11&lt;0,0,W11))</f>
        <v>1484.65</v>
      </c>
      <c r="Z11" s="280">
        <v>0</v>
      </c>
      <c r="AA11" s="279">
        <f t="shared" ref="AA11" si="17">SUM(Y11:Z11)</f>
        <v>1484.65</v>
      </c>
      <c r="AB11" s="279">
        <f t="shared" ref="AB11" si="18">M11+X11-AA11</f>
        <v>9994.31</v>
      </c>
      <c r="AC11" s="281"/>
    </row>
    <row r="12" spans="1:29" s="283" customFormat="1" ht="117" customHeight="1" x14ac:dyDescent="0.2">
      <c r="A12" s="268"/>
      <c r="B12" s="270" t="s">
        <v>194</v>
      </c>
      <c r="C12" s="270" t="s">
        <v>118</v>
      </c>
      <c r="D12" s="386" t="s">
        <v>192</v>
      </c>
      <c r="E12" s="371" t="s">
        <v>193</v>
      </c>
      <c r="F12" s="371" t="s">
        <v>256</v>
      </c>
      <c r="G12" s="399">
        <v>43998</v>
      </c>
      <c r="H12" s="272" t="s">
        <v>133</v>
      </c>
      <c r="I12" s="360">
        <v>15</v>
      </c>
      <c r="J12" s="360">
        <f t="shared" si="0"/>
        <v>407.9</v>
      </c>
      <c r="K12" s="277">
        <v>6118.5</v>
      </c>
      <c r="L12" s="278">
        <v>0</v>
      </c>
      <c r="M12" s="279">
        <f t="shared" ref="M12:M13" si="19">SUM(K12:L12)</f>
        <v>6118.5</v>
      </c>
      <c r="N12" s="420">
        <f t="shared" si="2"/>
        <v>0</v>
      </c>
      <c r="O12" s="420">
        <f t="shared" si="3"/>
        <v>12400.159999999998</v>
      </c>
      <c r="P12" s="420">
        <f t="shared" si="4"/>
        <v>11128.02</v>
      </c>
      <c r="Q12" s="420">
        <f t="shared" si="5"/>
        <v>1272.1399999999976</v>
      </c>
      <c r="R12" s="421">
        <f t="shared" si="6"/>
        <v>0.16</v>
      </c>
      <c r="S12" s="420">
        <f t="shared" si="7"/>
        <v>203.54239999999962</v>
      </c>
      <c r="T12" s="422">
        <f t="shared" si="8"/>
        <v>893.63</v>
      </c>
      <c r="U12" s="420">
        <f t="shared" si="9"/>
        <v>1097.1723999999997</v>
      </c>
      <c r="V12" s="420">
        <f t="shared" si="10"/>
        <v>0</v>
      </c>
      <c r="W12" s="420">
        <f t="shared" si="11"/>
        <v>541.37</v>
      </c>
      <c r="X12" s="279">
        <f t="shared" ref="X12:X13" si="20">-IF(W12&gt;0,0,0)</f>
        <v>0</v>
      </c>
      <c r="Y12" s="279">
        <f t="shared" ref="Y12:Y13" si="21">IF(K12/15&lt;=SMG,0,IF(W12&lt;0,0,W12))</f>
        <v>541.37</v>
      </c>
      <c r="Z12" s="280">
        <v>0</v>
      </c>
      <c r="AA12" s="279">
        <f t="shared" ref="AA12:AA13" si="22">SUM(Y12:Z12)</f>
        <v>541.37</v>
      </c>
      <c r="AB12" s="279">
        <f t="shared" ref="AB12:AB13" si="23">M12+X12-AA12</f>
        <v>5577.13</v>
      </c>
      <c r="AC12" s="291"/>
    </row>
    <row r="13" spans="1:29" s="91" customFormat="1" ht="117" customHeight="1" x14ac:dyDescent="0.25">
      <c r="A13" s="143"/>
      <c r="B13" s="270" t="s">
        <v>286</v>
      </c>
      <c r="C13" s="270" t="s">
        <v>118</v>
      </c>
      <c r="D13" s="386" t="s">
        <v>287</v>
      </c>
      <c r="E13" s="371" t="s">
        <v>288</v>
      </c>
      <c r="F13" s="371" t="s">
        <v>289</v>
      </c>
      <c r="G13" s="399">
        <v>44942</v>
      </c>
      <c r="H13" s="272" t="s">
        <v>133</v>
      </c>
      <c r="I13" s="360">
        <v>15</v>
      </c>
      <c r="J13" s="360">
        <f t="shared" si="0"/>
        <v>407.9</v>
      </c>
      <c r="K13" s="277">
        <v>6118.5</v>
      </c>
      <c r="L13" s="278">
        <v>0</v>
      </c>
      <c r="M13" s="279">
        <f t="shared" si="19"/>
        <v>6118.5</v>
      </c>
      <c r="N13" s="420">
        <f t="shared" si="2"/>
        <v>0</v>
      </c>
      <c r="O13" s="420">
        <f t="shared" si="3"/>
        <v>12400.159999999998</v>
      </c>
      <c r="P13" s="420">
        <f t="shared" si="4"/>
        <v>11128.02</v>
      </c>
      <c r="Q13" s="420">
        <f t="shared" si="5"/>
        <v>1272.1399999999976</v>
      </c>
      <c r="R13" s="421">
        <f t="shared" si="6"/>
        <v>0.16</v>
      </c>
      <c r="S13" s="420">
        <f t="shared" si="7"/>
        <v>203.54239999999962</v>
      </c>
      <c r="T13" s="422">
        <f t="shared" si="8"/>
        <v>893.63</v>
      </c>
      <c r="U13" s="420">
        <f t="shared" si="9"/>
        <v>1097.1723999999997</v>
      </c>
      <c r="V13" s="420">
        <f t="shared" si="10"/>
        <v>0</v>
      </c>
      <c r="W13" s="420">
        <f t="shared" si="11"/>
        <v>541.37</v>
      </c>
      <c r="X13" s="279">
        <f t="shared" si="20"/>
        <v>0</v>
      </c>
      <c r="Y13" s="279">
        <f t="shared" si="21"/>
        <v>541.37</v>
      </c>
      <c r="Z13" s="280">
        <v>0</v>
      </c>
      <c r="AA13" s="279">
        <f t="shared" si="22"/>
        <v>541.37</v>
      </c>
      <c r="AB13" s="279">
        <f t="shared" si="23"/>
        <v>5577.13</v>
      </c>
      <c r="AC13" s="423"/>
    </row>
    <row r="14" spans="1:29" s="283" customFormat="1" ht="117" customHeight="1" x14ac:dyDescent="0.2">
      <c r="A14" s="268"/>
      <c r="B14" s="270" t="s">
        <v>433</v>
      </c>
      <c r="C14" s="270" t="s">
        <v>434</v>
      </c>
      <c r="D14" s="386" t="s">
        <v>435</v>
      </c>
      <c r="E14" s="371" t="s">
        <v>436</v>
      </c>
      <c r="F14" s="371" t="s">
        <v>437</v>
      </c>
      <c r="G14" s="399">
        <v>45481</v>
      </c>
      <c r="H14" s="272" t="s">
        <v>133</v>
      </c>
      <c r="I14" s="360">
        <v>15</v>
      </c>
      <c r="J14" s="360">
        <f t="shared" si="0"/>
        <v>407.9</v>
      </c>
      <c r="K14" s="277">
        <v>6118.5</v>
      </c>
      <c r="L14" s="278">
        <v>0</v>
      </c>
      <c r="M14" s="279">
        <f t="shared" ref="M14:M15" si="24">SUM(K14:L14)</f>
        <v>6118.5</v>
      </c>
      <c r="N14" s="420">
        <f t="shared" si="2"/>
        <v>0</v>
      </c>
      <c r="O14" s="420">
        <f t="shared" si="3"/>
        <v>12400.159999999998</v>
      </c>
      <c r="P14" s="420">
        <f t="shared" si="4"/>
        <v>11128.02</v>
      </c>
      <c r="Q14" s="420">
        <f t="shared" si="5"/>
        <v>1272.1399999999976</v>
      </c>
      <c r="R14" s="421">
        <f t="shared" si="6"/>
        <v>0.16</v>
      </c>
      <c r="S14" s="420">
        <f t="shared" si="7"/>
        <v>203.54239999999962</v>
      </c>
      <c r="T14" s="422">
        <f t="shared" si="8"/>
        <v>893.63</v>
      </c>
      <c r="U14" s="420">
        <f t="shared" si="9"/>
        <v>1097.1723999999997</v>
      </c>
      <c r="V14" s="420">
        <f t="shared" si="10"/>
        <v>0</v>
      </c>
      <c r="W14" s="420">
        <f t="shared" si="11"/>
        <v>541.37</v>
      </c>
      <c r="X14" s="279">
        <f t="shared" ref="X14:X15" si="25">-IF(W14&gt;0,0,0)</f>
        <v>0</v>
      </c>
      <c r="Y14" s="279">
        <f t="shared" ref="Y14:Y15" si="26">IF(K14/15&lt;=SMG,0,IF(W14&lt;0,0,W14))</f>
        <v>541.37</v>
      </c>
      <c r="Z14" s="280">
        <v>0</v>
      </c>
      <c r="AA14" s="279">
        <f t="shared" ref="AA14:AA15" si="27">SUM(Y14:Z14)</f>
        <v>541.37</v>
      </c>
      <c r="AB14" s="279">
        <f t="shared" ref="AB14:AB15" si="28">M14+X14-AA14</f>
        <v>5577.13</v>
      </c>
      <c r="AC14" s="291"/>
    </row>
    <row r="15" spans="1:29" s="283" customFormat="1" ht="117" customHeight="1" x14ac:dyDescent="0.2">
      <c r="A15" s="268"/>
      <c r="B15" s="270" t="s">
        <v>136</v>
      </c>
      <c r="C15" s="270" t="s">
        <v>118</v>
      </c>
      <c r="D15" s="386" t="s">
        <v>132</v>
      </c>
      <c r="E15" s="371" t="s">
        <v>137</v>
      </c>
      <c r="F15" s="371" t="s">
        <v>240</v>
      </c>
      <c r="G15" s="399">
        <v>43101</v>
      </c>
      <c r="H15" s="289" t="s">
        <v>134</v>
      </c>
      <c r="I15" s="360">
        <v>15</v>
      </c>
      <c r="J15" s="360">
        <f t="shared" si="0"/>
        <v>366.73333333333335</v>
      </c>
      <c r="K15" s="277">
        <v>5501</v>
      </c>
      <c r="L15" s="278">
        <v>0</v>
      </c>
      <c r="M15" s="279">
        <f t="shared" si="24"/>
        <v>5501</v>
      </c>
      <c r="N15" s="420">
        <f t="shared" si="2"/>
        <v>0</v>
      </c>
      <c r="O15" s="420">
        <f t="shared" si="3"/>
        <v>11148.693333333333</v>
      </c>
      <c r="P15" s="420">
        <f t="shared" si="4"/>
        <v>11128.02</v>
      </c>
      <c r="Q15" s="420">
        <f t="shared" si="5"/>
        <v>20.673333333332266</v>
      </c>
      <c r="R15" s="421">
        <f t="shared" si="6"/>
        <v>0.16</v>
      </c>
      <c r="S15" s="420">
        <f t="shared" si="7"/>
        <v>3.3077333333331627</v>
      </c>
      <c r="T15" s="422">
        <f t="shared" si="8"/>
        <v>893.63</v>
      </c>
      <c r="U15" s="420">
        <f t="shared" si="9"/>
        <v>896.9377333333332</v>
      </c>
      <c r="V15" s="420">
        <f t="shared" si="10"/>
        <v>0</v>
      </c>
      <c r="W15" s="420">
        <f t="shared" si="11"/>
        <v>442.57</v>
      </c>
      <c r="X15" s="279">
        <f t="shared" si="25"/>
        <v>0</v>
      </c>
      <c r="Y15" s="279">
        <f t="shared" si="26"/>
        <v>442.57</v>
      </c>
      <c r="Z15" s="280">
        <v>0</v>
      </c>
      <c r="AA15" s="279">
        <f t="shared" si="27"/>
        <v>442.57</v>
      </c>
      <c r="AB15" s="279">
        <f t="shared" si="28"/>
        <v>5058.43</v>
      </c>
      <c r="AC15" s="291"/>
    </row>
    <row r="16" spans="1:29" s="283" customFormat="1" ht="117" customHeight="1" x14ac:dyDescent="0.2">
      <c r="A16" s="268"/>
      <c r="B16" s="400">
        <v>328</v>
      </c>
      <c r="C16" s="270" t="s">
        <v>118</v>
      </c>
      <c r="D16" s="265" t="s">
        <v>438</v>
      </c>
      <c r="E16" s="145" t="s">
        <v>439</v>
      </c>
      <c r="F16" s="145" t="s">
        <v>440</v>
      </c>
      <c r="G16" s="399">
        <v>45505</v>
      </c>
      <c r="H16" s="289" t="s">
        <v>134</v>
      </c>
      <c r="I16" s="360">
        <v>15</v>
      </c>
      <c r="J16" s="360">
        <f t="shared" si="0"/>
        <v>366.73333333333335</v>
      </c>
      <c r="K16" s="277">
        <v>5501</v>
      </c>
      <c r="L16" s="278">
        <v>0</v>
      </c>
      <c r="M16" s="279">
        <f t="shared" ref="M16" si="29">SUM(K16:L16)</f>
        <v>5501</v>
      </c>
      <c r="N16" s="420">
        <f t="shared" si="2"/>
        <v>0</v>
      </c>
      <c r="O16" s="420">
        <f t="shared" si="3"/>
        <v>11148.693333333333</v>
      </c>
      <c r="P16" s="420">
        <f t="shared" si="4"/>
        <v>11128.02</v>
      </c>
      <c r="Q16" s="420">
        <f t="shared" si="5"/>
        <v>20.673333333332266</v>
      </c>
      <c r="R16" s="421">
        <f t="shared" si="6"/>
        <v>0.16</v>
      </c>
      <c r="S16" s="420">
        <f t="shared" si="7"/>
        <v>3.3077333333331627</v>
      </c>
      <c r="T16" s="422">
        <f t="shared" si="8"/>
        <v>893.63</v>
      </c>
      <c r="U16" s="420">
        <f t="shared" si="9"/>
        <v>896.9377333333332</v>
      </c>
      <c r="V16" s="420">
        <f t="shared" si="10"/>
        <v>0</v>
      </c>
      <c r="W16" s="420">
        <f t="shared" si="11"/>
        <v>442.57</v>
      </c>
      <c r="X16" s="279">
        <f t="shared" ref="X16" si="30">-IF(W16&gt;0,0,0)</f>
        <v>0</v>
      </c>
      <c r="Y16" s="279">
        <f t="shared" ref="Y16:Y17" si="31">IF(K16/15&lt;=SMG,0,IF(W16&lt;0,0,W16))</f>
        <v>442.57</v>
      </c>
      <c r="Z16" s="280">
        <v>0</v>
      </c>
      <c r="AA16" s="279">
        <f t="shared" ref="AA16" si="32">SUM(Y16:Z16)</f>
        <v>442.57</v>
      </c>
      <c r="AB16" s="279">
        <f t="shared" ref="AB16" si="33">M16+X16-AA16</f>
        <v>5058.43</v>
      </c>
      <c r="AC16" s="291"/>
    </row>
    <row r="17" spans="1:41" s="283" customFormat="1" ht="117" customHeight="1" x14ac:dyDescent="0.2">
      <c r="A17" s="268"/>
      <c r="B17" s="400">
        <v>406</v>
      </c>
      <c r="C17" s="270" t="s">
        <v>528</v>
      </c>
      <c r="D17" s="265" t="s">
        <v>610</v>
      </c>
      <c r="E17" s="145" t="s">
        <v>611</v>
      </c>
      <c r="F17" s="145" t="s">
        <v>612</v>
      </c>
      <c r="G17" s="399">
        <v>45689</v>
      </c>
      <c r="H17" s="289" t="s">
        <v>613</v>
      </c>
      <c r="I17" s="360">
        <v>15</v>
      </c>
      <c r="J17" s="360">
        <f t="shared" si="0"/>
        <v>272.93333333333334</v>
      </c>
      <c r="K17" s="277">
        <v>4094</v>
      </c>
      <c r="L17" s="278">
        <v>0</v>
      </c>
      <c r="M17" s="279">
        <f>SUM(K17:L17)</f>
        <v>4094</v>
      </c>
      <c r="N17" s="420">
        <f t="shared" si="2"/>
        <v>0</v>
      </c>
      <c r="O17" s="420">
        <f t="shared" si="3"/>
        <v>8297.1733333333323</v>
      </c>
      <c r="P17" s="420">
        <f t="shared" si="4"/>
        <v>6332.06</v>
      </c>
      <c r="Q17" s="420">
        <f t="shared" si="5"/>
        <v>1965.1133333333319</v>
      </c>
      <c r="R17" s="421">
        <f t="shared" si="6"/>
        <v>0.10879999999999999</v>
      </c>
      <c r="S17" s="420">
        <f t="shared" si="7"/>
        <v>213.80433066666649</v>
      </c>
      <c r="T17" s="422">
        <f t="shared" si="8"/>
        <v>371.83</v>
      </c>
      <c r="U17" s="420">
        <f t="shared" si="9"/>
        <v>585.63433066666653</v>
      </c>
      <c r="V17" s="420">
        <f t="shared" si="10"/>
        <v>475</v>
      </c>
      <c r="W17" s="420">
        <f t="shared" si="11"/>
        <v>54.59</v>
      </c>
      <c r="X17" s="279">
        <f>-IF(W17&gt;0,0,0)</f>
        <v>0</v>
      </c>
      <c r="Y17" s="279">
        <f t="shared" si="31"/>
        <v>0</v>
      </c>
      <c r="Z17" s="280">
        <v>0</v>
      </c>
      <c r="AA17" s="279">
        <f>SUM(Y17:Z17)</f>
        <v>0</v>
      </c>
      <c r="AB17" s="279">
        <f>M17+X17-AA17</f>
        <v>4094</v>
      </c>
      <c r="AC17" s="291"/>
    </row>
    <row r="18" spans="1:41" ht="40.5" customHeight="1" thickBot="1" x14ac:dyDescent="0.3">
      <c r="A18" s="449" t="s">
        <v>44</v>
      </c>
      <c r="B18" s="450"/>
      <c r="C18" s="450"/>
      <c r="D18" s="450"/>
      <c r="E18" s="450"/>
      <c r="F18" s="450"/>
      <c r="G18" s="450"/>
      <c r="H18" s="450"/>
      <c r="I18" s="450"/>
      <c r="J18" s="451"/>
      <c r="K18" s="136">
        <f>SUM(K9:K17)</f>
        <v>63837</v>
      </c>
      <c r="L18" s="136">
        <f>SUM(L9:L17)</f>
        <v>1350.46</v>
      </c>
      <c r="M18" s="136">
        <f>SUM(M9:M17)</f>
        <v>65187.46</v>
      </c>
      <c r="N18" s="137">
        <f t="shared" ref="N18:W18" si="34">SUM(N11:N17)</f>
        <v>675.23</v>
      </c>
      <c r="O18" s="137">
        <f t="shared" si="34"/>
        <v>89690.599466666637</v>
      </c>
      <c r="P18" s="137">
        <f t="shared" si="34"/>
        <v>77459.88</v>
      </c>
      <c r="Q18" s="137">
        <f t="shared" si="34"/>
        <v>12230.719466666655</v>
      </c>
      <c r="R18" s="137">
        <f t="shared" si="34"/>
        <v>1.1224000000000001</v>
      </c>
      <c r="S18" s="137">
        <f t="shared" si="34"/>
        <v>2199.7615074133314</v>
      </c>
      <c r="T18" s="137">
        <f t="shared" si="34"/>
        <v>6480.16</v>
      </c>
      <c r="U18" s="137">
        <f t="shared" si="34"/>
        <v>8679.9215074133317</v>
      </c>
      <c r="V18" s="137">
        <f t="shared" si="34"/>
        <v>475</v>
      </c>
      <c r="W18" s="137">
        <f t="shared" si="34"/>
        <v>4048.4900000000002</v>
      </c>
      <c r="X18" s="136">
        <f>SUM(X9:X17)</f>
        <v>0</v>
      </c>
      <c r="Y18" s="136">
        <f>SUM(Y9:Y17)</f>
        <v>6674.7399999999989</v>
      </c>
      <c r="Z18" s="136">
        <f>SUM(Z9:Z17)</f>
        <v>0</v>
      </c>
      <c r="AA18" s="136">
        <f>SUM(AA9:AA17)</f>
        <v>6674.7399999999989</v>
      </c>
      <c r="AB18" s="136">
        <f>SUM(AB9:AB17)</f>
        <v>58512.719999999994</v>
      </c>
    </row>
    <row r="19" spans="1:41" ht="18.75" thickTop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8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41" ht="15" x14ac:dyDescent="0.25">
      <c r="D24" s="94" t="s">
        <v>530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153</v>
      </c>
      <c r="Z24" s="91"/>
      <c r="AA24" s="91"/>
      <c r="AB24" s="91"/>
    </row>
    <row r="25" spans="1:41" ht="15" x14ac:dyDescent="0.25">
      <c r="D25" s="94" t="s">
        <v>551</v>
      </c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4" t="s">
        <v>222</v>
      </c>
      <c r="Z25" s="91"/>
      <c r="AA25" s="94"/>
      <c r="AB25" s="94"/>
      <c r="AC25" s="85"/>
      <c r="AD25" s="85"/>
      <c r="AE25" s="85"/>
      <c r="AF25" s="85"/>
      <c r="AG25" s="85"/>
      <c r="AH25" s="85"/>
      <c r="AI25" s="85"/>
      <c r="AJ25" s="85"/>
      <c r="AK25" s="85"/>
      <c r="AN25" s="85"/>
      <c r="AO25" s="85"/>
    </row>
    <row r="26" spans="1:41" ht="14.25" x14ac:dyDescent="0.2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</sheetData>
  <mergeCells count="7">
    <mergeCell ref="A18:J18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6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AC10" sqref="AC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9.5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5" x14ac:dyDescent="0.25">
      <c r="A3" s="453" t="s">
        <v>645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90"/>
      <c r="I5" s="115" t="s">
        <v>22</v>
      </c>
      <c r="J5" s="193" t="s">
        <v>5</v>
      </c>
      <c r="K5" s="454" t="s">
        <v>1</v>
      </c>
      <c r="L5" s="455"/>
      <c r="M5" s="456"/>
      <c r="N5" s="116" t="s">
        <v>25</v>
      </c>
      <c r="O5" s="117"/>
      <c r="P5" s="457" t="s">
        <v>8</v>
      </c>
      <c r="Q5" s="458"/>
      <c r="R5" s="458"/>
      <c r="S5" s="458"/>
      <c r="T5" s="458"/>
      <c r="U5" s="459"/>
      <c r="V5" s="116" t="s">
        <v>52</v>
      </c>
      <c r="W5" s="116" t="s">
        <v>9</v>
      </c>
      <c r="X5" s="115" t="s">
        <v>52</v>
      </c>
      <c r="Y5" s="460" t="s">
        <v>2</v>
      </c>
      <c r="Z5" s="461"/>
      <c r="AA5" s="462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229</v>
      </c>
      <c r="G6" s="118" t="s">
        <v>291</v>
      </c>
      <c r="H6" s="191" t="s">
        <v>61</v>
      </c>
      <c r="I6" s="196" t="s">
        <v>23</v>
      </c>
      <c r="J6" s="194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281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2"/>
      <c r="I7" s="122"/>
      <c r="J7" s="195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204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401" t="s">
        <v>97</v>
      </c>
      <c r="C8" s="401" t="s">
        <v>124</v>
      </c>
      <c r="D8" s="164" t="s">
        <v>62</v>
      </c>
      <c r="E8" s="160" t="s">
        <v>98</v>
      </c>
      <c r="F8" s="160" t="s">
        <v>229</v>
      </c>
      <c r="G8" s="401" t="s">
        <v>291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6" customFormat="1" ht="265.5" customHeight="1" x14ac:dyDescent="0.2">
      <c r="A9" s="270" t="s">
        <v>83</v>
      </c>
      <c r="B9" s="269" t="s">
        <v>447</v>
      </c>
      <c r="C9" s="270" t="s">
        <v>118</v>
      </c>
      <c r="D9" s="271" t="s">
        <v>445</v>
      </c>
      <c r="E9" s="272" t="s">
        <v>446</v>
      </c>
      <c r="F9" s="296" t="s">
        <v>448</v>
      </c>
      <c r="G9" s="297">
        <v>45566</v>
      </c>
      <c r="H9" s="289" t="s">
        <v>199</v>
      </c>
      <c r="I9" s="290">
        <v>15</v>
      </c>
      <c r="J9" s="307">
        <v>1959.4669999999999</v>
      </c>
      <c r="K9" s="298">
        <v>29392</v>
      </c>
      <c r="L9" s="299">
        <v>0</v>
      </c>
      <c r="M9" s="300">
        <f>SUM(K9:L9)</f>
        <v>29392</v>
      </c>
      <c r="N9" s="301">
        <f>IF(K9/15&lt;=SMG,0,L9/2)</f>
        <v>0</v>
      </c>
      <c r="O9" s="322">
        <f>(K9+N9)/I9*30.4</f>
        <v>59567.786666666667</v>
      </c>
      <c r="P9" s="322">
        <f>VLOOKUP(O9,Tarifa,1)</f>
        <v>49233.01</v>
      </c>
      <c r="Q9" s="301">
        <f>O9-P9</f>
        <v>10334.776666666665</v>
      </c>
      <c r="R9" s="302">
        <f>VLOOKUP(O9,Tarifa,3)</f>
        <v>0.3</v>
      </c>
      <c r="S9" s="301">
        <f>Q9*R9</f>
        <v>3100.4329999999995</v>
      </c>
      <c r="T9" s="303">
        <f>VLOOKUP(O9,Tarifa,2)</f>
        <v>9236.89</v>
      </c>
      <c r="U9" s="301">
        <f>S9+T9</f>
        <v>12337.322999999999</v>
      </c>
      <c r="V9" s="301">
        <f>VLOOKUP(O9,Credito,2)</f>
        <v>0</v>
      </c>
      <c r="W9" s="301">
        <f>ROUND((U9-V9)/30.4*I9,2)</f>
        <v>6087.49</v>
      </c>
      <c r="X9" s="300">
        <f>-IF(W9&gt;0,0,0)</f>
        <v>0</v>
      </c>
      <c r="Y9" s="300">
        <f>IF(K9/15&lt;=SMG,0,IF(W9&lt;0,0,W9))</f>
        <v>6087.49</v>
      </c>
      <c r="Z9" s="304">
        <v>0</v>
      </c>
      <c r="AA9" s="300">
        <f>SUM(Y9:Z9)</f>
        <v>6087.49</v>
      </c>
      <c r="AB9" s="300">
        <f>M9+X9-AA9</f>
        <v>23304.510000000002</v>
      </c>
      <c r="AC9" s="305"/>
    </row>
    <row r="10" spans="1:29" s="306" customFormat="1" ht="265.5" customHeight="1" x14ac:dyDescent="0.2">
      <c r="A10" s="270" t="s">
        <v>84</v>
      </c>
      <c r="B10" s="269" t="s">
        <v>201</v>
      </c>
      <c r="C10" s="270" t="s">
        <v>118</v>
      </c>
      <c r="D10" s="271" t="s">
        <v>202</v>
      </c>
      <c r="E10" s="272" t="s">
        <v>203</v>
      </c>
      <c r="F10" s="272" t="s">
        <v>243</v>
      </c>
      <c r="G10" s="297">
        <v>45566</v>
      </c>
      <c r="H10" s="289" t="s">
        <v>200</v>
      </c>
      <c r="I10" s="290">
        <v>15</v>
      </c>
      <c r="J10" s="307">
        <v>993.23399999999992</v>
      </c>
      <c r="K10" s="298">
        <v>14898.5</v>
      </c>
      <c r="L10" s="299">
        <v>0</v>
      </c>
      <c r="M10" s="300">
        <f>SUM(K10:L10)</f>
        <v>14898.5</v>
      </c>
      <c r="N10" s="301">
        <f>IF(K10/15&lt;=SMG,0,L10/2)</f>
        <v>0</v>
      </c>
      <c r="O10" s="322">
        <f>(K10+N10)/I10*30.4</f>
        <v>30194.293333333331</v>
      </c>
      <c r="P10" s="322">
        <f>VLOOKUP(O10,Tarifa,1)</f>
        <v>15487.72</v>
      </c>
      <c r="Q10" s="301">
        <f>O10-P10</f>
        <v>14706.573333333332</v>
      </c>
      <c r="R10" s="302">
        <f>VLOOKUP(O10,Tarifa,3)</f>
        <v>0.21360000000000001</v>
      </c>
      <c r="S10" s="301">
        <f>Q10*R10</f>
        <v>3141.3240639999999</v>
      </c>
      <c r="T10" s="303">
        <f>VLOOKUP(O10,Tarifa,2)</f>
        <v>1640.18</v>
      </c>
      <c r="U10" s="301">
        <f>S10+T10</f>
        <v>4781.5040639999997</v>
      </c>
      <c r="V10" s="301">
        <f>VLOOKUP(O10,Credito,2)</f>
        <v>0</v>
      </c>
      <c r="W10" s="301">
        <f>ROUND((U10-V10)/30.4*I10,2)</f>
        <v>2359.29</v>
      </c>
      <c r="X10" s="300">
        <f>-IF(W10&gt;0,0,0)</f>
        <v>0</v>
      </c>
      <c r="Y10" s="300">
        <f>IF(K10/15&lt;=SMG,0,IF(W10&lt;0,0,W10))</f>
        <v>2359.29</v>
      </c>
      <c r="Z10" s="304">
        <v>0</v>
      </c>
      <c r="AA10" s="300">
        <f>SUM(Y10:Z10)</f>
        <v>2359.29</v>
      </c>
      <c r="AB10" s="300">
        <f>M10+X10-AA10</f>
        <v>12539.21</v>
      </c>
      <c r="AC10" s="305"/>
    </row>
    <row r="11" spans="1:29" s="306" customFormat="1" ht="265.5" customHeight="1" x14ac:dyDescent="0.2">
      <c r="A11" s="270"/>
      <c r="B11" s="270" t="s">
        <v>105</v>
      </c>
      <c r="C11" s="269" t="s">
        <v>118</v>
      </c>
      <c r="D11" s="271" t="s">
        <v>65</v>
      </c>
      <c r="E11" s="272" t="s">
        <v>106</v>
      </c>
      <c r="F11" s="296" t="s">
        <v>231</v>
      </c>
      <c r="G11" s="297">
        <v>40026</v>
      </c>
      <c r="H11" s="272" t="s">
        <v>63</v>
      </c>
      <c r="I11" s="290">
        <v>15</v>
      </c>
      <c r="J11" s="307">
        <v>398.53399999999999</v>
      </c>
      <c r="K11" s="298">
        <v>5978</v>
      </c>
      <c r="L11" s="299">
        <v>0</v>
      </c>
      <c r="M11" s="300">
        <f>SUM(K11:L11)</f>
        <v>5978</v>
      </c>
      <c r="N11" s="301">
        <f>IF(K11/15&lt;=SMG,0,L11/2)</f>
        <v>0</v>
      </c>
      <c r="O11" s="322">
        <f>(K11+N11)/I11*30.4</f>
        <v>12115.413333333334</v>
      </c>
      <c r="P11" s="322">
        <f>VLOOKUP(O11,Tarifa,1)</f>
        <v>11128.02</v>
      </c>
      <c r="Q11" s="301">
        <f>O11-P11</f>
        <v>987.39333333333343</v>
      </c>
      <c r="R11" s="302">
        <f>VLOOKUP(O11,Tarifa,3)</f>
        <v>0.16</v>
      </c>
      <c r="S11" s="301">
        <f>Q11*R11</f>
        <v>157.98293333333336</v>
      </c>
      <c r="T11" s="303">
        <f>VLOOKUP(O11,Tarifa,2)</f>
        <v>893.63</v>
      </c>
      <c r="U11" s="301">
        <f>S11+T11</f>
        <v>1051.6129333333333</v>
      </c>
      <c r="V11" s="301">
        <f>VLOOKUP(O11,Credito,2)</f>
        <v>0</v>
      </c>
      <c r="W11" s="301">
        <f>ROUND((U11-V11)/30.4*I11,2)</f>
        <v>518.89</v>
      </c>
      <c r="X11" s="300">
        <f>-IF(W11&gt;0,0,0)</f>
        <v>0</v>
      </c>
      <c r="Y11" s="300">
        <f>IF(K11/15&lt;=SMG,0,IF(W11&lt;0,0,W11))</f>
        <v>518.89</v>
      </c>
      <c r="Z11" s="304">
        <v>0</v>
      </c>
      <c r="AA11" s="300">
        <f>SUM(Y11:Z11)</f>
        <v>518.89</v>
      </c>
      <c r="AB11" s="300">
        <f>M11+X11-AA11-Z11</f>
        <v>5459.11</v>
      </c>
      <c r="AC11" s="305"/>
    </row>
    <row r="12" spans="1:29" s="52" customFormat="1" ht="30.75" customHeight="1" x14ac:dyDescent="0.25">
      <c r="A12" s="133"/>
      <c r="B12" s="401" t="s">
        <v>97</v>
      </c>
      <c r="C12" s="401" t="s">
        <v>124</v>
      </c>
      <c r="D12" s="164" t="s">
        <v>121</v>
      </c>
      <c r="E12" s="160" t="s">
        <v>98</v>
      </c>
      <c r="F12" s="160" t="s">
        <v>229</v>
      </c>
      <c r="G12" s="401" t="s">
        <v>291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6" customFormat="1" ht="266.25" customHeight="1" x14ac:dyDescent="0.2">
      <c r="A13" s="270" t="s">
        <v>87</v>
      </c>
      <c r="B13" s="270" t="s">
        <v>207</v>
      </c>
      <c r="C13" s="270" t="s">
        <v>368</v>
      </c>
      <c r="D13" s="271" t="s">
        <v>209</v>
      </c>
      <c r="E13" s="294" t="s">
        <v>210</v>
      </c>
      <c r="F13" s="296" t="s">
        <v>257</v>
      </c>
      <c r="G13" s="297">
        <v>44470</v>
      </c>
      <c r="H13" s="289" t="s">
        <v>276</v>
      </c>
      <c r="I13" s="290">
        <v>15</v>
      </c>
      <c r="J13" s="307">
        <v>396.3</v>
      </c>
      <c r="K13" s="298">
        <v>5944.5</v>
      </c>
      <c r="L13" s="299">
        <v>0</v>
      </c>
      <c r="M13" s="300">
        <f>SUM(K13:L13)</f>
        <v>5944.5</v>
      </c>
      <c r="N13" s="301">
        <f>IF(K13/15&lt;=SMG,0,L13/2)</f>
        <v>0</v>
      </c>
      <c r="O13" s="322">
        <f>(K13+N13)/I13*30.4</f>
        <v>12047.52</v>
      </c>
      <c r="P13" s="322">
        <f>VLOOKUP(O13,Tarifa,1)</f>
        <v>11128.02</v>
      </c>
      <c r="Q13" s="301">
        <f>O13-P13</f>
        <v>919.5</v>
      </c>
      <c r="R13" s="302">
        <f>VLOOKUP(O13,Tarifa,3)</f>
        <v>0.16</v>
      </c>
      <c r="S13" s="301">
        <f>Q13*R13</f>
        <v>147.12</v>
      </c>
      <c r="T13" s="303">
        <f>VLOOKUP(O13,Tarifa,2)</f>
        <v>893.63</v>
      </c>
      <c r="U13" s="301">
        <f>S13+T13</f>
        <v>1040.75</v>
      </c>
      <c r="V13" s="301">
        <f>VLOOKUP(O13,Credito,2)</f>
        <v>0</v>
      </c>
      <c r="W13" s="301">
        <f>ROUND((U13-V13)/30.4*I13,2)</f>
        <v>513.53</v>
      </c>
      <c r="X13" s="300">
        <f>-IF(W13&gt;0,0,0)</f>
        <v>0</v>
      </c>
      <c r="Y13" s="300">
        <f>IF(K13/15&lt;=SMG,0,IF(W13&lt;0,0,W13))</f>
        <v>513.53</v>
      </c>
      <c r="Z13" s="304">
        <v>0</v>
      </c>
      <c r="AA13" s="300">
        <f>SUM(Y13:Z13)</f>
        <v>513.53</v>
      </c>
      <c r="AB13" s="300">
        <f>M13+X13-AA13</f>
        <v>5430.97</v>
      </c>
      <c r="AC13" s="305"/>
    </row>
    <row r="14" spans="1:29" s="306" customFormat="1" ht="23.25" customHeight="1" x14ac:dyDescent="0.2">
      <c r="A14" s="408"/>
      <c r="B14" s="383"/>
      <c r="C14" s="383"/>
      <c r="D14" s="403"/>
      <c r="E14" s="409"/>
      <c r="F14" s="410"/>
      <c r="G14" s="411"/>
      <c r="H14" s="412"/>
      <c r="I14" s="413"/>
      <c r="J14" s="414"/>
      <c r="K14" s="415"/>
      <c r="L14" s="416"/>
      <c r="M14" s="417"/>
      <c r="N14" s="404"/>
      <c r="O14" s="405"/>
      <c r="P14" s="405"/>
      <c r="Q14" s="404"/>
      <c r="R14" s="406"/>
      <c r="S14" s="404"/>
      <c r="T14" s="407"/>
      <c r="U14" s="404"/>
      <c r="V14" s="404"/>
      <c r="W14" s="404"/>
      <c r="X14" s="417"/>
      <c r="Y14" s="417"/>
      <c r="Z14" s="418"/>
      <c r="AA14" s="417"/>
      <c r="AB14" s="417"/>
    </row>
    <row r="15" spans="1:29" s="306" customFormat="1" ht="23.25" customHeight="1" x14ac:dyDescent="0.2">
      <c r="A15" s="408"/>
      <c r="B15" s="383"/>
      <c r="C15" s="383"/>
      <c r="D15" s="403"/>
      <c r="E15" s="409"/>
      <c r="F15" s="410"/>
      <c r="G15" s="411"/>
      <c r="H15" s="412"/>
      <c r="I15" s="413"/>
      <c r="J15" s="414"/>
      <c r="K15" s="415"/>
      <c r="L15" s="416"/>
      <c r="M15" s="417"/>
      <c r="N15" s="404"/>
      <c r="O15" s="405"/>
      <c r="P15" s="405"/>
      <c r="Q15" s="404"/>
      <c r="R15" s="406"/>
      <c r="S15" s="404"/>
      <c r="T15" s="407"/>
      <c r="U15" s="404"/>
      <c r="V15" s="404"/>
      <c r="W15" s="404"/>
      <c r="X15" s="417"/>
      <c r="Y15" s="417"/>
      <c r="Z15" s="418"/>
      <c r="AA15" s="417"/>
      <c r="AB15" s="417"/>
    </row>
    <row r="16" spans="1:29" s="306" customFormat="1" ht="23.25" customHeight="1" x14ac:dyDescent="0.2">
      <c r="A16" s="408"/>
      <c r="B16" s="383"/>
      <c r="C16" s="383"/>
      <c r="D16" s="403"/>
      <c r="E16" s="409"/>
      <c r="F16" s="410"/>
      <c r="G16" s="411"/>
      <c r="H16" s="412"/>
      <c r="I16" s="413"/>
      <c r="J16" s="414"/>
      <c r="K16" s="415"/>
      <c r="L16" s="416"/>
      <c r="M16" s="417"/>
      <c r="N16" s="404"/>
      <c r="O16" s="405"/>
      <c r="P16" s="405"/>
      <c r="Q16" s="404"/>
      <c r="R16" s="406"/>
      <c r="S16" s="404"/>
      <c r="T16" s="407"/>
      <c r="U16" s="404"/>
      <c r="V16" s="404"/>
      <c r="W16" s="404"/>
      <c r="X16" s="417"/>
      <c r="Y16" s="417"/>
      <c r="Z16" s="418"/>
      <c r="AA16" s="417"/>
      <c r="AB16" s="417"/>
    </row>
    <row r="17" spans="1:29" s="306" customFormat="1" ht="23.25" customHeight="1" x14ac:dyDescent="0.2">
      <c r="A17" s="408"/>
      <c r="B17" s="383"/>
      <c r="C17" s="383"/>
      <c r="D17" s="403"/>
      <c r="E17" s="409"/>
      <c r="F17" s="410"/>
      <c r="G17" s="411"/>
      <c r="H17" s="412"/>
      <c r="I17" s="413"/>
      <c r="J17" s="414"/>
      <c r="K17" s="415"/>
      <c r="L17" s="416"/>
      <c r="M17" s="417"/>
      <c r="N17" s="404"/>
      <c r="O17" s="405"/>
      <c r="P17" s="405"/>
      <c r="Q17" s="404"/>
      <c r="R17" s="406"/>
      <c r="S17" s="404"/>
      <c r="T17" s="407"/>
      <c r="U17" s="404"/>
      <c r="V17" s="404"/>
      <c r="W17" s="404"/>
      <c r="X17" s="417"/>
      <c r="Y17" s="417"/>
      <c r="Z17" s="418"/>
      <c r="AA17" s="417"/>
      <c r="AB17" s="417"/>
    </row>
    <row r="18" spans="1:29" s="52" customFormat="1" ht="36.75" customHeight="1" x14ac:dyDescent="0.25">
      <c r="A18" s="133"/>
      <c r="B18" s="402" t="s">
        <v>97</v>
      </c>
      <c r="C18" s="402" t="s">
        <v>124</v>
      </c>
      <c r="D18" s="180" t="s">
        <v>122</v>
      </c>
      <c r="E18" s="180" t="s">
        <v>98</v>
      </c>
      <c r="F18" s="180" t="s">
        <v>229</v>
      </c>
      <c r="G18" s="402" t="s">
        <v>291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9"/>
    </row>
    <row r="19" spans="1:29" s="306" customFormat="1" ht="207.75" customHeight="1" x14ac:dyDescent="0.2">
      <c r="A19" s="270" t="s">
        <v>88</v>
      </c>
      <c r="B19" s="269" t="s">
        <v>158</v>
      </c>
      <c r="C19" s="270" t="s">
        <v>118</v>
      </c>
      <c r="D19" s="271" t="s">
        <v>138</v>
      </c>
      <c r="E19" s="272" t="s">
        <v>154</v>
      </c>
      <c r="F19" s="296" t="s">
        <v>241</v>
      </c>
      <c r="G19" s="297">
        <v>43374</v>
      </c>
      <c r="H19" s="289" t="s">
        <v>81</v>
      </c>
      <c r="I19" s="290">
        <v>15</v>
      </c>
      <c r="J19" s="307">
        <v>753.43399999999997</v>
      </c>
      <c r="K19" s="298">
        <v>11301.5</v>
      </c>
      <c r="L19" s="299">
        <v>0</v>
      </c>
      <c r="M19" s="300">
        <f>K19</f>
        <v>11301.5</v>
      </c>
      <c r="N19" s="301">
        <f>IF(K19/15&lt;=SMG,0,L19/2)</f>
        <v>0</v>
      </c>
      <c r="O19" s="322">
        <f>(K19+N19)/I19*30.4</f>
        <v>22904.373333333329</v>
      </c>
      <c r="P19" s="322">
        <f>VLOOKUP(O19,Tarifa,1)</f>
        <v>15487.72</v>
      </c>
      <c r="Q19" s="301">
        <f>O19-P19</f>
        <v>7416.65333333333</v>
      </c>
      <c r="R19" s="302">
        <f>VLOOKUP(O19,Tarifa,3)</f>
        <v>0.21360000000000001</v>
      </c>
      <c r="S19" s="301">
        <f>Q19*R19</f>
        <v>1584.1971519999993</v>
      </c>
      <c r="T19" s="303">
        <f>VLOOKUP(O19,Tarifa,2)</f>
        <v>1640.18</v>
      </c>
      <c r="U19" s="301">
        <f>S19+T19</f>
        <v>3224.3771519999991</v>
      </c>
      <c r="V19" s="301">
        <f>VLOOKUP(O19,Credito,2)</f>
        <v>0</v>
      </c>
      <c r="W19" s="301">
        <f>ROUND((U19-V19)/30.4*I19,2)</f>
        <v>1590.98</v>
      </c>
      <c r="X19" s="300">
        <f>-IF(W19&gt;0,0,0)</f>
        <v>0</v>
      </c>
      <c r="Y19" s="300">
        <f>IF(K19/15&lt;=SMG,0,IF(W19&lt;0,0,W19))</f>
        <v>1590.98</v>
      </c>
      <c r="Z19" s="304">
        <v>0</v>
      </c>
      <c r="AA19" s="300">
        <f>SUM(Y19:Z19)</f>
        <v>1590.98</v>
      </c>
      <c r="AB19" s="300">
        <f>M19+X19-AA19</f>
        <v>9710.52</v>
      </c>
      <c r="AC19" s="305"/>
    </row>
    <row r="20" spans="1:29" s="306" customFormat="1" ht="207.75" customHeight="1" x14ac:dyDescent="0.2">
      <c r="A20" s="308"/>
      <c r="B20" s="309" t="s">
        <v>293</v>
      </c>
      <c r="C20" s="310" t="s">
        <v>118</v>
      </c>
      <c r="D20" s="311" t="s">
        <v>294</v>
      </c>
      <c r="E20" s="312" t="s">
        <v>292</v>
      </c>
      <c r="F20" s="313" t="s">
        <v>295</v>
      </c>
      <c r="G20" s="314">
        <v>44991</v>
      </c>
      <c r="H20" s="315" t="s">
        <v>63</v>
      </c>
      <c r="I20" s="316">
        <v>15</v>
      </c>
      <c r="J20" s="307">
        <v>362.4</v>
      </c>
      <c r="K20" s="298">
        <v>5669.53</v>
      </c>
      <c r="L20" s="299">
        <v>0</v>
      </c>
      <c r="M20" s="300">
        <f>SUM(K20:L20)</f>
        <v>5669.53</v>
      </c>
      <c r="N20" s="301">
        <f>IF(K20/15&lt;=SMG,0,L20/2)</f>
        <v>0</v>
      </c>
      <c r="O20" s="322">
        <f>(K20+N20)/I20*30.4</f>
        <v>11490.247466666666</v>
      </c>
      <c r="P20" s="322">
        <f>VLOOKUP(O20,Tarifa,1)</f>
        <v>11128.02</v>
      </c>
      <c r="Q20" s="301">
        <f>O20-P20</f>
        <v>362.22746666666535</v>
      </c>
      <c r="R20" s="302">
        <f>VLOOKUP(O20,Tarifa,3)</f>
        <v>0.16</v>
      </c>
      <c r="S20" s="301">
        <f>Q20*R20</f>
        <v>57.956394666666455</v>
      </c>
      <c r="T20" s="303">
        <f>VLOOKUP(O20,Tarifa,2)</f>
        <v>893.63</v>
      </c>
      <c r="U20" s="301">
        <f>S20+T20</f>
        <v>951.58639466666648</v>
      </c>
      <c r="V20" s="301">
        <f>VLOOKUP(O20,Credito,2)</f>
        <v>0</v>
      </c>
      <c r="W20" s="301">
        <f>ROUND((U20-V20)/30.4*I20,2)</f>
        <v>469.53</v>
      </c>
      <c r="X20" s="300">
        <f>-IF(W20&gt;0,0,0)</f>
        <v>0</v>
      </c>
      <c r="Y20" s="300">
        <f>IF(K20/15&lt;=SMG,0,IF(W20&lt;0,0,W20))</f>
        <v>469.53</v>
      </c>
      <c r="Z20" s="304">
        <v>0</v>
      </c>
      <c r="AA20" s="300">
        <f>SUM(Y20:Z20)</f>
        <v>469.53</v>
      </c>
      <c r="AB20" s="300">
        <f>M20+X20-AA20</f>
        <v>5200</v>
      </c>
      <c r="AC20" s="317"/>
    </row>
    <row r="21" spans="1:29" s="306" customFormat="1" ht="57.75" customHeight="1" x14ac:dyDescent="0.25">
      <c r="A21" s="308"/>
      <c r="B21" s="402" t="s">
        <v>97</v>
      </c>
      <c r="C21" s="402" t="s">
        <v>124</v>
      </c>
      <c r="D21" s="148" t="s">
        <v>614</v>
      </c>
      <c r="E21" s="180" t="s">
        <v>98</v>
      </c>
      <c r="F21" s="180" t="s">
        <v>229</v>
      </c>
      <c r="G21" s="402" t="s">
        <v>291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6" customFormat="1" ht="207.75" customHeight="1" x14ac:dyDescent="0.2">
      <c r="A22" s="308"/>
      <c r="B22" s="270" t="s">
        <v>630</v>
      </c>
      <c r="C22" s="270" t="s">
        <v>528</v>
      </c>
      <c r="D22" s="293" t="s">
        <v>615</v>
      </c>
      <c r="E22" s="294" t="s">
        <v>616</v>
      </c>
      <c r="F22" s="296" t="s">
        <v>617</v>
      </c>
      <c r="G22" s="297">
        <v>45673</v>
      </c>
      <c r="H22" s="318" t="s">
        <v>618</v>
      </c>
      <c r="I22" s="319">
        <v>15</v>
      </c>
      <c r="J22" s="307">
        <v>208.86700000000002</v>
      </c>
      <c r="K22" s="298">
        <v>6693</v>
      </c>
      <c r="L22" s="299">
        <v>0</v>
      </c>
      <c r="M22" s="300">
        <f>K22</f>
        <v>6693</v>
      </c>
      <c r="N22" s="301">
        <f>IF(K22/15&lt;=SMG,0,L22/2)</f>
        <v>0</v>
      </c>
      <c r="O22" s="322">
        <f>(K22+N22)/I22*30.4</f>
        <v>13564.48</v>
      </c>
      <c r="P22" s="322">
        <f>VLOOKUP(O22,Tarifa,1)</f>
        <v>12935.83</v>
      </c>
      <c r="Q22" s="301">
        <f>O22-P22</f>
        <v>628.64999999999964</v>
      </c>
      <c r="R22" s="302">
        <f>VLOOKUP(O22,Tarifa,3)</f>
        <v>0.1792</v>
      </c>
      <c r="S22" s="301">
        <f>Q22*R22</f>
        <v>112.65407999999994</v>
      </c>
      <c r="T22" s="303">
        <f>VLOOKUP(O22,Tarifa,2)</f>
        <v>1182.8800000000001</v>
      </c>
      <c r="U22" s="301">
        <f>S22+T22</f>
        <v>1295.5340800000001</v>
      </c>
      <c r="V22" s="301">
        <f>VLOOKUP(O22,Credito,2)</f>
        <v>0</v>
      </c>
      <c r="W22" s="301">
        <f>ROUND((U22-V22)/30.4*I22,2)</f>
        <v>639.24</v>
      </c>
      <c r="X22" s="300">
        <f>-IF(W22&gt;0,0,0)</f>
        <v>0</v>
      </c>
      <c r="Y22" s="300">
        <f>IF(K22/15&lt;=SMG,0,IF(W22&lt;0,0,W22))</f>
        <v>639.24</v>
      </c>
      <c r="Z22" s="304">
        <v>0</v>
      </c>
      <c r="AA22" s="300">
        <f>SUM(Y22:Z22)</f>
        <v>639.24</v>
      </c>
      <c r="AB22" s="300">
        <f>M22+X22-AA22</f>
        <v>6053.76</v>
      </c>
      <c r="AC22" s="321"/>
    </row>
    <row r="23" spans="1:29" s="52" customFormat="1" ht="31.5" customHeight="1" x14ac:dyDescent="0.25">
      <c r="A23" s="189"/>
      <c r="B23" s="402" t="s">
        <v>97</v>
      </c>
      <c r="C23" s="402" t="s">
        <v>124</v>
      </c>
      <c r="D23" s="148" t="s">
        <v>411</v>
      </c>
      <c r="E23" s="180" t="s">
        <v>98</v>
      </c>
      <c r="F23" s="180" t="s">
        <v>229</v>
      </c>
      <c r="G23" s="402" t="s">
        <v>291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6" customFormat="1" ht="209.25" customHeight="1" x14ac:dyDescent="0.2">
      <c r="A24" s="308"/>
      <c r="B24" s="270" t="s">
        <v>449</v>
      </c>
      <c r="C24" s="270" t="s">
        <v>118</v>
      </c>
      <c r="D24" s="293" t="s">
        <v>450</v>
      </c>
      <c r="E24" s="294" t="s">
        <v>451</v>
      </c>
      <c r="F24" s="296" t="s">
        <v>452</v>
      </c>
      <c r="G24" s="297">
        <v>45566</v>
      </c>
      <c r="H24" s="318" t="s">
        <v>414</v>
      </c>
      <c r="I24" s="319">
        <v>15</v>
      </c>
      <c r="J24" s="307">
        <v>208.86700000000002</v>
      </c>
      <c r="K24" s="298">
        <v>3133</v>
      </c>
      <c r="L24" s="299">
        <v>0</v>
      </c>
      <c r="M24" s="300">
        <f t="shared" ref="M24" si="0">SUM(K24:L24)</f>
        <v>3133</v>
      </c>
      <c r="N24" s="301">
        <f>IF(K24/15&lt;=SMG,0,L24/2)</f>
        <v>0</v>
      </c>
      <c r="O24" s="322">
        <f>(K24+N24)/I24*30.4</f>
        <v>6349.5466666666662</v>
      </c>
      <c r="P24" s="322">
        <f>VLOOKUP(O24,Tarifa,1)</f>
        <v>6332.06</v>
      </c>
      <c r="Q24" s="301">
        <f>O24-P24</f>
        <v>17.486666666665769</v>
      </c>
      <c r="R24" s="302">
        <f>VLOOKUP(O24,Tarifa,3)</f>
        <v>0.10879999999999999</v>
      </c>
      <c r="S24" s="301">
        <f>Q24*R24</f>
        <v>1.9025493333332355</v>
      </c>
      <c r="T24" s="303">
        <f>VLOOKUP(O24,Tarifa,2)</f>
        <v>371.83</v>
      </c>
      <c r="U24" s="301">
        <f>S24+T24</f>
        <v>373.73254933333322</v>
      </c>
      <c r="V24" s="301">
        <f>VLOOKUP(O24,Credito,2)</f>
        <v>475</v>
      </c>
      <c r="W24" s="301">
        <f>ROUND((U24-V24)/30.4*I24,2)</f>
        <v>-49.97</v>
      </c>
      <c r="X24" s="300">
        <v>0</v>
      </c>
      <c r="Y24" s="320">
        <f>IF(K24/15&lt;=SMG,0,IF(W24&lt;0,0,W24))</f>
        <v>0</v>
      </c>
      <c r="Z24" s="304">
        <v>0</v>
      </c>
      <c r="AA24" s="300">
        <f>SUM(Y24:Z24)</f>
        <v>0</v>
      </c>
      <c r="AB24" s="320">
        <f>M24+X24-AA24</f>
        <v>3133</v>
      </c>
      <c r="AC24" s="321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49" t="s">
        <v>44</v>
      </c>
      <c r="B26" s="450"/>
      <c r="C26" s="450"/>
      <c r="D26" s="450"/>
      <c r="E26" s="450"/>
      <c r="F26" s="450"/>
      <c r="G26" s="450"/>
      <c r="H26" s="450"/>
      <c r="I26" s="450"/>
      <c r="J26" s="451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5" spans="4:29" ht="18" x14ac:dyDescent="0.25">
      <c r="D35" s="216" t="s">
        <v>530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216" t="s">
        <v>148</v>
      </c>
      <c r="Z35" s="108"/>
      <c r="AA35" s="108"/>
      <c r="AB35" s="108"/>
      <c r="AC35" s="108"/>
    </row>
    <row r="36" spans="4:29" ht="18" x14ac:dyDescent="0.25">
      <c r="D36" s="216" t="s">
        <v>551</v>
      </c>
      <c r="E36" s="216"/>
      <c r="F36" s="216"/>
      <c r="G36" s="216"/>
      <c r="H36" s="216"/>
      <c r="I36" s="216"/>
      <c r="J36" s="216"/>
      <c r="K36" s="216"/>
      <c r="L36" s="216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6" t="s">
        <v>218</v>
      </c>
      <c r="Z36" s="108"/>
      <c r="AA36" s="216"/>
      <c r="AB36" s="216"/>
      <c r="AC36" s="216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29"/>
  <sheetViews>
    <sheetView topLeftCell="B1" zoomScale="75" zoomScaleNormal="75" workbookViewId="0">
      <selection activeCell="Y17" sqref="Y17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6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8.7109375" customWidth="1"/>
  </cols>
  <sheetData>
    <row r="1" spans="1:30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30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30" ht="19.5" x14ac:dyDescent="0.25">
      <c r="A3" s="149" t="s">
        <v>358</v>
      </c>
      <c r="B3" s="453" t="str">
        <f>PRESIDENCIA!A3</f>
        <v>SUELDO  DEL 01 AL 15 DE MARZO DE 2025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197</v>
      </c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138"/>
      <c r="B8" s="148" t="s">
        <v>97</v>
      </c>
      <c r="C8" s="148" t="s">
        <v>124</v>
      </c>
      <c r="D8" s="179" t="s">
        <v>532</v>
      </c>
      <c r="E8" s="160" t="s">
        <v>98</v>
      </c>
      <c r="F8" s="160"/>
      <c r="G8" s="168"/>
      <c r="H8" s="160" t="s">
        <v>61</v>
      </c>
      <c r="I8" s="180"/>
      <c r="J8" s="37"/>
      <c r="K8" s="181">
        <f>K9</f>
        <v>8299</v>
      </c>
      <c r="L8" s="181">
        <f>L9</f>
        <v>0</v>
      </c>
      <c r="M8" s="181">
        <f>M9</f>
        <v>8299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949.64</v>
      </c>
      <c r="Z8" s="181">
        <f>Z9</f>
        <v>0</v>
      </c>
      <c r="AA8" s="181">
        <f>AA9</f>
        <v>949.64</v>
      </c>
      <c r="AB8" s="181">
        <f>AB9</f>
        <v>7349.36</v>
      </c>
      <c r="AC8" s="182"/>
    </row>
    <row r="9" spans="1:30" s="326" customFormat="1" ht="166.5" customHeight="1" x14ac:dyDescent="0.2">
      <c r="A9" s="323"/>
      <c r="B9" s="269" t="s">
        <v>550</v>
      </c>
      <c r="C9" s="270" t="s">
        <v>118</v>
      </c>
      <c r="D9" s="271" t="s">
        <v>581</v>
      </c>
      <c r="E9" s="272" t="s">
        <v>534</v>
      </c>
      <c r="F9" s="272" t="s">
        <v>535</v>
      </c>
      <c r="G9" s="297">
        <v>45581</v>
      </c>
      <c r="H9" s="289" t="s">
        <v>533</v>
      </c>
      <c r="I9" s="290">
        <v>15</v>
      </c>
      <c r="J9" s="325">
        <f>ROUND(K9/I9,2)</f>
        <v>553.27</v>
      </c>
      <c r="K9" s="298">
        <v>8299</v>
      </c>
      <c r="L9" s="299">
        <v>0</v>
      </c>
      <c r="M9" s="300">
        <f t="shared" ref="M9" si="0">SUM(K9:L9)</f>
        <v>8299</v>
      </c>
      <c r="N9" s="301">
        <f>IF(K9/15&lt;=SMG,0,L9/2)</f>
        <v>0</v>
      </c>
      <c r="O9" s="322">
        <f>(K9+N9)/I9*30.4</f>
        <v>16819.306666666664</v>
      </c>
      <c r="P9" s="322">
        <f>VLOOKUP(O9,Tarifa,1)</f>
        <v>15487.72</v>
      </c>
      <c r="Q9" s="301">
        <f>O9-P9</f>
        <v>1331.5866666666643</v>
      </c>
      <c r="R9" s="302">
        <f>VLOOKUP(O9,Tarifa,3)</f>
        <v>0.21360000000000001</v>
      </c>
      <c r="S9" s="301">
        <f>Q9*R9</f>
        <v>284.4269119999995</v>
      </c>
      <c r="T9" s="303">
        <f>VLOOKUP(O9,Tarifa,2)</f>
        <v>1640.18</v>
      </c>
      <c r="U9" s="301">
        <f>S9+T9</f>
        <v>1924.6069119999995</v>
      </c>
      <c r="V9" s="301">
        <f>VLOOKUP(O9,Credito,2)</f>
        <v>0</v>
      </c>
      <c r="W9" s="301">
        <f>ROUND((U9-V9)/30.4*I9,2)</f>
        <v>949.64</v>
      </c>
      <c r="X9" s="300">
        <f>-IF(W9&gt;0,0,0)</f>
        <v>0</v>
      </c>
      <c r="Y9" s="300">
        <f t="shared" ref="Y9" si="1">IF(K9/15&lt;=SMG,0,IF(W9&lt;0,0,W9))</f>
        <v>949.64</v>
      </c>
      <c r="Z9" s="304">
        <v>0</v>
      </c>
      <c r="AA9" s="300">
        <f t="shared" ref="AA9" si="2">SUM(Y9:Z9)</f>
        <v>949.64</v>
      </c>
      <c r="AB9" s="300">
        <f t="shared" ref="AB9" si="3">M9+X9-AA9</f>
        <v>7349.36</v>
      </c>
      <c r="AC9" s="281"/>
    </row>
    <row r="10" spans="1:30" ht="53.25" customHeight="1" x14ac:dyDescent="0.25">
      <c r="A10" s="138"/>
      <c r="B10" s="148" t="s">
        <v>97</v>
      </c>
      <c r="C10" s="148" t="s">
        <v>124</v>
      </c>
      <c r="D10" s="164" t="s">
        <v>75</v>
      </c>
      <c r="E10" s="160" t="s">
        <v>98</v>
      </c>
      <c r="F10" s="160" t="s">
        <v>229</v>
      </c>
      <c r="G10" s="168"/>
      <c r="H10" s="160" t="s">
        <v>61</v>
      </c>
      <c r="I10" s="160"/>
      <c r="J10" s="37"/>
      <c r="K10" s="181">
        <f>SUM(K11)</f>
        <v>12829</v>
      </c>
      <c r="L10" s="181">
        <f>SUM(L11)</f>
        <v>0</v>
      </c>
      <c r="M10" s="181">
        <f>SUM(M11)</f>
        <v>12829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SUM(X11)</f>
        <v>0</v>
      </c>
      <c r="Y10" s="181">
        <f>SUM(Y11)</f>
        <v>1917.25</v>
      </c>
      <c r="Z10" s="181">
        <f>SUM(Z11)</f>
        <v>0</v>
      </c>
      <c r="AA10" s="181">
        <f>SUM(AA11)</f>
        <v>1917.25</v>
      </c>
      <c r="AB10" s="181">
        <f>SUM(AB11)</f>
        <v>10911.75</v>
      </c>
      <c r="AC10" s="182"/>
    </row>
    <row r="11" spans="1:30" s="326" customFormat="1" ht="165.75" customHeight="1" x14ac:dyDescent="0.2">
      <c r="A11" s="323"/>
      <c r="B11" s="327">
        <v>160</v>
      </c>
      <c r="C11" s="292" t="s">
        <v>118</v>
      </c>
      <c r="D11" s="271" t="s">
        <v>504</v>
      </c>
      <c r="E11" s="328" t="s">
        <v>505</v>
      </c>
      <c r="F11" s="272" t="s">
        <v>506</v>
      </c>
      <c r="G11" s="297">
        <v>45566</v>
      </c>
      <c r="H11" s="272" t="s">
        <v>75</v>
      </c>
      <c r="I11" s="324">
        <v>15</v>
      </c>
      <c r="J11" s="325">
        <f>ROUND(K11/I11,2)</f>
        <v>855.27</v>
      </c>
      <c r="K11" s="329">
        <v>12829</v>
      </c>
      <c r="L11" s="330">
        <v>0</v>
      </c>
      <c r="M11" s="331">
        <f>SUM(K11:L11)</f>
        <v>12829</v>
      </c>
      <c r="N11" s="301">
        <f>IF(K11/15&lt;=SMG,0,L11/2)</f>
        <v>0</v>
      </c>
      <c r="O11" s="322">
        <f>(K11+N11)/I11*30.4</f>
        <v>26000.106666666667</v>
      </c>
      <c r="P11" s="322">
        <f>VLOOKUP(O11,Tarifa,1)</f>
        <v>15487.72</v>
      </c>
      <c r="Q11" s="301">
        <f>O11-P11</f>
        <v>10512.386666666667</v>
      </c>
      <c r="R11" s="302">
        <f>VLOOKUP(O11,Tarifa,3)</f>
        <v>0.21360000000000001</v>
      </c>
      <c r="S11" s="301">
        <f>Q11*R11</f>
        <v>2245.4457920000004</v>
      </c>
      <c r="T11" s="303">
        <f>VLOOKUP(O11,Tarifa,2)</f>
        <v>1640.18</v>
      </c>
      <c r="U11" s="301">
        <f>S11+T11</f>
        <v>3885.6257920000007</v>
      </c>
      <c r="V11" s="301">
        <f>VLOOKUP(O11,Credito,2)</f>
        <v>0</v>
      </c>
      <c r="W11" s="301">
        <f>ROUND((U11-V11)/30.4*I11,2)</f>
        <v>1917.25</v>
      </c>
      <c r="X11" s="300">
        <f>-IF(W11&gt;0,0,0)</f>
        <v>0</v>
      </c>
      <c r="Y11" s="300">
        <f>IF(K11/15&lt;=SMG,0,IF(W11&lt;0,0,W11))</f>
        <v>1917.25</v>
      </c>
      <c r="Z11" s="304">
        <v>0</v>
      </c>
      <c r="AA11" s="300">
        <f>SUM(Y11:Z11)</f>
        <v>1917.25</v>
      </c>
      <c r="AB11" s="300">
        <f>M11+X11-AA11</f>
        <v>10911.75</v>
      </c>
      <c r="AC11" s="281"/>
    </row>
    <row r="12" spans="1:30" ht="40.5" customHeight="1" thickBot="1" x14ac:dyDescent="0.3">
      <c r="A12" s="449" t="s">
        <v>44</v>
      </c>
      <c r="B12" s="450"/>
      <c r="C12" s="450"/>
      <c r="D12" s="450"/>
      <c r="E12" s="450"/>
      <c r="F12" s="450"/>
      <c r="G12" s="450"/>
      <c r="H12" s="450"/>
      <c r="I12" s="450"/>
      <c r="J12" s="451"/>
      <c r="K12" s="158">
        <f>K8+K10</f>
        <v>21128</v>
      </c>
      <c r="L12" s="158">
        <f>L8+L10</f>
        <v>0</v>
      </c>
      <c r="M12" s="158">
        <f>M8+M10</f>
        <v>21128</v>
      </c>
      <c r="N12" s="137" t="e">
        <f>SUM(#REF!)</f>
        <v>#REF!</v>
      </c>
      <c r="O12" s="137" t="e">
        <f>SUM(#REF!)</f>
        <v>#REF!</v>
      </c>
      <c r="P12" s="137" t="e">
        <f>SUM(#REF!)</f>
        <v>#REF!</v>
      </c>
      <c r="Q12" s="137" t="e">
        <f>SUM(#REF!)</f>
        <v>#REF!</v>
      </c>
      <c r="R12" s="137" t="e">
        <f>SUM(#REF!)</f>
        <v>#REF!</v>
      </c>
      <c r="S12" s="137" t="e">
        <f>SUM(#REF!)</f>
        <v>#REF!</v>
      </c>
      <c r="T12" s="137" t="e">
        <f>SUM(#REF!)</f>
        <v>#REF!</v>
      </c>
      <c r="U12" s="137" t="e">
        <f>SUM(#REF!)</f>
        <v>#REF!</v>
      </c>
      <c r="V12" s="137" t="e">
        <f>SUM(#REF!)</f>
        <v>#REF!</v>
      </c>
      <c r="W12" s="137" t="e">
        <f>SUM(#REF!)</f>
        <v>#REF!</v>
      </c>
      <c r="X12" s="158">
        <f>X8+X10</f>
        <v>0</v>
      </c>
      <c r="Y12" s="158">
        <f>Y8+Y10</f>
        <v>2866.89</v>
      </c>
      <c r="Z12" s="158">
        <f>Z8+Z10</f>
        <v>0</v>
      </c>
      <c r="AA12" s="158">
        <f>AA8+AA10</f>
        <v>2866.89</v>
      </c>
      <c r="AB12" s="158">
        <f>AB8+AB10</f>
        <v>18261.11</v>
      </c>
      <c r="AC12" s="108"/>
    </row>
    <row r="13" spans="1:30" ht="13.5" thickTop="1" x14ac:dyDescent="0.2"/>
    <row r="25" spans="4:41" ht="18" x14ac:dyDescent="0.25"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  <row r="26" spans="4:41" ht="18" x14ac:dyDescent="0.25">
      <c r="D26" s="216" t="s">
        <v>530</v>
      </c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216" t="s">
        <v>148</v>
      </c>
      <c r="Z26" s="108"/>
      <c r="AA26" s="108"/>
      <c r="AB26" s="108"/>
      <c r="AC26" s="108"/>
    </row>
    <row r="27" spans="4:41" ht="18" x14ac:dyDescent="0.25">
      <c r="D27" s="216" t="s">
        <v>551</v>
      </c>
      <c r="E27" s="216"/>
      <c r="F27" s="216"/>
      <c r="G27" s="216"/>
      <c r="H27" s="216"/>
      <c r="I27" s="216"/>
      <c r="J27" s="216"/>
      <c r="K27" s="216"/>
      <c r="L27" s="216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216" t="s">
        <v>218</v>
      </c>
      <c r="Z27" s="108"/>
      <c r="AA27" s="216"/>
      <c r="AB27" s="216"/>
      <c r="AC27" s="216"/>
      <c r="AD27" s="42"/>
      <c r="AE27" s="42"/>
      <c r="AF27" s="42"/>
      <c r="AG27" s="42"/>
      <c r="AH27" s="42"/>
      <c r="AI27" s="42"/>
      <c r="AJ27" s="42"/>
      <c r="AK27" s="42"/>
      <c r="AN27" s="42"/>
      <c r="AO27" s="42"/>
    </row>
    <row r="28" spans="4:41" ht="18" x14ac:dyDescent="0.25"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</row>
    <row r="29" spans="4:41" ht="18" x14ac:dyDescent="0.25"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</row>
  </sheetData>
  <mergeCells count="7">
    <mergeCell ref="A12:J12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3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8"/>
  <sheetViews>
    <sheetView tabSelected="1" topLeftCell="B31" zoomScale="66" zoomScaleNormal="66" workbookViewId="0">
      <selection activeCell="C35" sqref="C3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2" t="s">
        <v>77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35" ht="19.5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35" ht="19.5" x14ac:dyDescent="0.25">
      <c r="A3" s="453" t="str">
        <f>PRESIDENCIA!A3</f>
        <v>SUELDO  DEL 01 AL 15 DE MARZO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5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78" t="s">
        <v>1</v>
      </c>
      <c r="L5" s="479"/>
      <c r="M5" s="480"/>
      <c r="N5" s="50" t="s">
        <v>25</v>
      </c>
      <c r="O5" s="51"/>
      <c r="P5" s="481" t="s">
        <v>8</v>
      </c>
      <c r="Q5" s="482"/>
      <c r="R5" s="482"/>
      <c r="S5" s="482"/>
      <c r="T5" s="482"/>
      <c r="U5" s="483"/>
      <c r="V5" s="50" t="s">
        <v>29</v>
      </c>
      <c r="W5" s="50" t="s">
        <v>9</v>
      </c>
      <c r="X5" s="49" t="s">
        <v>52</v>
      </c>
      <c r="Y5" s="484" t="s">
        <v>2</v>
      </c>
      <c r="Z5" s="485"/>
      <c r="AA5" s="486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76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281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7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229</v>
      </c>
      <c r="G8" s="125" t="s">
        <v>291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3" customFormat="1" ht="217.5" customHeight="1" x14ac:dyDescent="0.2">
      <c r="A9" s="268" t="s">
        <v>85</v>
      </c>
      <c r="B9" s="269" t="s">
        <v>503</v>
      </c>
      <c r="C9" s="270" t="s">
        <v>118</v>
      </c>
      <c r="D9" s="271" t="s">
        <v>453</v>
      </c>
      <c r="E9" s="272" t="s">
        <v>531</v>
      </c>
      <c r="F9" s="272" t="s">
        <v>454</v>
      </c>
      <c r="G9" s="273">
        <v>45566</v>
      </c>
      <c r="H9" s="274" t="s">
        <v>583</v>
      </c>
      <c r="I9" s="275">
        <v>15</v>
      </c>
      <c r="J9" s="276">
        <f t="shared" ref="J9:J12" si="0">K9/I9</f>
        <v>803.4</v>
      </c>
      <c r="K9" s="277">
        <v>12051</v>
      </c>
      <c r="L9" s="278">
        <v>0</v>
      </c>
      <c r="M9" s="279">
        <f>SUM(K9:L9)</f>
        <v>12051</v>
      </c>
      <c r="N9" s="301">
        <f t="shared" ref="N9:N12" si="1">IF(K9/15&lt;=SMG,0,L9/2)</f>
        <v>0</v>
      </c>
      <c r="O9" s="322">
        <f t="shared" ref="O9:O12" si="2">(K9+N9)/I9*30.4</f>
        <v>24423.359999999997</v>
      </c>
      <c r="P9" s="322">
        <f t="shared" ref="P9:P12" si="3">VLOOKUP(O9,Tarifa,1)</f>
        <v>15487.72</v>
      </c>
      <c r="Q9" s="301">
        <f t="shared" ref="Q9:Q12" si="4">O9-P9</f>
        <v>8935.6399999999976</v>
      </c>
      <c r="R9" s="302">
        <f t="shared" ref="R9:R12" si="5">VLOOKUP(O9,Tarifa,3)</f>
        <v>0.21360000000000001</v>
      </c>
      <c r="S9" s="301">
        <f t="shared" ref="S9:S12" si="6">Q9*R9</f>
        <v>1908.6527039999996</v>
      </c>
      <c r="T9" s="303">
        <f t="shared" ref="T9:T12" si="7">VLOOKUP(O9,Tarifa,2)</f>
        <v>1640.18</v>
      </c>
      <c r="U9" s="301">
        <f t="shared" ref="U9:U12" si="8">S9+T9</f>
        <v>3548.8327039999995</v>
      </c>
      <c r="V9" s="301">
        <f t="shared" ref="V9:V12" si="9">VLOOKUP(O9,Credito,2)</f>
        <v>0</v>
      </c>
      <c r="W9" s="301">
        <f t="shared" ref="W9:W12" si="10">ROUND((U9-V9)/30.4*I9,2)</f>
        <v>1751.07</v>
      </c>
      <c r="X9" s="279">
        <f>-IF(W9&gt;0,0,0)</f>
        <v>0</v>
      </c>
      <c r="Y9" s="279">
        <f t="shared" ref="Y9" si="11">IF(K9/15&lt;=SMG,0,IF(W9&lt;0,0,W9))</f>
        <v>1751.07</v>
      </c>
      <c r="Z9" s="280">
        <v>0</v>
      </c>
      <c r="AA9" s="279">
        <f t="shared" ref="AA9:AA12" si="12">SUM(Y9:Z9)</f>
        <v>1751.07</v>
      </c>
      <c r="AB9" s="279">
        <f t="shared" ref="AB9" si="13">M9+X9-AA9</f>
        <v>10299.93</v>
      </c>
      <c r="AC9" s="281"/>
      <c r="AD9" s="282"/>
      <c r="AI9" s="284"/>
    </row>
    <row r="10" spans="1:35" s="283" customFormat="1" ht="217.5" customHeight="1" x14ac:dyDescent="0.2">
      <c r="A10" s="268"/>
      <c r="B10" s="269" t="s">
        <v>543</v>
      </c>
      <c r="C10" s="270" t="s">
        <v>118</v>
      </c>
      <c r="D10" s="271" t="s">
        <v>544</v>
      </c>
      <c r="E10" s="272" t="s">
        <v>545</v>
      </c>
      <c r="F10" s="272" t="s">
        <v>546</v>
      </c>
      <c r="G10" s="273">
        <v>45581</v>
      </c>
      <c r="H10" s="274" t="s">
        <v>587</v>
      </c>
      <c r="I10" s="275">
        <v>15</v>
      </c>
      <c r="J10" s="276">
        <f t="shared" si="0"/>
        <v>803.4</v>
      </c>
      <c r="K10" s="277">
        <v>12051</v>
      </c>
      <c r="L10" s="278">
        <v>0</v>
      </c>
      <c r="M10" s="279">
        <f>SUM(K10:L10)</f>
        <v>12051</v>
      </c>
      <c r="N10" s="301">
        <f t="shared" si="1"/>
        <v>0</v>
      </c>
      <c r="O10" s="322">
        <f t="shared" si="2"/>
        <v>24423.359999999997</v>
      </c>
      <c r="P10" s="322">
        <f t="shared" si="3"/>
        <v>15487.72</v>
      </c>
      <c r="Q10" s="301">
        <f t="shared" si="4"/>
        <v>8935.6399999999976</v>
      </c>
      <c r="R10" s="302">
        <f t="shared" si="5"/>
        <v>0.21360000000000001</v>
      </c>
      <c r="S10" s="301">
        <f t="shared" si="6"/>
        <v>1908.6527039999996</v>
      </c>
      <c r="T10" s="303">
        <f t="shared" si="7"/>
        <v>1640.18</v>
      </c>
      <c r="U10" s="301">
        <f t="shared" si="8"/>
        <v>3548.8327039999995</v>
      </c>
      <c r="V10" s="301">
        <f t="shared" si="9"/>
        <v>0</v>
      </c>
      <c r="W10" s="301">
        <f t="shared" si="10"/>
        <v>1751.07</v>
      </c>
      <c r="X10" s="279">
        <f>-IF(W10&gt;0,0,0)</f>
        <v>0</v>
      </c>
      <c r="Y10" s="279">
        <f t="shared" ref="Y10" si="14">IF(K10/15&lt;=SMG,0,IF(W10&lt;0,0,W10))</f>
        <v>1751.07</v>
      </c>
      <c r="Z10" s="280">
        <v>0</v>
      </c>
      <c r="AA10" s="279">
        <f t="shared" ref="AA10" si="15">SUM(Y10:Z10)</f>
        <v>1751.07</v>
      </c>
      <c r="AB10" s="279">
        <f t="shared" ref="AB10" si="16">M10+X10-AA10</f>
        <v>10299.93</v>
      </c>
      <c r="AC10" s="281"/>
      <c r="AD10" s="282"/>
      <c r="AI10" s="284"/>
    </row>
    <row r="11" spans="1:35" s="283" customFormat="1" ht="217.5" customHeight="1" x14ac:dyDescent="0.2">
      <c r="A11" s="268"/>
      <c r="B11" s="269" t="s">
        <v>319</v>
      </c>
      <c r="C11" s="270" t="s">
        <v>118</v>
      </c>
      <c r="D11" s="271" t="s">
        <v>330</v>
      </c>
      <c r="E11" s="272" t="s">
        <v>331</v>
      </c>
      <c r="F11" s="272" t="s">
        <v>333</v>
      </c>
      <c r="G11" s="273">
        <v>45139</v>
      </c>
      <c r="H11" s="274" t="s">
        <v>332</v>
      </c>
      <c r="I11" s="275">
        <v>15</v>
      </c>
      <c r="J11" s="276">
        <f t="shared" si="0"/>
        <v>309.60000000000002</v>
      </c>
      <c r="K11" s="277">
        <v>4644</v>
      </c>
      <c r="L11" s="278">
        <v>0</v>
      </c>
      <c r="M11" s="279">
        <f>SUM(K11:L11)</f>
        <v>4644</v>
      </c>
      <c r="N11" s="301">
        <f t="shared" si="1"/>
        <v>0</v>
      </c>
      <c r="O11" s="322">
        <f t="shared" si="2"/>
        <v>9411.84</v>
      </c>
      <c r="P11" s="322">
        <f t="shared" si="3"/>
        <v>6332.06</v>
      </c>
      <c r="Q11" s="301">
        <f t="shared" si="4"/>
        <v>3079.7799999999997</v>
      </c>
      <c r="R11" s="302">
        <f t="shared" si="5"/>
        <v>0.10879999999999999</v>
      </c>
      <c r="S11" s="301">
        <f t="shared" si="6"/>
        <v>335.08006399999994</v>
      </c>
      <c r="T11" s="303">
        <f t="shared" si="7"/>
        <v>371.83</v>
      </c>
      <c r="U11" s="301">
        <f t="shared" si="8"/>
        <v>706.91006399999992</v>
      </c>
      <c r="V11" s="301">
        <f t="shared" si="9"/>
        <v>475</v>
      </c>
      <c r="W11" s="301">
        <f t="shared" si="10"/>
        <v>114.43</v>
      </c>
      <c r="X11" s="279">
        <f t="shared" ref="X11:X12" si="17">-IF(W11&gt;0,0,0)</f>
        <v>0</v>
      </c>
      <c r="Y11" s="279">
        <f>IF(K11/15&lt;=SMG,0,IF(W11&lt;0,0,W11))</f>
        <v>114.43</v>
      </c>
      <c r="Z11" s="280">
        <v>0</v>
      </c>
      <c r="AA11" s="279">
        <f>SUM(Y11:Z11)</f>
        <v>114.43</v>
      </c>
      <c r="AB11" s="279">
        <f>M11+X11-AA11</f>
        <v>4529.57</v>
      </c>
      <c r="AC11" s="281"/>
      <c r="AD11" s="282"/>
      <c r="AI11" s="284"/>
    </row>
    <row r="12" spans="1:35" s="283" customFormat="1" ht="217.5" customHeight="1" x14ac:dyDescent="0.2">
      <c r="A12" s="268"/>
      <c r="B12" s="270" t="s">
        <v>189</v>
      </c>
      <c r="C12" s="270" t="s">
        <v>118</v>
      </c>
      <c r="D12" s="271" t="s">
        <v>190</v>
      </c>
      <c r="E12" s="272" t="s">
        <v>191</v>
      </c>
      <c r="F12" s="272" t="s">
        <v>255</v>
      </c>
      <c r="G12" s="273">
        <v>43983</v>
      </c>
      <c r="H12" s="274" t="s">
        <v>584</v>
      </c>
      <c r="I12" s="275">
        <v>15</v>
      </c>
      <c r="J12" s="276">
        <f t="shared" si="0"/>
        <v>803.4</v>
      </c>
      <c r="K12" s="277">
        <v>12051</v>
      </c>
      <c r="L12" s="278">
        <v>447.83</v>
      </c>
      <c r="M12" s="279">
        <f>SUM(K12:L12)</f>
        <v>12498.83</v>
      </c>
      <c r="N12" s="301">
        <f t="shared" si="1"/>
        <v>223.91499999999999</v>
      </c>
      <c r="O12" s="322">
        <f t="shared" si="2"/>
        <v>24877.161066666667</v>
      </c>
      <c r="P12" s="322">
        <f t="shared" si="3"/>
        <v>15487.72</v>
      </c>
      <c r="Q12" s="301">
        <f t="shared" si="4"/>
        <v>9389.4410666666681</v>
      </c>
      <c r="R12" s="302">
        <f t="shared" si="5"/>
        <v>0.21360000000000001</v>
      </c>
      <c r="S12" s="301">
        <f t="shared" si="6"/>
        <v>2005.5846118400004</v>
      </c>
      <c r="T12" s="303">
        <f t="shared" si="7"/>
        <v>1640.18</v>
      </c>
      <c r="U12" s="301">
        <f t="shared" si="8"/>
        <v>3645.7646118400007</v>
      </c>
      <c r="V12" s="301">
        <f t="shared" si="9"/>
        <v>0</v>
      </c>
      <c r="W12" s="301">
        <f t="shared" si="10"/>
        <v>1798.9</v>
      </c>
      <c r="X12" s="279">
        <f t="shared" si="17"/>
        <v>0</v>
      </c>
      <c r="Y12" s="279">
        <f t="shared" ref="Y12" si="18">IF(K12/15&lt;=SMG,0,IF(W12&lt;0,0,W12))</f>
        <v>1798.9</v>
      </c>
      <c r="Z12" s="280">
        <v>0</v>
      </c>
      <c r="AA12" s="279">
        <f t="shared" si="12"/>
        <v>1798.9</v>
      </c>
      <c r="AB12" s="279">
        <f t="shared" ref="AB12" si="19">M12+X12-AA12</f>
        <v>10699.93</v>
      </c>
      <c r="AC12" s="281"/>
      <c r="AD12" s="282"/>
      <c r="AI12" s="284"/>
    </row>
    <row r="13" spans="1:35" s="283" customFormat="1" ht="221.25" customHeight="1" x14ac:dyDescent="0.2">
      <c r="A13" s="268"/>
      <c r="B13" s="292" t="s">
        <v>285</v>
      </c>
      <c r="C13" s="286" t="s">
        <v>118</v>
      </c>
      <c r="D13" s="293" t="s">
        <v>282</v>
      </c>
      <c r="E13" s="294" t="s">
        <v>283</v>
      </c>
      <c r="F13" s="294" t="s">
        <v>284</v>
      </c>
      <c r="G13" s="295">
        <v>44958</v>
      </c>
      <c r="H13" s="289" t="s">
        <v>141</v>
      </c>
      <c r="I13" s="290">
        <v>15</v>
      </c>
      <c r="J13" s="276">
        <f t="shared" ref="J13:J14" si="20">K13/I13</f>
        <v>380.43333333333334</v>
      </c>
      <c r="K13" s="277">
        <v>5706.5</v>
      </c>
      <c r="L13" s="278">
        <v>0</v>
      </c>
      <c r="M13" s="279">
        <f>SUM(K13:L13)</f>
        <v>5706.5</v>
      </c>
      <c r="N13" s="301">
        <f t="shared" ref="N13:N14" si="21">IF(K13/15&lt;=SMG,0,L13/2)</f>
        <v>0</v>
      </c>
      <c r="O13" s="322">
        <f t="shared" ref="O13:O14" si="22">(K13+N13)/I13*30.4</f>
        <v>11565.173333333332</v>
      </c>
      <c r="P13" s="322">
        <f t="shared" ref="P13:P14" si="23">VLOOKUP(O13,Tarifa,1)</f>
        <v>11128.02</v>
      </c>
      <c r="Q13" s="301">
        <f t="shared" ref="Q13:Q14" si="24">O13-P13</f>
        <v>437.15333333333183</v>
      </c>
      <c r="R13" s="302">
        <f t="shared" ref="R13:R14" si="25">VLOOKUP(O13,Tarifa,3)</f>
        <v>0.16</v>
      </c>
      <c r="S13" s="301">
        <f t="shared" ref="S13:S14" si="26">Q13*R13</f>
        <v>69.944533333333098</v>
      </c>
      <c r="T13" s="303">
        <f t="shared" ref="T13:T14" si="27">VLOOKUP(O13,Tarifa,2)</f>
        <v>893.63</v>
      </c>
      <c r="U13" s="301">
        <f t="shared" ref="U13:U14" si="28">S13+T13</f>
        <v>963.57453333333308</v>
      </c>
      <c r="V13" s="301">
        <f t="shared" ref="V13:V14" si="29">VLOOKUP(O13,Credito,2)</f>
        <v>0</v>
      </c>
      <c r="W13" s="301">
        <f t="shared" ref="W13:W14" si="30">ROUND((U13-V13)/30.4*I13,2)</f>
        <v>475.45</v>
      </c>
      <c r="X13" s="279">
        <f>-IF(W13&gt;0,0,0)</f>
        <v>0</v>
      </c>
      <c r="Y13" s="279">
        <f>IF(K13/15&lt;=SMG,0,IF(W13&lt;0,0,W13))</f>
        <v>475.45</v>
      </c>
      <c r="Z13" s="280">
        <v>0</v>
      </c>
      <c r="AA13" s="279">
        <f>SUM(Y13:Z13)</f>
        <v>475.45</v>
      </c>
      <c r="AB13" s="279">
        <f>M13+X13-AA13</f>
        <v>5231.05</v>
      </c>
      <c r="AC13" s="291"/>
      <c r="AD13" s="282"/>
      <c r="AI13" s="284"/>
    </row>
    <row r="14" spans="1:35" s="283" customFormat="1" ht="223.5" customHeight="1" x14ac:dyDescent="0.2">
      <c r="A14" s="268"/>
      <c r="B14" s="269" t="s">
        <v>573</v>
      </c>
      <c r="C14" s="269" t="s">
        <v>118</v>
      </c>
      <c r="D14" s="293" t="s">
        <v>574</v>
      </c>
      <c r="E14" s="294" t="s">
        <v>575</v>
      </c>
      <c r="F14" s="281" t="s">
        <v>576</v>
      </c>
      <c r="G14" s="332">
        <v>45616</v>
      </c>
      <c r="H14" s="274" t="s">
        <v>67</v>
      </c>
      <c r="I14" s="290">
        <v>15</v>
      </c>
      <c r="J14" s="276">
        <f t="shared" si="20"/>
        <v>442.26666666666665</v>
      </c>
      <c r="K14" s="277">
        <v>6634</v>
      </c>
      <c r="L14" s="278">
        <v>0</v>
      </c>
      <c r="M14" s="277">
        <f>K14</f>
        <v>6634</v>
      </c>
      <c r="N14" s="301">
        <f t="shared" si="21"/>
        <v>0</v>
      </c>
      <c r="O14" s="322">
        <f t="shared" si="22"/>
        <v>13444.906666666666</v>
      </c>
      <c r="P14" s="322">
        <f t="shared" si="23"/>
        <v>12935.83</v>
      </c>
      <c r="Q14" s="301">
        <f t="shared" si="24"/>
        <v>509.07666666666591</v>
      </c>
      <c r="R14" s="302">
        <f t="shared" si="25"/>
        <v>0.1792</v>
      </c>
      <c r="S14" s="301">
        <f t="shared" si="26"/>
        <v>91.226538666666528</v>
      </c>
      <c r="T14" s="303">
        <f t="shared" si="27"/>
        <v>1182.8800000000001</v>
      </c>
      <c r="U14" s="301">
        <f t="shared" si="28"/>
        <v>1274.1065386666667</v>
      </c>
      <c r="V14" s="301">
        <f t="shared" si="29"/>
        <v>0</v>
      </c>
      <c r="W14" s="301">
        <f t="shared" si="30"/>
        <v>628.66999999999996</v>
      </c>
      <c r="X14" s="279">
        <f t="shared" ref="X14" si="31">-IF(W14&gt;0,0,0)</f>
        <v>0</v>
      </c>
      <c r="Y14" s="279">
        <f t="shared" ref="Y14" si="32">IF(K14/15&lt;=SMG,0,IF(W14&lt;0,0,W14))</f>
        <v>628.66999999999996</v>
      </c>
      <c r="Z14" s="280">
        <v>400.35</v>
      </c>
      <c r="AA14" s="279">
        <f t="shared" ref="AA14" si="33">SUM(Y14:Z14)</f>
        <v>1029.02</v>
      </c>
      <c r="AB14" s="279">
        <f>M14+X14-AA14+L14</f>
        <v>5604.98</v>
      </c>
      <c r="AC14" s="291"/>
      <c r="AD14" s="282"/>
      <c r="AI14" s="284"/>
    </row>
    <row r="15" spans="1:35" s="91" customFormat="1" ht="42.75" customHeight="1" x14ac:dyDescent="0.3">
      <c r="A15" s="143"/>
      <c r="B15" s="247"/>
      <c r="C15" s="217"/>
      <c r="D15" s="218"/>
      <c r="E15" s="219"/>
      <c r="F15" s="219"/>
      <c r="G15" s="246"/>
      <c r="H15" s="150"/>
      <c r="I15" s="151"/>
      <c r="J15" s="15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  <c r="AD15" s="92"/>
      <c r="AI15" s="93"/>
    </row>
    <row r="16" spans="1:35" s="91" customFormat="1" ht="42.75" customHeight="1" x14ac:dyDescent="0.3">
      <c r="A16" s="143"/>
      <c r="B16" s="247"/>
      <c r="C16" s="217"/>
      <c r="D16" s="218"/>
      <c r="E16" s="219"/>
      <c r="F16" s="219"/>
      <c r="G16" s="246"/>
      <c r="H16" s="150"/>
      <c r="I16" s="151"/>
      <c r="J16" s="15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  <c r="AD16" s="92"/>
      <c r="AI16" s="93"/>
    </row>
    <row r="17" spans="1:35" s="91" customFormat="1" ht="32.25" customHeight="1" x14ac:dyDescent="0.25">
      <c r="A17" s="143"/>
      <c r="B17" s="452" t="s">
        <v>77</v>
      </c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  <c r="AI17" s="93"/>
    </row>
    <row r="18" spans="1:35" s="91" customFormat="1" ht="24" customHeight="1" x14ac:dyDescent="0.25">
      <c r="A18" s="143"/>
      <c r="B18" s="452" t="s">
        <v>64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  <c r="AA18" s="452"/>
      <c r="AB18" s="452"/>
      <c r="AC18" s="452"/>
      <c r="AD18" s="452"/>
      <c r="AI18" s="93"/>
    </row>
    <row r="19" spans="1:35" s="91" customFormat="1" ht="27.75" customHeight="1" x14ac:dyDescent="0.3">
      <c r="A19" s="143"/>
      <c r="B19" s="473" t="str">
        <f>PRESIDENCIA!A3</f>
        <v>SUELDO  DEL 01 AL 15 DE MARZO DE 2025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73"/>
      <c r="Q19" s="473"/>
      <c r="R19" s="473"/>
      <c r="S19" s="473"/>
      <c r="T19" s="473"/>
      <c r="U19" s="473"/>
      <c r="V19" s="473"/>
      <c r="W19" s="473"/>
      <c r="X19" s="473"/>
      <c r="Y19" s="473"/>
      <c r="Z19" s="473"/>
      <c r="AA19" s="473"/>
      <c r="AB19" s="473"/>
      <c r="AC19" s="473"/>
      <c r="AD19" s="92"/>
      <c r="AI19" s="93"/>
    </row>
    <row r="20" spans="1:35" s="91" customFormat="1" ht="26.25" customHeight="1" x14ac:dyDescent="0.3">
      <c r="A20" s="143"/>
      <c r="B20" s="247"/>
      <c r="C20" s="217"/>
      <c r="D20" s="218"/>
      <c r="E20" s="219"/>
      <c r="F20" s="219"/>
      <c r="G20" s="246"/>
      <c r="H20" s="150"/>
      <c r="I20" s="151"/>
      <c r="J20" s="152"/>
      <c r="K20" s="223"/>
      <c r="L20" s="224"/>
      <c r="M20" s="225"/>
      <c r="N20" s="226"/>
      <c r="O20" s="226"/>
      <c r="P20" s="226"/>
      <c r="Q20" s="226"/>
      <c r="R20" s="227"/>
      <c r="S20" s="226"/>
      <c r="T20" s="228"/>
      <c r="U20" s="226"/>
      <c r="V20" s="226"/>
      <c r="W20" s="226"/>
      <c r="X20" s="225"/>
      <c r="Y20" s="225"/>
      <c r="Z20" s="229"/>
      <c r="AA20" s="225"/>
      <c r="AB20" s="225"/>
      <c r="AD20" s="92"/>
      <c r="AI20" s="93"/>
    </row>
    <row r="21" spans="1:35" s="283" customFormat="1" ht="232.5" customHeight="1" x14ac:dyDescent="0.2">
      <c r="A21" s="268"/>
      <c r="B21" s="269" t="s">
        <v>631</v>
      </c>
      <c r="C21" s="269" t="s">
        <v>118</v>
      </c>
      <c r="D21" s="293" t="s">
        <v>619</v>
      </c>
      <c r="E21" s="294" t="s">
        <v>620</v>
      </c>
      <c r="F21" s="281" t="s">
        <v>621</v>
      </c>
      <c r="G21" s="332">
        <v>45698</v>
      </c>
      <c r="H21" s="274" t="s">
        <v>67</v>
      </c>
      <c r="I21" s="290">
        <v>15</v>
      </c>
      <c r="J21" s="276">
        <f t="shared" ref="J21:J26" si="34">K21/I21</f>
        <v>506.81133333333332</v>
      </c>
      <c r="K21" s="277">
        <v>7602.17</v>
      </c>
      <c r="L21" s="278">
        <v>2237.6</v>
      </c>
      <c r="M21" s="279">
        <f t="shared" ref="M21" si="35">SUM(K21:L21)</f>
        <v>9839.77</v>
      </c>
      <c r="N21" s="301">
        <f t="shared" ref="N21:N26" si="36">IF(K21/15&lt;=SMG,0,L21/2)</f>
        <v>1118.8</v>
      </c>
      <c r="O21" s="322">
        <f t="shared" ref="O21:O26" si="37">(K21+N21)/I21*30.4</f>
        <v>17674.499199999995</v>
      </c>
      <c r="P21" s="322">
        <f t="shared" ref="P21:P26" si="38">VLOOKUP(O21,Tarifa,1)</f>
        <v>15487.72</v>
      </c>
      <c r="Q21" s="301">
        <f t="shared" ref="Q21:Q26" si="39">O21-P21</f>
        <v>2186.7791999999954</v>
      </c>
      <c r="R21" s="302">
        <f t="shared" ref="R21:R26" si="40">VLOOKUP(O21,Tarifa,3)</f>
        <v>0.21360000000000001</v>
      </c>
      <c r="S21" s="301">
        <f t="shared" ref="S21:S26" si="41">Q21*R21</f>
        <v>467.09603711999904</v>
      </c>
      <c r="T21" s="303">
        <f t="shared" ref="T21:T26" si="42">VLOOKUP(O21,Tarifa,2)</f>
        <v>1640.18</v>
      </c>
      <c r="U21" s="301">
        <f t="shared" ref="U21:U26" si="43">S21+T21</f>
        <v>2107.2760371199993</v>
      </c>
      <c r="V21" s="301">
        <f t="shared" ref="V21:V26" si="44">VLOOKUP(O21,Credito,2)</f>
        <v>0</v>
      </c>
      <c r="W21" s="301">
        <f t="shared" ref="W21:W26" si="45">ROUND((U21-V21)/30.4*I21,2)</f>
        <v>1039.77</v>
      </c>
      <c r="X21" s="279">
        <f t="shared" ref="X21:X26" si="46">-IF(W21&gt;0,0,0)</f>
        <v>0</v>
      </c>
      <c r="Y21" s="279">
        <f t="shared" ref="Y21:Y26" si="47">IF(K21/15&lt;=SMG,0,IF(W21&lt;0,0,W21))</f>
        <v>1039.77</v>
      </c>
      <c r="Z21" s="280">
        <v>0</v>
      </c>
      <c r="AA21" s="279">
        <f t="shared" ref="AA21:AA26" si="48">SUM(Y21:Z21)</f>
        <v>1039.77</v>
      </c>
      <c r="AB21" s="279">
        <f t="shared" ref="AB21:AB26" si="49">M21+X21-AA21</f>
        <v>8800</v>
      </c>
      <c r="AC21" s="281"/>
      <c r="AD21" s="282"/>
      <c r="AI21" s="284"/>
    </row>
    <row r="22" spans="1:35" s="283" customFormat="1" ht="232.5" customHeight="1" x14ac:dyDescent="0.2">
      <c r="A22" s="268"/>
      <c r="B22" s="269" t="s">
        <v>301</v>
      </c>
      <c r="C22" s="269" t="s">
        <v>118</v>
      </c>
      <c r="D22" s="293" t="s">
        <v>299</v>
      </c>
      <c r="E22" s="333" t="s">
        <v>302</v>
      </c>
      <c r="F22" s="334" t="s">
        <v>300</v>
      </c>
      <c r="G22" s="332">
        <v>45042</v>
      </c>
      <c r="H22" s="274" t="s">
        <v>586</v>
      </c>
      <c r="I22" s="290">
        <v>15</v>
      </c>
      <c r="J22" s="276">
        <f t="shared" si="34"/>
        <v>604.86666666666667</v>
      </c>
      <c r="K22" s="277">
        <v>9073</v>
      </c>
      <c r="L22" s="278">
        <v>447.83</v>
      </c>
      <c r="M22" s="279">
        <f t="shared" ref="M22:M26" si="50">SUM(K22:L22)</f>
        <v>9520.83</v>
      </c>
      <c r="N22" s="301">
        <f t="shared" si="36"/>
        <v>223.91499999999999</v>
      </c>
      <c r="O22" s="322">
        <f t="shared" si="37"/>
        <v>18841.747733333334</v>
      </c>
      <c r="P22" s="322">
        <f t="shared" si="38"/>
        <v>15487.72</v>
      </c>
      <c r="Q22" s="301">
        <f t="shared" si="39"/>
        <v>3354.0277333333343</v>
      </c>
      <c r="R22" s="302">
        <f t="shared" si="40"/>
        <v>0.21360000000000001</v>
      </c>
      <c r="S22" s="301">
        <f t="shared" si="41"/>
        <v>716.42032384000026</v>
      </c>
      <c r="T22" s="303">
        <f t="shared" si="42"/>
        <v>1640.18</v>
      </c>
      <c r="U22" s="301">
        <f t="shared" si="43"/>
        <v>2356.6003238400003</v>
      </c>
      <c r="V22" s="301">
        <f t="shared" si="44"/>
        <v>0</v>
      </c>
      <c r="W22" s="301">
        <f t="shared" si="45"/>
        <v>1162.8</v>
      </c>
      <c r="X22" s="279">
        <f t="shared" si="46"/>
        <v>0</v>
      </c>
      <c r="Y22" s="279">
        <f t="shared" si="47"/>
        <v>1162.8</v>
      </c>
      <c r="Z22" s="280">
        <v>0</v>
      </c>
      <c r="AA22" s="279">
        <f t="shared" si="48"/>
        <v>1162.8</v>
      </c>
      <c r="AB22" s="279">
        <f t="shared" si="49"/>
        <v>8358.0300000000007</v>
      </c>
      <c r="AC22" s="281"/>
      <c r="AD22" s="282"/>
      <c r="AI22" s="284"/>
    </row>
    <row r="23" spans="1:35" s="283" customFormat="1" ht="232.5" customHeight="1" x14ac:dyDescent="0.2">
      <c r="A23" s="268"/>
      <c r="B23" s="269" t="s">
        <v>304</v>
      </c>
      <c r="C23" s="269" t="s">
        <v>118</v>
      </c>
      <c r="D23" s="293" t="s">
        <v>305</v>
      </c>
      <c r="E23" s="333" t="s">
        <v>306</v>
      </c>
      <c r="F23" s="334" t="s">
        <v>307</v>
      </c>
      <c r="G23" s="332">
        <v>45078</v>
      </c>
      <c r="H23" s="274" t="s">
        <v>585</v>
      </c>
      <c r="I23" s="290">
        <v>15</v>
      </c>
      <c r="J23" s="276">
        <f t="shared" si="34"/>
        <v>604.86666666666667</v>
      </c>
      <c r="K23" s="277">
        <v>9073</v>
      </c>
      <c r="L23" s="278">
        <v>0</v>
      </c>
      <c r="M23" s="279">
        <f t="shared" si="50"/>
        <v>9073</v>
      </c>
      <c r="N23" s="301">
        <f t="shared" si="36"/>
        <v>0</v>
      </c>
      <c r="O23" s="322">
        <f t="shared" si="37"/>
        <v>18387.946666666667</v>
      </c>
      <c r="P23" s="322">
        <f t="shared" si="38"/>
        <v>15487.72</v>
      </c>
      <c r="Q23" s="301">
        <f t="shared" si="39"/>
        <v>2900.2266666666674</v>
      </c>
      <c r="R23" s="302">
        <f t="shared" si="40"/>
        <v>0.21360000000000001</v>
      </c>
      <c r="S23" s="301">
        <f t="shared" si="41"/>
        <v>619.48841600000014</v>
      </c>
      <c r="T23" s="303">
        <f t="shared" si="42"/>
        <v>1640.18</v>
      </c>
      <c r="U23" s="301">
        <f t="shared" si="43"/>
        <v>2259.6684160000004</v>
      </c>
      <c r="V23" s="301">
        <f t="shared" si="44"/>
        <v>0</v>
      </c>
      <c r="W23" s="301">
        <f t="shared" si="45"/>
        <v>1114.97</v>
      </c>
      <c r="X23" s="279">
        <f t="shared" si="46"/>
        <v>0</v>
      </c>
      <c r="Y23" s="279">
        <f t="shared" si="47"/>
        <v>1114.97</v>
      </c>
      <c r="Z23" s="280">
        <v>0</v>
      </c>
      <c r="AA23" s="279">
        <f t="shared" si="48"/>
        <v>1114.97</v>
      </c>
      <c r="AB23" s="279">
        <f t="shared" si="49"/>
        <v>7958.03</v>
      </c>
      <c r="AC23" s="281"/>
      <c r="AI23" s="284"/>
    </row>
    <row r="24" spans="1:35" s="283" customFormat="1" ht="232.5" customHeight="1" x14ac:dyDescent="0.2">
      <c r="A24" s="335"/>
      <c r="B24" s="270" t="s">
        <v>600</v>
      </c>
      <c r="C24" s="270" t="s">
        <v>118</v>
      </c>
      <c r="D24" s="336" t="s">
        <v>164</v>
      </c>
      <c r="E24" s="134" t="s">
        <v>169</v>
      </c>
      <c r="F24" s="134" t="s">
        <v>247</v>
      </c>
      <c r="G24" s="212">
        <v>43512</v>
      </c>
      <c r="H24" s="274" t="s">
        <v>586</v>
      </c>
      <c r="I24" s="290">
        <v>15</v>
      </c>
      <c r="J24" s="276">
        <f t="shared" si="34"/>
        <v>604.86666666666667</v>
      </c>
      <c r="K24" s="277">
        <v>9073</v>
      </c>
      <c r="L24" s="278">
        <v>0</v>
      </c>
      <c r="M24" s="279">
        <f t="shared" si="50"/>
        <v>9073</v>
      </c>
      <c r="N24" s="301">
        <f t="shared" si="36"/>
        <v>0</v>
      </c>
      <c r="O24" s="322">
        <f t="shared" si="37"/>
        <v>18387.946666666667</v>
      </c>
      <c r="P24" s="322">
        <f t="shared" si="38"/>
        <v>15487.72</v>
      </c>
      <c r="Q24" s="301">
        <f t="shared" si="39"/>
        <v>2900.2266666666674</v>
      </c>
      <c r="R24" s="302">
        <f t="shared" si="40"/>
        <v>0.21360000000000001</v>
      </c>
      <c r="S24" s="301">
        <f t="shared" si="41"/>
        <v>619.48841600000014</v>
      </c>
      <c r="T24" s="303">
        <f t="shared" si="42"/>
        <v>1640.18</v>
      </c>
      <c r="U24" s="301">
        <f t="shared" si="43"/>
        <v>2259.6684160000004</v>
      </c>
      <c r="V24" s="301">
        <f t="shared" si="44"/>
        <v>0</v>
      </c>
      <c r="W24" s="301">
        <f t="shared" si="45"/>
        <v>1114.97</v>
      </c>
      <c r="X24" s="279">
        <f t="shared" si="46"/>
        <v>0</v>
      </c>
      <c r="Y24" s="279">
        <f t="shared" si="47"/>
        <v>1114.97</v>
      </c>
      <c r="Z24" s="280">
        <v>0</v>
      </c>
      <c r="AA24" s="279">
        <f t="shared" si="48"/>
        <v>1114.97</v>
      </c>
      <c r="AB24" s="279">
        <f t="shared" si="49"/>
        <v>7958.03</v>
      </c>
      <c r="AC24" s="281"/>
      <c r="AI24" s="284"/>
    </row>
    <row r="25" spans="1:35" s="283" customFormat="1" ht="232.5" customHeight="1" x14ac:dyDescent="0.2">
      <c r="A25" s="335"/>
      <c r="B25" s="270" t="s">
        <v>265</v>
      </c>
      <c r="C25" s="270" t="s">
        <v>118</v>
      </c>
      <c r="D25" s="336" t="s">
        <v>266</v>
      </c>
      <c r="E25" s="134" t="s">
        <v>267</v>
      </c>
      <c r="F25" s="134" t="s">
        <v>268</v>
      </c>
      <c r="G25" s="212">
        <v>44728</v>
      </c>
      <c r="H25" s="274" t="s">
        <v>586</v>
      </c>
      <c r="I25" s="290">
        <v>15</v>
      </c>
      <c r="J25" s="276">
        <f t="shared" si="34"/>
        <v>604.86666666666667</v>
      </c>
      <c r="K25" s="277">
        <v>9073</v>
      </c>
      <c r="L25" s="278">
        <v>447.83</v>
      </c>
      <c r="M25" s="279">
        <f t="shared" si="50"/>
        <v>9520.83</v>
      </c>
      <c r="N25" s="301">
        <f t="shared" si="36"/>
        <v>223.91499999999999</v>
      </c>
      <c r="O25" s="322">
        <f t="shared" si="37"/>
        <v>18841.747733333334</v>
      </c>
      <c r="P25" s="322">
        <f t="shared" si="38"/>
        <v>15487.72</v>
      </c>
      <c r="Q25" s="301">
        <f t="shared" si="39"/>
        <v>3354.0277333333343</v>
      </c>
      <c r="R25" s="302">
        <f t="shared" si="40"/>
        <v>0.21360000000000001</v>
      </c>
      <c r="S25" s="301">
        <f t="shared" si="41"/>
        <v>716.42032384000026</v>
      </c>
      <c r="T25" s="303">
        <f t="shared" si="42"/>
        <v>1640.18</v>
      </c>
      <c r="U25" s="301">
        <f t="shared" si="43"/>
        <v>2356.6003238400003</v>
      </c>
      <c r="V25" s="301">
        <f t="shared" si="44"/>
        <v>0</v>
      </c>
      <c r="W25" s="301">
        <f t="shared" si="45"/>
        <v>1162.8</v>
      </c>
      <c r="X25" s="279">
        <f t="shared" si="46"/>
        <v>0</v>
      </c>
      <c r="Y25" s="279">
        <f t="shared" si="47"/>
        <v>1162.8</v>
      </c>
      <c r="Z25" s="280">
        <v>0</v>
      </c>
      <c r="AA25" s="279">
        <f t="shared" si="48"/>
        <v>1162.8</v>
      </c>
      <c r="AB25" s="279">
        <f t="shared" si="49"/>
        <v>8358.0300000000007</v>
      </c>
      <c r="AC25" s="281"/>
      <c r="AD25" s="337"/>
      <c r="AI25" s="284"/>
    </row>
    <row r="26" spans="1:35" s="283" customFormat="1" ht="232.5" customHeight="1" x14ac:dyDescent="0.2">
      <c r="A26" s="335"/>
      <c r="B26" s="270" t="s">
        <v>297</v>
      </c>
      <c r="C26" s="270" t="s">
        <v>118</v>
      </c>
      <c r="D26" s="271" t="s">
        <v>303</v>
      </c>
      <c r="E26" s="272" t="s">
        <v>296</v>
      </c>
      <c r="F26" s="338" t="s">
        <v>298</v>
      </c>
      <c r="G26" s="273">
        <v>45033</v>
      </c>
      <c r="H26" s="274" t="s">
        <v>586</v>
      </c>
      <c r="I26" s="290">
        <v>15</v>
      </c>
      <c r="J26" s="276">
        <f t="shared" si="34"/>
        <v>483.93333333333334</v>
      </c>
      <c r="K26" s="277">
        <v>7259</v>
      </c>
      <c r="L26" s="278">
        <v>0</v>
      </c>
      <c r="M26" s="279">
        <f t="shared" si="50"/>
        <v>7259</v>
      </c>
      <c r="N26" s="301">
        <f t="shared" si="36"/>
        <v>0</v>
      </c>
      <c r="O26" s="322">
        <f t="shared" si="37"/>
        <v>14711.573333333332</v>
      </c>
      <c r="P26" s="322">
        <f t="shared" si="38"/>
        <v>12935.83</v>
      </c>
      <c r="Q26" s="301">
        <f t="shared" si="39"/>
        <v>1775.743333333332</v>
      </c>
      <c r="R26" s="302">
        <f t="shared" si="40"/>
        <v>0.1792</v>
      </c>
      <c r="S26" s="301">
        <f t="shared" si="41"/>
        <v>318.21320533333306</v>
      </c>
      <c r="T26" s="303">
        <f t="shared" si="42"/>
        <v>1182.8800000000001</v>
      </c>
      <c r="U26" s="301">
        <f t="shared" si="43"/>
        <v>1501.0932053333331</v>
      </c>
      <c r="V26" s="301">
        <f t="shared" si="44"/>
        <v>0</v>
      </c>
      <c r="W26" s="301">
        <f t="shared" si="45"/>
        <v>740.67</v>
      </c>
      <c r="X26" s="279">
        <f t="shared" si="46"/>
        <v>0</v>
      </c>
      <c r="Y26" s="279">
        <f t="shared" si="47"/>
        <v>740.67</v>
      </c>
      <c r="Z26" s="280">
        <v>1000</v>
      </c>
      <c r="AA26" s="279">
        <f t="shared" si="48"/>
        <v>1740.67</v>
      </c>
      <c r="AB26" s="279">
        <f t="shared" si="49"/>
        <v>5518.33</v>
      </c>
      <c r="AC26" s="281"/>
      <c r="AD26" s="337"/>
      <c r="AI26" s="284"/>
    </row>
    <row r="27" spans="1:35" s="91" customFormat="1" ht="16.5" customHeight="1" x14ac:dyDescent="0.35">
      <c r="A27" s="143"/>
      <c r="B27" s="146"/>
      <c r="C27" s="146"/>
      <c r="D27" s="250"/>
      <c r="E27" s="249"/>
      <c r="F27" s="249"/>
      <c r="G27" s="251"/>
      <c r="H27" s="208"/>
      <c r="I27" s="221"/>
      <c r="J27" s="222"/>
      <c r="K27" s="223"/>
      <c r="L27" s="224"/>
      <c r="M27" s="225"/>
      <c r="N27" s="226"/>
      <c r="O27" s="226"/>
      <c r="P27" s="226"/>
      <c r="Q27" s="226"/>
      <c r="R27" s="227"/>
      <c r="S27" s="226"/>
      <c r="T27" s="228"/>
      <c r="U27" s="226"/>
      <c r="V27" s="226"/>
      <c r="W27" s="226"/>
      <c r="X27" s="225"/>
      <c r="Y27" s="225"/>
      <c r="Z27" s="229"/>
      <c r="AA27" s="225"/>
      <c r="AB27" s="225"/>
      <c r="AC27" s="108"/>
      <c r="AI27" s="93"/>
    </row>
    <row r="28" spans="1:35" s="91" customFormat="1" ht="16.5" customHeight="1" x14ac:dyDescent="0.35">
      <c r="A28" s="143"/>
      <c r="B28" s="146"/>
      <c r="C28" s="146"/>
      <c r="D28" s="250"/>
      <c r="E28" s="249"/>
      <c r="F28" s="249"/>
      <c r="G28" s="251"/>
      <c r="H28" s="208"/>
      <c r="I28" s="221"/>
      <c r="J28" s="222"/>
      <c r="K28" s="223"/>
      <c r="L28" s="224"/>
      <c r="M28" s="225"/>
      <c r="N28" s="226"/>
      <c r="O28" s="226"/>
      <c r="P28" s="226"/>
      <c r="Q28" s="226"/>
      <c r="R28" s="227"/>
      <c r="S28" s="226"/>
      <c r="T28" s="228"/>
      <c r="U28" s="226"/>
      <c r="V28" s="226"/>
      <c r="W28" s="226"/>
      <c r="X28" s="225"/>
      <c r="Y28" s="225"/>
      <c r="Z28" s="229"/>
      <c r="AA28" s="225"/>
      <c r="AB28" s="225"/>
      <c r="AC28" s="108"/>
      <c r="AI28" s="93"/>
    </row>
    <row r="29" spans="1:35" s="91" customFormat="1" ht="27.75" customHeight="1" x14ac:dyDescent="0.25">
      <c r="A29" s="143"/>
      <c r="B29" s="452" t="s">
        <v>77</v>
      </c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452"/>
      <c r="AA29" s="452"/>
      <c r="AB29" s="452"/>
      <c r="AC29" s="452"/>
      <c r="AD29" s="452"/>
      <c r="AI29" s="93"/>
    </row>
    <row r="30" spans="1:35" s="91" customFormat="1" ht="27.75" customHeight="1" x14ac:dyDescent="0.25">
      <c r="A30" s="143"/>
      <c r="B30" s="452" t="s">
        <v>64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  <c r="AI30" s="93"/>
    </row>
    <row r="31" spans="1:35" s="91" customFormat="1" ht="27.75" customHeight="1" x14ac:dyDescent="0.3">
      <c r="A31" s="143"/>
      <c r="B31" s="474" t="str">
        <f>PRESIDENCIA!A3</f>
        <v>SUELDO  DEL 01 AL 15 DE MARZO DE 2025</v>
      </c>
      <c r="C31" s="474"/>
      <c r="D31" s="474"/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4"/>
      <c r="T31" s="474"/>
      <c r="U31" s="474"/>
      <c r="V31" s="474"/>
      <c r="W31" s="474"/>
      <c r="X31" s="474"/>
      <c r="Y31" s="474"/>
      <c r="Z31" s="474"/>
      <c r="AA31" s="474"/>
      <c r="AB31" s="474"/>
      <c r="AC31" s="474"/>
      <c r="AI31" s="93"/>
    </row>
    <row r="32" spans="1:35" s="91" customFormat="1" ht="30.75" customHeight="1" x14ac:dyDescent="0.35">
      <c r="A32" s="143"/>
      <c r="B32" s="146"/>
      <c r="C32" s="146"/>
      <c r="D32" s="250"/>
      <c r="E32" s="249"/>
      <c r="F32" s="249"/>
      <c r="G32" s="251"/>
      <c r="H32" s="208"/>
      <c r="I32" s="221"/>
      <c r="J32" s="222"/>
      <c r="K32" s="223"/>
      <c r="L32" s="224"/>
      <c r="M32" s="225"/>
      <c r="N32" s="226"/>
      <c r="O32" s="226"/>
      <c r="P32" s="226"/>
      <c r="Q32" s="226"/>
      <c r="R32" s="227"/>
      <c r="S32" s="226"/>
      <c r="T32" s="228"/>
      <c r="U32" s="226"/>
      <c r="V32" s="226"/>
      <c r="W32" s="226"/>
      <c r="X32" s="225"/>
      <c r="Y32" s="225"/>
      <c r="Z32" s="229"/>
      <c r="AA32" s="225"/>
      <c r="AB32" s="225"/>
      <c r="AC32" s="108"/>
      <c r="AI32" s="93"/>
    </row>
    <row r="33" spans="1:35" s="91" customFormat="1" ht="176.25" customHeight="1" x14ac:dyDescent="0.25">
      <c r="A33" s="143"/>
      <c r="B33" s="270" t="s">
        <v>360</v>
      </c>
      <c r="C33" s="270" t="s">
        <v>118</v>
      </c>
      <c r="D33" s="271" t="s">
        <v>361</v>
      </c>
      <c r="E33" s="272" t="s">
        <v>362</v>
      </c>
      <c r="F33" s="272" t="s">
        <v>363</v>
      </c>
      <c r="G33" s="339">
        <v>45475</v>
      </c>
      <c r="H33" s="274" t="s">
        <v>586</v>
      </c>
      <c r="I33" s="290">
        <v>15</v>
      </c>
      <c r="J33" s="276">
        <f t="shared" ref="J33:J34" si="51">K33/I33</f>
        <v>483.93333333333334</v>
      </c>
      <c r="K33" s="277">
        <v>7259</v>
      </c>
      <c r="L33" s="278">
        <v>0</v>
      </c>
      <c r="M33" s="279">
        <f t="shared" ref="M33:M34" si="52">SUM(K33:L33)</f>
        <v>7259</v>
      </c>
      <c r="N33" s="301">
        <f t="shared" ref="N33:N34" si="53">IF(K33/15&lt;=SMG,0,L33/2)</f>
        <v>0</v>
      </c>
      <c r="O33" s="322">
        <f t="shared" ref="O33:O34" si="54">(K33+N33)/I33*30.4</f>
        <v>14711.573333333332</v>
      </c>
      <c r="P33" s="322">
        <f t="shared" ref="P33:P34" si="55">VLOOKUP(O33,Tarifa,1)</f>
        <v>12935.83</v>
      </c>
      <c r="Q33" s="301">
        <f t="shared" ref="Q33:Q34" si="56">O33-P33</f>
        <v>1775.743333333332</v>
      </c>
      <c r="R33" s="302">
        <f t="shared" ref="R33:R34" si="57">VLOOKUP(O33,Tarifa,3)</f>
        <v>0.1792</v>
      </c>
      <c r="S33" s="301">
        <f t="shared" ref="S33:S34" si="58">Q33*R33</f>
        <v>318.21320533333306</v>
      </c>
      <c r="T33" s="303">
        <f t="shared" ref="T33:T34" si="59">VLOOKUP(O33,Tarifa,2)</f>
        <v>1182.8800000000001</v>
      </c>
      <c r="U33" s="301">
        <f t="shared" ref="U33:U34" si="60">S33+T33</f>
        <v>1501.0932053333331</v>
      </c>
      <c r="V33" s="301">
        <f t="shared" ref="V33:V34" si="61">VLOOKUP(O33,Credito,2)</f>
        <v>0</v>
      </c>
      <c r="W33" s="301">
        <f t="shared" ref="W33:W34" si="62">ROUND((U33-V33)/30.4*I33,2)</f>
        <v>740.67</v>
      </c>
      <c r="X33" s="279">
        <f t="shared" ref="X33:X34" si="63">-IF(W33&gt;0,0,0)</f>
        <v>0</v>
      </c>
      <c r="Y33" s="279">
        <f t="shared" ref="Y33:Y34" si="64">IF(K33/15&lt;=SMG,0,IF(W33&lt;0,0,W33))</f>
        <v>740.67</v>
      </c>
      <c r="Z33" s="280">
        <v>1000</v>
      </c>
      <c r="AA33" s="279">
        <f t="shared" ref="AA33:AA34" si="65">SUM(Y33:Z33)</f>
        <v>1740.67</v>
      </c>
      <c r="AB33" s="279">
        <f>M33+X33-AA33</f>
        <v>5518.33</v>
      </c>
      <c r="AC33" s="281"/>
      <c r="AI33" s="93"/>
    </row>
    <row r="34" spans="1:35" s="91" customFormat="1" ht="176.25" customHeight="1" x14ac:dyDescent="0.25">
      <c r="A34" s="143"/>
      <c r="B34" s="270" t="s">
        <v>647</v>
      </c>
      <c r="C34" s="270" t="s">
        <v>118</v>
      </c>
      <c r="D34" s="271" t="s">
        <v>636</v>
      </c>
      <c r="E34" s="272" t="s">
        <v>637</v>
      </c>
      <c r="F34" s="272" t="s">
        <v>638</v>
      </c>
      <c r="G34" s="339">
        <v>45720</v>
      </c>
      <c r="H34" s="274" t="s">
        <v>639</v>
      </c>
      <c r="I34" s="290">
        <v>15</v>
      </c>
      <c r="J34" s="276">
        <f t="shared" si="51"/>
        <v>483.89266666666668</v>
      </c>
      <c r="K34" s="277">
        <v>7258.39</v>
      </c>
      <c r="L34" s="278">
        <v>2967.45</v>
      </c>
      <c r="M34" s="279">
        <f t="shared" si="52"/>
        <v>10225.84</v>
      </c>
      <c r="N34" s="301">
        <f t="shared" si="53"/>
        <v>1483.7249999999999</v>
      </c>
      <c r="O34" s="322">
        <f t="shared" si="54"/>
        <v>17717.353066666667</v>
      </c>
      <c r="P34" s="322">
        <f t="shared" si="55"/>
        <v>15487.72</v>
      </c>
      <c r="Q34" s="301">
        <f t="shared" si="56"/>
        <v>2229.6330666666672</v>
      </c>
      <c r="R34" s="302">
        <f t="shared" si="57"/>
        <v>0.21360000000000001</v>
      </c>
      <c r="S34" s="301">
        <f t="shared" si="58"/>
        <v>476.24962304000013</v>
      </c>
      <c r="T34" s="303">
        <f t="shared" si="59"/>
        <v>1640.18</v>
      </c>
      <c r="U34" s="301">
        <f t="shared" si="60"/>
        <v>2116.42962304</v>
      </c>
      <c r="V34" s="301">
        <f t="shared" si="61"/>
        <v>0</v>
      </c>
      <c r="W34" s="301">
        <f t="shared" si="62"/>
        <v>1044.29</v>
      </c>
      <c r="X34" s="279">
        <f t="shared" si="63"/>
        <v>0</v>
      </c>
      <c r="Y34" s="279">
        <f t="shared" si="64"/>
        <v>1044.29</v>
      </c>
      <c r="Z34" s="280"/>
      <c r="AA34" s="279">
        <f t="shared" si="65"/>
        <v>1044.29</v>
      </c>
      <c r="AB34" s="279">
        <f t="shared" ref="AB34" si="66">M34+X34-AA34</f>
        <v>9181.5499999999993</v>
      </c>
      <c r="AC34" s="281"/>
      <c r="AI34" s="93"/>
    </row>
    <row r="35" spans="1:35" s="283" customFormat="1" ht="176.25" customHeight="1" x14ac:dyDescent="0.2">
      <c r="A35" s="268"/>
      <c r="B35" s="270" t="s">
        <v>485</v>
      </c>
      <c r="C35" s="270" t="s">
        <v>118</v>
      </c>
      <c r="D35" s="271" t="s">
        <v>486</v>
      </c>
      <c r="E35" s="272" t="s">
        <v>487</v>
      </c>
      <c r="F35" s="272" t="s">
        <v>488</v>
      </c>
      <c r="G35" s="339">
        <v>45566</v>
      </c>
      <c r="H35" s="274" t="s">
        <v>588</v>
      </c>
      <c r="I35" s="290">
        <v>15</v>
      </c>
      <c r="J35" s="276">
        <f t="shared" ref="J35:J37" si="67">K35/I35</f>
        <v>455.06666666666666</v>
      </c>
      <c r="K35" s="277">
        <v>6826</v>
      </c>
      <c r="L35" s="278">
        <v>0</v>
      </c>
      <c r="M35" s="279">
        <f t="shared" ref="M35:M37" si="68">SUM(K35:L35)</f>
        <v>6826</v>
      </c>
      <c r="N35" s="301">
        <f t="shared" ref="N35:N37" si="69">IF(K35/15&lt;=SMG,0,L35/2)</f>
        <v>0</v>
      </c>
      <c r="O35" s="322">
        <f t="shared" ref="O35:O37" si="70">(K35+N35)/I35*30.4</f>
        <v>13834.026666666667</v>
      </c>
      <c r="P35" s="322">
        <f t="shared" ref="P35:P37" si="71">VLOOKUP(O35,Tarifa,1)</f>
        <v>12935.83</v>
      </c>
      <c r="Q35" s="301">
        <f t="shared" ref="Q35:Q37" si="72">O35-P35</f>
        <v>898.19666666666672</v>
      </c>
      <c r="R35" s="302">
        <f t="shared" ref="R35:R37" si="73">VLOOKUP(O35,Tarifa,3)</f>
        <v>0.1792</v>
      </c>
      <c r="S35" s="301">
        <f t="shared" ref="S35:S37" si="74">Q35*R35</f>
        <v>160.95684266666666</v>
      </c>
      <c r="T35" s="303">
        <f t="shared" ref="T35:T37" si="75">VLOOKUP(O35,Tarifa,2)</f>
        <v>1182.8800000000001</v>
      </c>
      <c r="U35" s="301">
        <f t="shared" ref="U35:U37" si="76">S35+T35</f>
        <v>1343.8368426666668</v>
      </c>
      <c r="V35" s="301">
        <f t="shared" ref="V35:V37" si="77">VLOOKUP(O35,Credito,2)</f>
        <v>0</v>
      </c>
      <c r="W35" s="301">
        <f t="shared" ref="W35:W37" si="78">ROUND((U35-V35)/30.4*I35,2)</f>
        <v>663.08</v>
      </c>
      <c r="X35" s="279">
        <f t="shared" ref="X35:X38" si="79">-IF(W35&gt;0,0,0)</f>
        <v>0</v>
      </c>
      <c r="Y35" s="279">
        <f t="shared" ref="Y35:Y38" si="80">IF(K35/15&lt;=SMG,0,IF(W35&lt;0,0,W35))</f>
        <v>663.08</v>
      </c>
      <c r="Z35" s="280">
        <v>0</v>
      </c>
      <c r="AA35" s="279">
        <f t="shared" ref="AA35:AA38" si="81">SUM(Y35:Z35)</f>
        <v>663.08</v>
      </c>
      <c r="AB35" s="279">
        <f t="shared" ref="AB35:AB37" si="82">M35+X35-AA35</f>
        <v>6162.92</v>
      </c>
      <c r="AC35" s="281"/>
      <c r="AI35" s="284"/>
    </row>
    <row r="36" spans="1:35" s="283" customFormat="1" ht="176.25" customHeight="1" x14ac:dyDescent="0.2">
      <c r="A36" s="268"/>
      <c r="B36" s="292" t="s">
        <v>416</v>
      </c>
      <c r="C36" s="286" t="s">
        <v>118</v>
      </c>
      <c r="D36" s="271" t="s">
        <v>417</v>
      </c>
      <c r="E36" s="272" t="s">
        <v>418</v>
      </c>
      <c r="F36" s="272" t="s">
        <v>419</v>
      </c>
      <c r="G36" s="273">
        <v>45459</v>
      </c>
      <c r="H36" s="274" t="s">
        <v>589</v>
      </c>
      <c r="I36" s="290">
        <v>15</v>
      </c>
      <c r="J36" s="276">
        <f t="shared" si="67"/>
        <v>373.2</v>
      </c>
      <c r="K36" s="277">
        <v>5598</v>
      </c>
      <c r="L36" s="278">
        <v>806.52</v>
      </c>
      <c r="M36" s="279">
        <f t="shared" si="68"/>
        <v>6404.52</v>
      </c>
      <c r="N36" s="301">
        <f t="shared" si="69"/>
        <v>403.26</v>
      </c>
      <c r="O36" s="322">
        <f t="shared" si="70"/>
        <v>12162.553599999999</v>
      </c>
      <c r="P36" s="322">
        <f t="shared" si="71"/>
        <v>11128.02</v>
      </c>
      <c r="Q36" s="301">
        <f t="shared" si="72"/>
        <v>1034.5335999999988</v>
      </c>
      <c r="R36" s="302">
        <f t="shared" si="73"/>
        <v>0.16</v>
      </c>
      <c r="S36" s="301">
        <f t="shared" si="74"/>
        <v>165.52537599999982</v>
      </c>
      <c r="T36" s="303">
        <f t="shared" si="75"/>
        <v>893.63</v>
      </c>
      <c r="U36" s="301">
        <f t="shared" si="76"/>
        <v>1059.1553759999997</v>
      </c>
      <c r="V36" s="301">
        <f t="shared" si="77"/>
        <v>0</v>
      </c>
      <c r="W36" s="301">
        <f t="shared" si="78"/>
        <v>522.61</v>
      </c>
      <c r="X36" s="279">
        <f t="shared" si="79"/>
        <v>0</v>
      </c>
      <c r="Y36" s="279">
        <f t="shared" si="80"/>
        <v>522.61</v>
      </c>
      <c r="Z36" s="280">
        <v>0</v>
      </c>
      <c r="AA36" s="279">
        <f t="shared" si="81"/>
        <v>522.61</v>
      </c>
      <c r="AB36" s="279">
        <f t="shared" si="82"/>
        <v>5881.9100000000008</v>
      </c>
      <c r="AC36" s="281"/>
      <c r="AI36" s="284"/>
    </row>
    <row r="37" spans="1:35" s="283" customFormat="1" ht="176.25" customHeight="1" x14ac:dyDescent="0.2">
      <c r="A37" s="268"/>
      <c r="B37" s="286" t="s">
        <v>420</v>
      </c>
      <c r="C37" s="286" t="s">
        <v>118</v>
      </c>
      <c r="D37" s="267" t="s">
        <v>421</v>
      </c>
      <c r="E37" s="135" t="s">
        <v>423</v>
      </c>
      <c r="F37" s="135" t="s">
        <v>424</v>
      </c>
      <c r="G37" s="161">
        <v>45459</v>
      </c>
      <c r="H37" s="274" t="s">
        <v>589</v>
      </c>
      <c r="I37" s="290">
        <v>15</v>
      </c>
      <c r="J37" s="276">
        <f t="shared" si="67"/>
        <v>373.2</v>
      </c>
      <c r="K37" s="277">
        <v>5598</v>
      </c>
      <c r="L37" s="278">
        <v>0</v>
      </c>
      <c r="M37" s="279">
        <f t="shared" si="68"/>
        <v>5598</v>
      </c>
      <c r="N37" s="301">
        <f t="shared" si="69"/>
        <v>0</v>
      </c>
      <c r="O37" s="322">
        <f t="shared" si="70"/>
        <v>11345.279999999999</v>
      </c>
      <c r="P37" s="322">
        <f t="shared" si="71"/>
        <v>11128.02</v>
      </c>
      <c r="Q37" s="301">
        <f t="shared" si="72"/>
        <v>217.2599999999984</v>
      </c>
      <c r="R37" s="302">
        <f t="shared" si="73"/>
        <v>0.16</v>
      </c>
      <c r="S37" s="301">
        <f t="shared" si="74"/>
        <v>34.761599999999746</v>
      </c>
      <c r="T37" s="303">
        <f t="shared" si="75"/>
        <v>893.63</v>
      </c>
      <c r="U37" s="301">
        <f t="shared" si="76"/>
        <v>928.3915999999997</v>
      </c>
      <c r="V37" s="301">
        <f t="shared" si="77"/>
        <v>0</v>
      </c>
      <c r="W37" s="301">
        <f t="shared" si="78"/>
        <v>458.09</v>
      </c>
      <c r="X37" s="279">
        <f t="shared" si="79"/>
        <v>0</v>
      </c>
      <c r="Y37" s="279">
        <f t="shared" si="80"/>
        <v>458.09</v>
      </c>
      <c r="Z37" s="280">
        <v>342.66</v>
      </c>
      <c r="AA37" s="279">
        <f t="shared" si="81"/>
        <v>800.75</v>
      </c>
      <c r="AB37" s="279">
        <f t="shared" si="82"/>
        <v>4797.25</v>
      </c>
      <c r="AC37" s="291"/>
      <c r="AI37" s="284"/>
    </row>
    <row r="38" spans="1:35" s="283" customFormat="1" ht="176.25" customHeight="1" x14ac:dyDescent="0.2">
      <c r="A38" s="268"/>
      <c r="B38" s="270" t="s">
        <v>273</v>
      </c>
      <c r="C38" s="270" t="s">
        <v>118</v>
      </c>
      <c r="D38" s="336" t="s">
        <v>271</v>
      </c>
      <c r="E38" s="134" t="s">
        <v>269</v>
      </c>
      <c r="F38" s="134" t="s">
        <v>270</v>
      </c>
      <c r="G38" s="273">
        <v>44728</v>
      </c>
      <c r="H38" s="274" t="s">
        <v>272</v>
      </c>
      <c r="I38" s="290">
        <v>15</v>
      </c>
      <c r="J38" s="276">
        <f>K38/I38</f>
        <v>442.26666666666665</v>
      </c>
      <c r="K38" s="277">
        <v>6634</v>
      </c>
      <c r="L38" s="278">
        <v>0</v>
      </c>
      <c r="M38" s="277">
        <f>K38</f>
        <v>6634</v>
      </c>
      <c r="N38" s="301">
        <f>IF(K38/15&lt;=SMG,0,L38/2)</f>
        <v>0</v>
      </c>
      <c r="O38" s="322">
        <f>(K38+N38)/I38*30.4</f>
        <v>13444.906666666666</v>
      </c>
      <c r="P38" s="322">
        <f>VLOOKUP(O38,Tarifa,1)</f>
        <v>12935.83</v>
      </c>
      <c r="Q38" s="301">
        <f>O38-P38</f>
        <v>509.07666666666591</v>
      </c>
      <c r="R38" s="302">
        <f>VLOOKUP(O38,Tarifa,3)</f>
        <v>0.1792</v>
      </c>
      <c r="S38" s="301">
        <f>Q38*R38</f>
        <v>91.226538666666528</v>
      </c>
      <c r="T38" s="303">
        <f>VLOOKUP(O38,Tarifa,2)</f>
        <v>1182.8800000000001</v>
      </c>
      <c r="U38" s="301">
        <f>S38+T38</f>
        <v>1274.1065386666667</v>
      </c>
      <c r="V38" s="301">
        <f>VLOOKUP(O38,Credito,2)</f>
        <v>0</v>
      </c>
      <c r="W38" s="301">
        <f>ROUND((U38-V38)/30.4*I38,2)</f>
        <v>628.66999999999996</v>
      </c>
      <c r="X38" s="279">
        <f t="shared" si="79"/>
        <v>0</v>
      </c>
      <c r="Y38" s="279">
        <f t="shared" si="80"/>
        <v>628.66999999999996</v>
      </c>
      <c r="Z38" s="280">
        <v>0</v>
      </c>
      <c r="AA38" s="279">
        <f t="shared" si="81"/>
        <v>628.66999999999996</v>
      </c>
      <c r="AB38" s="279">
        <f>M38+X38-AA38+L38</f>
        <v>6005.33</v>
      </c>
      <c r="AC38" s="288"/>
      <c r="AI38" s="284"/>
    </row>
    <row r="39" spans="1:35" s="283" customFormat="1" ht="176.25" customHeight="1" x14ac:dyDescent="0.2">
      <c r="A39" s="268"/>
      <c r="B39" s="286" t="s">
        <v>311</v>
      </c>
      <c r="C39" s="286" t="s">
        <v>118</v>
      </c>
      <c r="D39" s="293" t="s">
        <v>312</v>
      </c>
      <c r="E39" s="294" t="s">
        <v>313</v>
      </c>
      <c r="F39" s="294" t="s">
        <v>314</v>
      </c>
      <c r="G39" s="340">
        <v>45078</v>
      </c>
      <c r="H39" s="274" t="s">
        <v>592</v>
      </c>
      <c r="I39" s="290">
        <v>15</v>
      </c>
      <c r="J39" s="276">
        <f>K39/I39</f>
        <v>317.46666666666664</v>
      </c>
      <c r="K39" s="277">
        <v>4762</v>
      </c>
      <c r="L39" s="278">
        <v>0</v>
      </c>
      <c r="M39" s="279">
        <f t="shared" ref="M39" si="83">SUM(K39:L39)</f>
        <v>4762</v>
      </c>
      <c r="N39" s="301">
        <f>IF(K39/15&lt;=SMG,0,L39/2)</f>
        <v>0</v>
      </c>
      <c r="O39" s="322">
        <f>(K39+N39)/I39*30.4</f>
        <v>9650.9866666666658</v>
      </c>
      <c r="P39" s="322">
        <f>VLOOKUP(O39,Tarifa,1)</f>
        <v>6332.06</v>
      </c>
      <c r="Q39" s="301">
        <f>O39-P39</f>
        <v>3318.9266666666654</v>
      </c>
      <c r="R39" s="302">
        <f>VLOOKUP(O39,Tarifa,3)</f>
        <v>0.10879999999999999</v>
      </c>
      <c r="S39" s="301">
        <f>Q39*R39</f>
        <v>361.09922133333316</v>
      </c>
      <c r="T39" s="303">
        <f>VLOOKUP(O39,Tarifa,2)</f>
        <v>371.83</v>
      </c>
      <c r="U39" s="301">
        <f>S39+T39</f>
        <v>732.92922133333309</v>
      </c>
      <c r="V39" s="301">
        <f>VLOOKUP(O39,Credito,2)</f>
        <v>475</v>
      </c>
      <c r="W39" s="301">
        <f>ROUND((U39-V39)/30.4*I39,2)</f>
        <v>127.27</v>
      </c>
      <c r="X39" s="279">
        <f>-IF(W39&gt;0,0,0)</f>
        <v>0</v>
      </c>
      <c r="Y39" s="279">
        <f>IF(K39/15&lt;=SMG,0,IF(W39&lt;0,0,W39))</f>
        <v>127.27</v>
      </c>
      <c r="Z39" s="280">
        <v>0</v>
      </c>
      <c r="AA39" s="279">
        <f>SUM(Y39:Z39)</f>
        <v>127.27</v>
      </c>
      <c r="AB39" s="279">
        <f>M39+X39-AA39</f>
        <v>4634.7299999999996</v>
      </c>
      <c r="AC39" s="288"/>
      <c r="AI39" s="284"/>
    </row>
    <row r="40" spans="1:35" s="52" customFormat="1" ht="39" customHeight="1" thickBot="1" x14ac:dyDescent="0.35">
      <c r="A40" s="449" t="s">
        <v>44</v>
      </c>
      <c r="B40" s="450"/>
      <c r="C40" s="450"/>
      <c r="D40" s="450"/>
      <c r="E40" s="450"/>
      <c r="F40" s="450"/>
      <c r="G40" s="450"/>
      <c r="H40" s="450"/>
      <c r="I40" s="450"/>
      <c r="J40" s="451"/>
      <c r="K40" s="210">
        <f t="shared" ref="K40:AB40" si="84">SUM(K9:K39)</f>
        <v>148226.06</v>
      </c>
      <c r="L40" s="210">
        <f t="shared" si="84"/>
        <v>7355.0599999999995</v>
      </c>
      <c r="M40" s="210">
        <f t="shared" si="84"/>
        <v>155581.12</v>
      </c>
      <c r="N40" s="211">
        <f t="shared" si="84"/>
        <v>3677.5299999999997</v>
      </c>
      <c r="O40" s="211">
        <f t="shared" si="84"/>
        <v>307857.9424</v>
      </c>
      <c r="P40" s="211">
        <f t="shared" si="84"/>
        <v>250116.80999999994</v>
      </c>
      <c r="Q40" s="211">
        <f t="shared" si="84"/>
        <v>57741.132399999995</v>
      </c>
      <c r="R40" s="211">
        <f t="shared" si="84"/>
        <v>3.5159999999999996</v>
      </c>
      <c r="S40" s="211">
        <f t="shared" si="84"/>
        <v>11384.300285013331</v>
      </c>
      <c r="T40" s="211">
        <f t="shared" si="84"/>
        <v>24100.570000000007</v>
      </c>
      <c r="U40" s="211">
        <f t="shared" si="84"/>
        <v>35484.870285013334</v>
      </c>
      <c r="V40" s="211">
        <f t="shared" si="84"/>
        <v>950</v>
      </c>
      <c r="W40" s="211">
        <f t="shared" si="84"/>
        <v>17040.249999999996</v>
      </c>
      <c r="X40" s="210">
        <f t="shared" si="84"/>
        <v>0</v>
      </c>
      <c r="Y40" s="210">
        <f t="shared" si="84"/>
        <v>17040.249999999996</v>
      </c>
      <c r="Z40" s="210">
        <f t="shared" si="84"/>
        <v>2743.0099999999998</v>
      </c>
      <c r="AA40" s="210">
        <f t="shared" si="84"/>
        <v>19783.259999999998</v>
      </c>
      <c r="AB40" s="210">
        <f t="shared" si="84"/>
        <v>135797.86000000002</v>
      </c>
      <c r="AC40" s="108"/>
    </row>
    <row r="41" spans="1:35" s="52" customFormat="1" ht="26.25" customHeight="1" thickTop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4.7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14.25" x14ac:dyDescent="0.2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35" s="52" customFormat="1" ht="18" x14ac:dyDescent="0.25">
      <c r="B46" s="91"/>
      <c r="C46" s="91"/>
      <c r="D46" s="216" t="s">
        <v>530</v>
      </c>
      <c r="E46" s="216"/>
      <c r="F46" s="216"/>
      <c r="G46" s="216"/>
      <c r="H46" s="216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216" t="s">
        <v>147</v>
      </c>
      <c r="Z46" s="108"/>
      <c r="AA46" s="108"/>
      <c r="AB46" s="108"/>
    </row>
    <row r="47" spans="1:35" s="52" customFormat="1" ht="18" x14ac:dyDescent="0.25">
      <c r="B47" s="91"/>
      <c r="C47" s="91"/>
      <c r="D47" s="216" t="s">
        <v>552</v>
      </c>
      <c r="E47" s="216"/>
      <c r="F47" s="216"/>
      <c r="G47" s="216"/>
      <c r="H47" s="216"/>
      <c r="I47" s="216"/>
      <c r="J47" s="216"/>
      <c r="K47" s="216"/>
      <c r="L47" s="216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216" t="s">
        <v>219</v>
      </c>
      <c r="Z47" s="108"/>
      <c r="AA47" s="216"/>
      <c r="AB47" s="216"/>
      <c r="AC47" s="61"/>
    </row>
    <row r="48" spans="1:35" s="52" customFormat="1" ht="14.25" x14ac:dyDescent="0.2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</sheetData>
  <mergeCells count="14">
    <mergeCell ref="A1:AC1"/>
    <mergeCell ref="A2:AC2"/>
    <mergeCell ref="A3:AC3"/>
    <mergeCell ref="K5:M5"/>
    <mergeCell ref="P5:U5"/>
    <mergeCell ref="Y5:AA5"/>
    <mergeCell ref="B18:AD18"/>
    <mergeCell ref="B19:AC19"/>
    <mergeCell ref="B31:AC31"/>
    <mergeCell ref="A40:J40"/>
    <mergeCell ref="C5:C7"/>
    <mergeCell ref="B29:AD29"/>
    <mergeCell ref="B30:AD30"/>
    <mergeCell ref="B17:AD1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6:E26 D38:F39 D24:G25 G26 D37:G37 D32:G32 D33:F36 D27:G28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8"/>
  <sheetViews>
    <sheetView topLeftCell="B37" zoomScale="69" zoomScaleNormal="69" workbookViewId="0">
      <selection activeCell="D59" sqref="D59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30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30" ht="19.5" x14ac:dyDescent="0.25">
      <c r="A3" s="453" t="str">
        <f>PRESIDENCIA!A3</f>
        <v>SUELDO  DEL 01 AL 15 DE MARZO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8" t="s">
        <v>1</v>
      </c>
      <c r="L5" s="479"/>
      <c r="M5" s="480"/>
      <c r="N5" s="50" t="s">
        <v>25</v>
      </c>
      <c r="O5" s="51"/>
      <c r="P5" s="481" t="s">
        <v>8</v>
      </c>
      <c r="Q5" s="482"/>
      <c r="R5" s="482"/>
      <c r="S5" s="482"/>
      <c r="T5" s="482"/>
      <c r="U5" s="483"/>
      <c r="V5" s="50" t="s">
        <v>29</v>
      </c>
      <c r="W5" s="50" t="s">
        <v>9</v>
      </c>
      <c r="X5" s="49" t="s">
        <v>52</v>
      </c>
      <c r="Y5" s="484" t="s">
        <v>2</v>
      </c>
      <c r="Z5" s="485"/>
      <c r="AA5" s="486"/>
      <c r="AB5" s="49" t="s">
        <v>0</v>
      </c>
      <c r="AC5" s="48"/>
    </row>
    <row r="6" spans="1:30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281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229</v>
      </c>
      <c r="G8" s="148" t="s">
        <v>291</v>
      </c>
      <c r="H8" s="180" t="s">
        <v>61</v>
      </c>
      <c r="I8" s="180"/>
      <c r="J8" s="180"/>
      <c r="K8" s="181">
        <f>SUM(K9:K25)</f>
        <v>56286</v>
      </c>
      <c r="L8" s="181">
        <f>SUM(L9:L25)</f>
        <v>806.52</v>
      </c>
      <c r="M8" s="181">
        <f>SUM(M9:M25)</f>
        <v>57092.520000000004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3491.7500000000005</v>
      </c>
      <c r="Z8" s="181">
        <f>SUM(Z9:Z25)</f>
        <v>0</v>
      </c>
      <c r="AA8" s="181">
        <f>SUM(AA9:AA25)</f>
        <v>3491.7500000000005</v>
      </c>
      <c r="AB8" s="181">
        <f>SUM(AB9:AB25)</f>
        <v>53600.770000000004</v>
      </c>
      <c r="AC8" s="96"/>
    </row>
    <row r="9" spans="1:30" s="343" customFormat="1" ht="221.25" customHeight="1" x14ac:dyDescent="0.2">
      <c r="A9" s="341"/>
      <c r="B9" s="286" t="s">
        <v>172</v>
      </c>
      <c r="C9" s="286" t="s">
        <v>118</v>
      </c>
      <c r="D9" s="271" t="s">
        <v>168</v>
      </c>
      <c r="E9" s="272" t="s">
        <v>171</v>
      </c>
      <c r="F9" s="272" t="s">
        <v>249</v>
      </c>
      <c r="G9" s="273">
        <v>43512</v>
      </c>
      <c r="H9" s="274" t="s">
        <v>167</v>
      </c>
      <c r="I9" s="275">
        <v>15</v>
      </c>
      <c r="J9" s="276">
        <f>K9/I9</f>
        <v>362.33333333333331</v>
      </c>
      <c r="K9" s="277">
        <v>5435</v>
      </c>
      <c r="L9" s="278">
        <v>0</v>
      </c>
      <c r="M9" s="279">
        <f>SUM(K9:L9)</f>
        <v>5435</v>
      </c>
      <c r="N9" s="301">
        <f>IF(K9/15&lt;=SMG,0,L9/2)</f>
        <v>0</v>
      </c>
      <c r="O9" s="322">
        <f>(K9+N9)/I9*30.4</f>
        <v>11014.933333333332</v>
      </c>
      <c r="P9" s="322">
        <f>VLOOKUP(O9,Tarifa,1)</f>
        <v>6332.06</v>
      </c>
      <c r="Q9" s="301">
        <f>O9-P9</f>
        <v>4682.8733333333321</v>
      </c>
      <c r="R9" s="302">
        <f>VLOOKUP(O9,Tarifa,3)</f>
        <v>0.10879999999999999</v>
      </c>
      <c r="S9" s="301">
        <f>Q9*R9</f>
        <v>509.49661866666651</v>
      </c>
      <c r="T9" s="303">
        <f>VLOOKUP(O9,Tarifa,2)</f>
        <v>371.83</v>
      </c>
      <c r="U9" s="301">
        <f>S9+T9</f>
        <v>881.32661866666649</v>
      </c>
      <c r="V9" s="301">
        <f>VLOOKUP(O9,Credito,2)</f>
        <v>0</v>
      </c>
      <c r="W9" s="301">
        <f>ROUND((U9-V9)/30.4*I9,2)</f>
        <v>434.87</v>
      </c>
      <c r="X9" s="279">
        <f>-IF(W9&gt;0,0,0)</f>
        <v>0</v>
      </c>
      <c r="Y9" s="279">
        <f>IF(K9/15&lt;=SMG,0,IF(W9&lt;0,0,W9))</f>
        <v>434.87</v>
      </c>
      <c r="Z9" s="280">
        <v>0</v>
      </c>
      <c r="AA9" s="279">
        <f>SUM(Y9:Z9)</f>
        <v>434.87</v>
      </c>
      <c r="AB9" s="279">
        <f>M9+X9-AA9</f>
        <v>5000.13</v>
      </c>
      <c r="AC9" s="342"/>
    </row>
    <row r="10" spans="1:30" s="343" customFormat="1" ht="221.25" customHeight="1" x14ac:dyDescent="0.2">
      <c r="A10" s="341"/>
      <c r="B10" s="286" t="s">
        <v>274</v>
      </c>
      <c r="C10" s="286" t="s">
        <v>118</v>
      </c>
      <c r="D10" s="271" t="s">
        <v>277</v>
      </c>
      <c r="E10" s="281" t="s">
        <v>278</v>
      </c>
      <c r="F10" s="281" t="s">
        <v>279</v>
      </c>
      <c r="G10" s="332">
        <v>44743</v>
      </c>
      <c r="H10" s="274" t="s">
        <v>167</v>
      </c>
      <c r="I10" s="275">
        <v>15</v>
      </c>
      <c r="J10" s="276">
        <f>K10/I10</f>
        <v>362.33333333333331</v>
      </c>
      <c r="K10" s="277">
        <v>5435</v>
      </c>
      <c r="L10" s="278">
        <v>0</v>
      </c>
      <c r="M10" s="279">
        <f>SUM(K10:L10)</f>
        <v>5435</v>
      </c>
      <c r="N10" s="301">
        <f>IF(K10/15&lt;=SMG,0,L10/2)</f>
        <v>0</v>
      </c>
      <c r="O10" s="322">
        <f>(K10+N10)/I10*30.4</f>
        <v>11014.933333333332</v>
      </c>
      <c r="P10" s="322">
        <f>VLOOKUP(O10,Tarifa,1)</f>
        <v>6332.06</v>
      </c>
      <c r="Q10" s="301">
        <f>O10-P10</f>
        <v>4682.8733333333321</v>
      </c>
      <c r="R10" s="302">
        <f>VLOOKUP(O10,Tarifa,3)</f>
        <v>0.10879999999999999</v>
      </c>
      <c r="S10" s="301">
        <f>Q10*R10</f>
        <v>509.49661866666651</v>
      </c>
      <c r="T10" s="303">
        <f>VLOOKUP(O10,Tarifa,2)</f>
        <v>371.83</v>
      </c>
      <c r="U10" s="301">
        <f>S10+T10</f>
        <v>881.32661866666649</v>
      </c>
      <c r="V10" s="301">
        <f>VLOOKUP(O10,Credito,2)</f>
        <v>0</v>
      </c>
      <c r="W10" s="301">
        <f>ROUND((U10-V10)/30.4*I10,2)</f>
        <v>434.87</v>
      </c>
      <c r="X10" s="279">
        <f t="shared" ref="X10" si="0">-IF(W10&gt;0,0,0)</f>
        <v>0</v>
      </c>
      <c r="Y10" s="279">
        <f>IF(K10/15&lt;=SMG,0,IF(W10&lt;0,0,W10))</f>
        <v>434.87</v>
      </c>
      <c r="Z10" s="280">
        <v>0</v>
      </c>
      <c r="AA10" s="279">
        <f>SUM(Y10:Z10)</f>
        <v>434.87</v>
      </c>
      <c r="AB10" s="279">
        <f>M10+X10-AA10</f>
        <v>5000.13</v>
      </c>
      <c r="AC10" s="342"/>
    </row>
    <row r="11" spans="1:30" s="343" customFormat="1" ht="221.25" customHeight="1" x14ac:dyDescent="0.2">
      <c r="A11" s="341"/>
      <c r="B11" s="286" t="s">
        <v>100</v>
      </c>
      <c r="C11" s="286" t="s">
        <v>118</v>
      </c>
      <c r="D11" s="271" t="s">
        <v>70</v>
      </c>
      <c r="E11" s="272" t="s">
        <v>102</v>
      </c>
      <c r="F11" s="272" t="s">
        <v>233</v>
      </c>
      <c r="G11" s="273">
        <v>39448</v>
      </c>
      <c r="H11" s="274" t="s">
        <v>590</v>
      </c>
      <c r="I11" s="275">
        <v>15</v>
      </c>
      <c r="J11" s="276">
        <f>K11/I11</f>
        <v>362.33333333333331</v>
      </c>
      <c r="K11" s="277">
        <v>5435</v>
      </c>
      <c r="L11" s="278">
        <v>0</v>
      </c>
      <c r="M11" s="279">
        <f>SUM(K11:L11)</f>
        <v>5435</v>
      </c>
      <c r="N11" s="301">
        <f>IF(K11/15&lt;=SMG,0,L11/2)</f>
        <v>0</v>
      </c>
      <c r="O11" s="322">
        <f>(K11+N11)/I11*30.4</f>
        <v>11014.933333333332</v>
      </c>
      <c r="P11" s="322">
        <f>VLOOKUP(O11,Tarifa,1)</f>
        <v>6332.06</v>
      </c>
      <c r="Q11" s="301">
        <f>O11-P11</f>
        <v>4682.8733333333321</v>
      </c>
      <c r="R11" s="302">
        <f>VLOOKUP(O11,Tarifa,3)</f>
        <v>0.10879999999999999</v>
      </c>
      <c r="S11" s="301">
        <f>Q11*R11</f>
        <v>509.49661866666651</v>
      </c>
      <c r="T11" s="303">
        <f>VLOOKUP(O11,Tarifa,2)</f>
        <v>371.83</v>
      </c>
      <c r="U11" s="301">
        <f>S11+T11</f>
        <v>881.32661866666649</v>
      </c>
      <c r="V11" s="301">
        <f>VLOOKUP(O11,Credito,2)</f>
        <v>0</v>
      </c>
      <c r="W11" s="301">
        <f>ROUND((U11-V11)/30.4*I11,2)</f>
        <v>434.87</v>
      </c>
      <c r="X11" s="279">
        <f t="shared" ref="X11:X35" si="1">-IF(W11&gt;0,0,0)</f>
        <v>0</v>
      </c>
      <c r="Y11" s="279">
        <f>IF(K11/15&lt;=SMG,0,IF(W11&lt;0,0,W11))</f>
        <v>434.87</v>
      </c>
      <c r="Z11" s="280">
        <v>0</v>
      </c>
      <c r="AA11" s="279">
        <f>SUM(Y11:Z11)</f>
        <v>434.87</v>
      </c>
      <c r="AB11" s="279">
        <f>M11+X11-AA11</f>
        <v>5000.13</v>
      </c>
      <c r="AC11" s="342"/>
    </row>
    <row r="12" spans="1:30" s="343" customFormat="1" ht="221.25" customHeight="1" x14ac:dyDescent="0.2">
      <c r="A12" s="341"/>
      <c r="B12" s="292" t="s">
        <v>180</v>
      </c>
      <c r="C12" s="286" t="s">
        <v>118</v>
      </c>
      <c r="D12" s="293" t="s">
        <v>178</v>
      </c>
      <c r="E12" s="294" t="s">
        <v>179</v>
      </c>
      <c r="F12" s="294" t="s">
        <v>252</v>
      </c>
      <c r="G12" s="295">
        <v>43617</v>
      </c>
      <c r="H12" s="274" t="s">
        <v>590</v>
      </c>
      <c r="I12" s="275">
        <v>15</v>
      </c>
      <c r="J12" s="276">
        <f>K12/I12</f>
        <v>362.33333333333331</v>
      </c>
      <c r="K12" s="277">
        <v>5435</v>
      </c>
      <c r="L12" s="278">
        <v>0</v>
      </c>
      <c r="M12" s="279">
        <f>SUM(K12:L12)</f>
        <v>5435</v>
      </c>
      <c r="N12" s="301">
        <f>IF(K12/15&lt;=SMG,0,L12/2)</f>
        <v>0</v>
      </c>
      <c r="O12" s="322">
        <f>(K12+N12)/I12*30.4</f>
        <v>11014.933333333332</v>
      </c>
      <c r="P12" s="322">
        <f>VLOOKUP(O12,Tarifa,1)</f>
        <v>6332.06</v>
      </c>
      <c r="Q12" s="301">
        <f>O12-P12</f>
        <v>4682.8733333333321</v>
      </c>
      <c r="R12" s="302">
        <f>VLOOKUP(O12,Tarifa,3)</f>
        <v>0.10879999999999999</v>
      </c>
      <c r="S12" s="301">
        <f>Q12*R12</f>
        <v>509.49661866666651</v>
      </c>
      <c r="T12" s="303">
        <f>VLOOKUP(O12,Tarifa,2)</f>
        <v>371.83</v>
      </c>
      <c r="U12" s="301">
        <f>S12+T12</f>
        <v>881.32661866666649</v>
      </c>
      <c r="V12" s="301">
        <f>VLOOKUP(O12,Credito,2)</f>
        <v>0</v>
      </c>
      <c r="W12" s="301">
        <f>ROUND((U12-V12)/30.4*I12,2)</f>
        <v>434.87</v>
      </c>
      <c r="X12" s="279">
        <f t="shared" ref="X12" si="2">-IF(W12&gt;0,0,0)</f>
        <v>0</v>
      </c>
      <c r="Y12" s="279">
        <f>IF(K12/15&lt;=SMG,0,IF(W12&lt;0,0,W12))</f>
        <v>434.87</v>
      </c>
      <c r="Z12" s="280">
        <v>0</v>
      </c>
      <c r="AA12" s="279">
        <f>SUM(Y12:Z12)</f>
        <v>434.87</v>
      </c>
      <c r="AB12" s="279">
        <f>M12+X12-AA12</f>
        <v>5000.13</v>
      </c>
      <c r="AC12" s="342"/>
    </row>
    <row r="13" spans="1:30" s="343" customFormat="1" ht="221.25" customHeight="1" x14ac:dyDescent="0.2">
      <c r="A13" s="341"/>
      <c r="B13" s="286" t="s">
        <v>130</v>
      </c>
      <c r="C13" s="286" t="s">
        <v>118</v>
      </c>
      <c r="D13" s="293" t="s">
        <v>129</v>
      </c>
      <c r="E13" s="294" t="s">
        <v>131</v>
      </c>
      <c r="F13" s="294" t="s">
        <v>239</v>
      </c>
      <c r="G13" s="340">
        <v>42948</v>
      </c>
      <c r="H13" s="274" t="s">
        <v>591</v>
      </c>
      <c r="I13" s="275">
        <v>15</v>
      </c>
      <c r="J13" s="276">
        <f>K13/I13</f>
        <v>373.2</v>
      </c>
      <c r="K13" s="277">
        <v>5598</v>
      </c>
      <c r="L13" s="278">
        <v>0</v>
      </c>
      <c r="M13" s="279">
        <f>SUM(K13:L13)</f>
        <v>5598</v>
      </c>
      <c r="N13" s="301">
        <f>IF(K13/15&lt;=SMG,0,L13/2)</f>
        <v>0</v>
      </c>
      <c r="O13" s="322">
        <f>(K13+N13)/I13*30.4</f>
        <v>11345.279999999999</v>
      </c>
      <c r="P13" s="322">
        <f>VLOOKUP(O13,Tarifa,1)</f>
        <v>11128.02</v>
      </c>
      <c r="Q13" s="301">
        <f>O13-P13</f>
        <v>217.2599999999984</v>
      </c>
      <c r="R13" s="302">
        <f>VLOOKUP(O13,Tarifa,3)</f>
        <v>0.16</v>
      </c>
      <c r="S13" s="301">
        <f>Q13*R13</f>
        <v>34.761599999999746</v>
      </c>
      <c r="T13" s="303">
        <f>VLOOKUP(O13,Tarifa,2)</f>
        <v>893.63</v>
      </c>
      <c r="U13" s="301">
        <f>S13+T13</f>
        <v>928.3915999999997</v>
      </c>
      <c r="V13" s="301">
        <f>VLOOKUP(O13,Credito,2)</f>
        <v>0</v>
      </c>
      <c r="W13" s="301">
        <f>ROUND((U13-V13)/30.4*I13,2)</f>
        <v>458.09</v>
      </c>
      <c r="X13" s="279">
        <f>-IF(W13&gt;0,0,0)</f>
        <v>0</v>
      </c>
      <c r="Y13" s="279">
        <f>IF(K13/15&lt;=SMG,0,IF(W13&lt;0,0,W13))</f>
        <v>458.09</v>
      </c>
      <c r="Z13" s="280">
        <v>0</v>
      </c>
      <c r="AA13" s="279">
        <f>SUM(Y13:Z13)</f>
        <v>458.09</v>
      </c>
      <c r="AB13" s="279">
        <f>M13+X13-AA13</f>
        <v>5139.91</v>
      </c>
      <c r="AC13" s="342"/>
    </row>
    <row r="14" spans="1:30" s="4" customFormat="1" ht="12.75" customHeight="1" x14ac:dyDescent="0.3">
      <c r="A14" s="206"/>
      <c r="B14" s="217"/>
      <c r="C14" s="217"/>
      <c r="D14" s="218"/>
      <c r="E14" s="219"/>
      <c r="F14" s="219"/>
      <c r="G14" s="220"/>
      <c r="H14" s="208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s="4" customFormat="1" ht="12.75" customHeight="1" x14ac:dyDescent="0.3">
      <c r="A15" s="206"/>
      <c r="B15" s="217"/>
      <c r="C15" s="217"/>
      <c r="D15" s="218"/>
      <c r="E15" s="219"/>
      <c r="F15" s="219"/>
      <c r="G15" s="220"/>
      <c r="H15" s="208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s="4" customFormat="1" ht="27" customHeight="1" x14ac:dyDescent="0.25">
      <c r="A16" s="206"/>
      <c r="B16" s="463" t="s">
        <v>77</v>
      </c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</row>
    <row r="17" spans="1:30" s="4" customFormat="1" ht="27" customHeight="1" x14ac:dyDescent="0.25">
      <c r="A17" s="206"/>
      <c r="B17" s="463" t="s">
        <v>64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</row>
    <row r="18" spans="1:30" s="4" customFormat="1" ht="27" customHeight="1" x14ac:dyDescent="0.3">
      <c r="A18" s="206"/>
      <c r="B18" s="487" t="str">
        <f>PRESIDENCIA!A3</f>
        <v>SUELDO  DEL 01 AL 15 DE MARZO DE 2025</v>
      </c>
      <c r="C18" s="487"/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7"/>
      <c r="O18" s="487"/>
      <c r="P18" s="487"/>
      <c r="Q18" s="487"/>
      <c r="R18" s="487"/>
      <c r="S18" s="487"/>
      <c r="T18" s="487"/>
      <c r="U18" s="487"/>
      <c r="V18" s="487"/>
      <c r="W18" s="487"/>
      <c r="X18" s="487"/>
      <c r="Y18" s="487"/>
      <c r="Z18" s="487"/>
      <c r="AA18" s="487"/>
      <c r="AB18" s="487"/>
      <c r="AC18" s="487"/>
    </row>
    <row r="19" spans="1:30" s="4" customFormat="1" ht="18.75" customHeight="1" x14ac:dyDescent="0.3">
      <c r="A19" s="206"/>
      <c r="B19" s="217"/>
      <c r="C19" s="217"/>
      <c r="D19" s="218"/>
      <c r="E19" s="219"/>
      <c r="F19" s="219"/>
      <c r="G19" s="220"/>
      <c r="H19" s="208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0" s="343" customFormat="1" ht="191.25" customHeight="1" x14ac:dyDescent="0.2">
      <c r="A20" s="344"/>
      <c r="B20" s="345" t="s">
        <v>474</v>
      </c>
      <c r="C20" s="345" t="s">
        <v>118</v>
      </c>
      <c r="D20" s="346" t="s">
        <v>464</v>
      </c>
      <c r="E20" s="347" t="s">
        <v>475</v>
      </c>
      <c r="F20" s="347" t="s">
        <v>476</v>
      </c>
      <c r="G20" s="348">
        <v>45566</v>
      </c>
      <c r="H20" s="349" t="s">
        <v>99</v>
      </c>
      <c r="I20" s="275">
        <v>15</v>
      </c>
      <c r="J20" s="276">
        <f t="shared" ref="J20:J25" si="3">K20/I20</f>
        <v>317.46666666666664</v>
      </c>
      <c r="K20" s="350">
        <v>4762</v>
      </c>
      <c r="L20" s="351">
        <v>0</v>
      </c>
      <c r="M20" s="352">
        <f t="shared" ref="M20" si="4">SUM(K20:L20)</f>
        <v>4762</v>
      </c>
      <c r="N20" s="301">
        <f>IF(K20/15&lt;=SMG,0,L20/2)</f>
        <v>0</v>
      </c>
      <c r="O20" s="322">
        <f>(K20+N20)/I20*30.4</f>
        <v>9650.9866666666658</v>
      </c>
      <c r="P20" s="322">
        <f>VLOOKUP(O20,Tarifa,1)</f>
        <v>6332.06</v>
      </c>
      <c r="Q20" s="301">
        <f>O20-P20</f>
        <v>3318.9266666666654</v>
      </c>
      <c r="R20" s="302">
        <f>VLOOKUP(O20,Tarifa,3)</f>
        <v>0.10879999999999999</v>
      </c>
      <c r="S20" s="301">
        <f>Q20*R20</f>
        <v>361.09922133333316</v>
      </c>
      <c r="T20" s="303">
        <f>VLOOKUP(O20,Tarifa,2)</f>
        <v>371.83</v>
      </c>
      <c r="U20" s="301">
        <f>S20+T20</f>
        <v>732.92922133333309</v>
      </c>
      <c r="V20" s="301">
        <f>VLOOKUP(O20,Credito,2)</f>
        <v>475</v>
      </c>
      <c r="W20" s="301">
        <f>ROUND((U20-V20)/30.4*I20,2)</f>
        <v>127.27</v>
      </c>
      <c r="X20" s="352">
        <f t="shared" ref="X20:X21" si="5">-IF(W20&gt;0,0,0)</f>
        <v>0</v>
      </c>
      <c r="Y20" s="352">
        <f t="shared" ref="Y20:Y21" si="6">IF(K20/15&lt;=SMG,0,IF(W20&lt;0,0,W20))</f>
        <v>127.27</v>
      </c>
      <c r="Z20" s="353">
        <v>0</v>
      </c>
      <c r="AA20" s="352">
        <f t="shared" ref="AA20" si="7">SUM(Y20:Z20)</f>
        <v>127.27</v>
      </c>
      <c r="AB20" s="352">
        <f t="shared" ref="AB20" si="8">M20+X20-AA20</f>
        <v>4634.7299999999996</v>
      </c>
      <c r="AC20" s="354"/>
    </row>
    <row r="21" spans="1:30" s="343" customFormat="1" ht="191.25" customHeight="1" x14ac:dyDescent="0.2">
      <c r="A21" s="344"/>
      <c r="B21" s="286" t="s">
        <v>327</v>
      </c>
      <c r="C21" s="286" t="s">
        <v>118</v>
      </c>
      <c r="D21" s="293" t="s">
        <v>326</v>
      </c>
      <c r="E21" s="294" t="s">
        <v>328</v>
      </c>
      <c r="F21" s="294" t="s">
        <v>329</v>
      </c>
      <c r="G21" s="340">
        <v>45123</v>
      </c>
      <c r="H21" s="274" t="s">
        <v>325</v>
      </c>
      <c r="I21" s="275">
        <v>15</v>
      </c>
      <c r="J21" s="276">
        <f t="shared" si="3"/>
        <v>305.06666666666666</v>
      </c>
      <c r="K21" s="277">
        <v>4576</v>
      </c>
      <c r="L21" s="278">
        <v>0</v>
      </c>
      <c r="M21" s="279">
        <f>SUM(K21:L21)</f>
        <v>4576</v>
      </c>
      <c r="N21" s="301">
        <f>IF(K21/15&lt;=SMG,0,L21/2)</f>
        <v>0</v>
      </c>
      <c r="O21" s="322">
        <f>(K21+N21)/I21*30.4</f>
        <v>9274.0266666666666</v>
      </c>
      <c r="P21" s="322">
        <f>VLOOKUP(O21,Tarifa,1)</f>
        <v>6332.06</v>
      </c>
      <c r="Q21" s="301">
        <f>O21-P21</f>
        <v>2941.9666666666662</v>
      </c>
      <c r="R21" s="302">
        <f>VLOOKUP(O21,Tarifa,3)</f>
        <v>0.10879999999999999</v>
      </c>
      <c r="S21" s="301">
        <f>Q21*R21</f>
        <v>320.08597333333324</v>
      </c>
      <c r="T21" s="303">
        <f>VLOOKUP(O21,Tarifa,2)</f>
        <v>371.83</v>
      </c>
      <c r="U21" s="301">
        <f>S21+T21</f>
        <v>691.91597333333323</v>
      </c>
      <c r="V21" s="301">
        <f>VLOOKUP(O21,Credito,2)</f>
        <v>475</v>
      </c>
      <c r="W21" s="301">
        <f>ROUND((U21-V21)/30.4*I21,2)</f>
        <v>107.03</v>
      </c>
      <c r="X21" s="279">
        <f t="shared" si="5"/>
        <v>0</v>
      </c>
      <c r="Y21" s="279">
        <f t="shared" si="6"/>
        <v>107.03</v>
      </c>
      <c r="Z21" s="280">
        <v>0</v>
      </c>
      <c r="AA21" s="279">
        <f>SUM(Y21:Z21)</f>
        <v>107.03</v>
      </c>
      <c r="AB21" s="279">
        <f>M21+X21-AA21</f>
        <v>4468.97</v>
      </c>
      <c r="AC21" s="354"/>
    </row>
    <row r="22" spans="1:30" s="343" customFormat="1" ht="191.25" customHeight="1" x14ac:dyDescent="0.2">
      <c r="A22" s="341"/>
      <c r="B22" s="286" t="s">
        <v>181</v>
      </c>
      <c r="C22" s="286" t="s">
        <v>118</v>
      </c>
      <c r="D22" s="293" t="s">
        <v>182</v>
      </c>
      <c r="E22" s="294" t="s">
        <v>183</v>
      </c>
      <c r="F22" s="294" t="s">
        <v>253</v>
      </c>
      <c r="G22" s="340">
        <v>43709</v>
      </c>
      <c r="H22" s="274" t="s">
        <v>221</v>
      </c>
      <c r="I22" s="275">
        <v>15</v>
      </c>
      <c r="J22" s="276">
        <f t="shared" si="3"/>
        <v>288</v>
      </c>
      <c r="K22" s="277">
        <v>4320</v>
      </c>
      <c r="L22" s="278">
        <v>0</v>
      </c>
      <c r="M22" s="279">
        <f>SUM(K22:L22)</f>
        <v>4320</v>
      </c>
      <c r="N22" s="301">
        <f>IF(K22/15&lt;=SMG,0,L22/2)</f>
        <v>0</v>
      </c>
      <c r="O22" s="322">
        <f>(K22+N22)/I22*30.4</f>
        <v>8755.1999999999989</v>
      </c>
      <c r="P22" s="322">
        <f>VLOOKUP(O22,Tarifa,1)</f>
        <v>6332.06</v>
      </c>
      <c r="Q22" s="301">
        <f>O22-P22</f>
        <v>2423.1399999999985</v>
      </c>
      <c r="R22" s="302">
        <f>VLOOKUP(O22,Tarifa,3)</f>
        <v>0.10879999999999999</v>
      </c>
      <c r="S22" s="301">
        <f>Q22*R22</f>
        <v>263.63763199999983</v>
      </c>
      <c r="T22" s="303">
        <f>VLOOKUP(O22,Tarifa,2)</f>
        <v>371.83</v>
      </c>
      <c r="U22" s="301">
        <f>S22+T22</f>
        <v>635.46763199999987</v>
      </c>
      <c r="V22" s="301">
        <f>VLOOKUP(O22,Credito,2)</f>
        <v>475</v>
      </c>
      <c r="W22" s="301">
        <f>ROUND((U22-V22)/30.4*I22,2)</f>
        <v>79.180000000000007</v>
      </c>
      <c r="X22" s="279">
        <f t="shared" si="1"/>
        <v>0</v>
      </c>
      <c r="Y22" s="279">
        <f>IF(K22/15&lt;=SMG,0,IF(W22&lt;0,0,W22))</f>
        <v>79.180000000000007</v>
      </c>
      <c r="Z22" s="280">
        <v>0</v>
      </c>
      <c r="AA22" s="279">
        <f>SUM(Y22:Z22)</f>
        <v>79.180000000000007</v>
      </c>
      <c r="AB22" s="279">
        <f>M22+X22-AA22</f>
        <v>4240.82</v>
      </c>
      <c r="AC22" s="342"/>
    </row>
    <row r="23" spans="1:30" s="343" customFormat="1" ht="191.25" customHeight="1" x14ac:dyDescent="0.2">
      <c r="A23" s="341"/>
      <c r="B23" s="292" t="s">
        <v>225</v>
      </c>
      <c r="C23" s="286" t="s">
        <v>118</v>
      </c>
      <c r="D23" s="271" t="s">
        <v>211</v>
      </c>
      <c r="E23" s="272" t="s">
        <v>212</v>
      </c>
      <c r="F23" s="272" t="s">
        <v>238</v>
      </c>
      <c r="G23" s="273">
        <v>44473</v>
      </c>
      <c r="H23" s="274" t="s">
        <v>463</v>
      </c>
      <c r="I23" s="275">
        <v>15</v>
      </c>
      <c r="J23" s="276">
        <f t="shared" si="3"/>
        <v>272.93333333333334</v>
      </c>
      <c r="K23" s="277">
        <v>4094</v>
      </c>
      <c r="L23" s="278">
        <v>0</v>
      </c>
      <c r="M23" s="279">
        <f>SUM(K23:L23)</f>
        <v>4094</v>
      </c>
      <c r="N23" s="301">
        <f>IF(K23/15&lt;=SMG,0,L23/2)</f>
        <v>0</v>
      </c>
      <c r="O23" s="322">
        <f>(K23+N23)/I23*30.4</f>
        <v>8297.1733333333323</v>
      </c>
      <c r="P23" s="322">
        <f>VLOOKUP(O23,Tarifa,1)</f>
        <v>6332.06</v>
      </c>
      <c r="Q23" s="301">
        <f>O23-P23</f>
        <v>1965.1133333333319</v>
      </c>
      <c r="R23" s="302">
        <f>VLOOKUP(O23,Tarifa,3)</f>
        <v>0.10879999999999999</v>
      </c>
      <c r="S23" s="301">
        <f>Q23*R23</f>
        <v>213.80433066666649</v>
      </c>
      <c r="T23" s="303">
        <f>VLOOKUP(O23,Tarifa,2)</f>
        <v>371.83</v>
      </c>
      <c r="U23" s="301">
        <f>S23+T23</f>
        <v>585.63433066666653</v>
      </c>
      <c r="V23" s="301">
        <f>VLOOKUP(O23,Credito,2)</f>
        <v>475</v>
      </c>
      <c r="W23" s="301">
        <f>ROUND((U23-V23)/30.4*I23,2)</f>
        <v>54.59</v>
      </c>
      <c r="X23" s="279">
        <f>-IF(W23&gt;0,0,0)</f>
        <v>0</v>
      </c>
      <c r="Y23" s="279">
        <f t="shared" ref="Y23:Y25" si="9">IF(K23/15&lt;=SMG,0,IF(W23&lt;0,0,W23))</f>
        <v>0</v>
      </c>
      <c r="Z23" s="280">
        <v>0</v>
      </c>
      <c r="AA23" s="279">
        <f>SUM(Y23:Z23)</f>
        <v>0</v>
      </c>
      <c r="AB23" s="279">
        <f>M23+X23-AA23</f>
        <v>4094</v>
      </c>
      <c r="AC23" s="342"/>
    </row>
    <row r="24" spans="1:30" s="343" customFormat="1" ht="191.25" customHeight="1" x14ac:dyDescent="0.2">
      <c r="A24" s="341"/>
      <c r="B24" s="292" t="s">
        <v>602</v>
      </c>
      <c r="C24" s="286" t="s">
        <v>528</v>
      </c>
      <c r="D24" s="271" t="s">
        <v>604</v>
      </c>
      <c r="E24" s="272" t="s">
        <v>605</v>
      </c>
      <c r="F24" s="272" t="s">
        <v>606</v>
      </c>
      <c r="G24" s="273">
        <v>45673</v>
      </c>
      <c r="H24" s="274" t="s">
        <v>422</v>
      </c>
      <c r="I24" s="275">
        <v>15</v>
      </c>
      <c r="J24" s="276">
        <f t="shared" si="3"/>
        <v>373.2</v>
      </c>
      <c r="K24" s="277">
        <v>5598</v>
      </c>
      <c r="L24" s="278">
        <v>806.52</v>
      </c>
      <c r="M24" s="279">
        <f t="shared" ref="M24:M25" si="10">SUM(K24:L24)</f>
        <v>6404.52</v>
      </c>
      <c r="N24" s="301">
        <f t="shared" ref="N24:N25" si="11">IF(K24/15&lt;=SMG,0,L24/2)</f>
        <v>403.26</v>
      </c>
      <c r="O24" s="322">
        <f t="shared" ref="O24:O25" si="12">(K24+N24)/I24*30.4</f>
        <v>12162.553599999999</v>
      </c>
      <c r="P24" s="322">
        <f t="shared" ref="P24:P25" si="13">VLOOKUP(O24,Tarifa,1)</f>
        <v>11128.02</v>
      </c>
      <c r="Q24" s="301">
        <f t="shared" ref="Q24:Q25" si="14">O24-P24</f>
        <v>1034.5335999999988</v>
      </c>
      <c r="R24" s="302">
        <f t="shared" ref="R24:R25" si="15">VLOOKUP(O24,Tarifa,3)</f>
        <v>0.16</v>
      </c>
      <c r="S24" s="301">
        <f t="shared" ref="S24:S25" si="16">Q24*R24</f>
        <v>165.52537599999982</v>
      </c>
      <c r="T24" s="303">
        <f t="shared" ref="T24:T25" si="17">VLOOKUP(O24,Tarifa,2)</f>
        <v>893.63</v>
      </c>
      <c r="U24" s="301">
        <f t="shared" ref="U24:U25" si="18">S24+T24</f>
        <v>1059.1553759999997</v>
      </c>
      <c r="V24" s="301">
        <f t="shared" ref="V24:V25" si="19">VLOOKUP(O24,Credito,2)</f>
        <v>0</v>
      </c>
      <c r="W24" s="301">
        <f t="shared" ref="W24:W25" si="20">ROUND((U24-V24)/30.4*I24,2)</f>
        <v>522.61</v>
      </c>
      <c r="X24" s="279">
        <f t="shared" ref="X24:X25" si="21">-IF(W24&gt;0,0,0)</f>
        <v>0</v>
      </c>
      <c r="Y24" s="279">
        <f t="shared" si="9"/>
        <v>522.61</v>
      </c>
      <c r="Z24" s="280">
        <v>0</v>
      </c>
      <c r="AA24" s="279">
        <f t="shared" ref="AA24:AA25" si="22">SUM(Y24:Z24)</f>
        <v>522.61</v>
      </c>
      <c r="AB24" s="279">
        <f t="shared" ref="AB24:AB25" si="23">M24+X24-AA24</f>
        <v>5881.9100000000008</v>
      </c>
      <c r="AC24" s="342"/>
    </row>
    <row r="25" spans="1:30" s="343" customFormat="1" ht="191.25" customHeight="1" x14ac:dyDescent="0.2">
      <c r="A25" s="341"/>
      <c r="B25" s="292" t="s">
        <v>603</v>
      </c>
      <c r="C25" s="286" t="s">
        <v>528</v>
      </c>
      <c r="D25" s="271" t="s">
        <v>607</v>
      </c>
      <c r="E25" s="272" t="s">
        <v>609</v>
      </c>
      <c r="F25" s="272" t="s">
        <v>608</v>
      </c>
      <c r="G25" s="273">
        <v>45673</v>
      </c>
      <c r="H25" s="274" t="s">
        <v>422</v>
      </c>
      <c r="I25" s="275">
        <v>15</v>
      </c>
      <c r="J25" s="276">
        <f t="shared" si="3"/>
        <v>373.2</v>
      </c>
      <c r="K25" s="277">
        <v>5598</v>
      </c>
      <c r="L25" s="278">
        <v>0</v>
      </c>
      <c r="M25" s="279">
        <f t="shared" si="10"/>
        <v>5598</v>
      </c>
      <c r="N25" s="301">
        <f t="shared" si="11"/>
        <v>0</v>
      </c>
      <c r="O25" s="322">
        <f t="shared" si="12"/>
        <v>11345.279999999999</v>
      </c>
      <c r="P25" s="322">
        <f t="shared" si="13"/>
        <v>11128.02</v>
      </c>
      <c r="Q25" s="301">
        <f t="shared" si="14"/>
        <v>217.2599999999984</v>
      </c>
      <c r="R25" s="302">
        <f t="shared" si="15"/>
        <v>0.16</v>
      </c>
      <c r="S25" s="301">
        <f t="shared" si="16"/>
        <v>34.761599999999746</v>
      </c>
      <c r="T25" s="303">
        <f t="shared" si="17"/>
        <v>893.63</v>
      </c>
      <c r="U25" s="301">
        <f t="shared" si="18"/>
        <v>928.3915999999997</v>
      </c>
      <c r="V25" s="301">
        <f t="shared" si="19"/>
        <v>0</v>
      </c>
      <c r="W25" s="301">
        <f t="shared" si="20"/>
        <v>458.09</v>
      </c>
      <c r="X25" s="279">
        <f t="shared" si="21"/>
        <v>0</v>
      </c>
      <c r="Y25" s="279">
        <f t="shared" si="9"/>
        <v>458.09</v>
      </c>
      <c r="Z25" s="280">
        <v>0</v>
      </c>
      <c r="AA25" s="279">
        <f t="shared" si="22"/>
        <v>458.09</v>
      </c>
      <c r="AB25" s="279">
        <f t="shared" si="23"/>
        <v>5139.91</v>
      </c>
      <c r="AC25" s="342"/>
    </row>
    <row r="26" spans="1:30" s="343" customFormat="1" ht="56.25" customHeight="1" x14ac:dyDescent="0.2">
      <c r="A26" s="437"/>
      <c r="B26" s="424"/>
      <c r="C26" s="425"/>
      <c r="D26" s="426"/>
      <c r="E26" s="427"/>
      <c r="F26" s="427"/>
      <c r="G26" s="428"/>
      <c r="H26" s="429"/>
      <c r="I26" s="430"/>
      <c r="J26" s="431"/>
      <c r="K26" s="432"/>
      <c r="L26" s="433"/>
      <c r="M26" s="434"/>
      <c r="N26" s="404"/>
      <c r="O26" s="405"/>
      <c r="P26" s="405"/>
      <c r="Q26" s="404"/>
      <c r="R26" s="406"/>
      <c r="S26" s="404"/>
      <c r="T26" s="407"/>
      <c r="U26" s="404"/>
      <c r="V26" s="404"/>
      <c r="W26" s="404"/>
      <c r="X26" s="434"/>
      <c r="Y26" s="434"/>
      <c r="Z26" s="435"/>
      <c r="AA26" s="434"/>
      <c r="AB26" s="434"/>
      <c r="AC26" s="438"/>
    </row>
    <row r="27" spans="1:30" s="4" customFormat="1" ht="39" customHeight="1" x14ac:dyDescent="0.25">
      <c r="A27" s="252"/>
      <c r="B27" s="463" t="s">
        <v>77</v>
      </c>
      <c r="C27" s="463"/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  <c r="V27" s="463"/>
      <c r="W27" s="463"/>
      <c r="X27" s="463"/>
      <c r="Y27" s="463"/>
      <c r="Z27" s="463"/>
      <c r="AA27" s="463"/>
      <c r="AB27" s="463"/>
      <c r="AC27" s="463"/>
      <c r="AD27" s="463"/>
    </row>
    <row r="28" spans="1:30" s="4" customFormat="1" ht="27" customHeight="1" x14ac:dyDescent="0.25">
      <c r="A28" s="252"/>
      <c r="B28" s="463" t="s">
        <v>64</v>
      </c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</row>
    <row r="29" spans="1:30" s="4" customFormat="1" ht="24" customHeight="1" x14ac:dyDescent="0.25">
      <c r="A29" s="252"/>
      <c r="B29" s="453" t="str">
        <f>PRESIDENCIA!A3</f>
        <v>SUELDO  DEL 01 AL 15 DE MARZO DE 2025</v>
      </c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  <c r="AA29" s="453"/>
      <c r="AB29" s="453"/>
      <c r="AC29" s="453"/>
      <c r="AD29" s="453"/>
    </row>
    <row r="30" spans="1:30" s="4" customFormat="1" ht="36" customHeight="1" x14ac:dyDescent="0.3">
      <c r="A30" s="252"/>
      <c r="B30" s="247"/>
      <c r="C30" s="217"/>
      <c r="D30" s="208"/>
      <c r="E30" s="209"/>
      <c r="F30" s="209"/>
      <c r="G30" s="256"/>
      <c r="H30" s="208"/>
      <c r="I30" s="221"/>
      <c r="J30" s="222"/>
      <c r="K30" s="223"/>
      <c r="L30" s="224"/>
      <c r="M30" s="225"/>
      <c r="N30" s="226"/>
      <c r="O30" s="226"/>
      <c r="P30" s="226"/>
      <c r="Q30" s="226"/>
      <c r="R30" s="227"/>
      <c r="S30" s="226"/>
      <c r="T30" s="228"/>
      <c r="U30" s="226"/>
      <c r="V30" s="226"/>
      <c r="W30" s="226"/>
      <c r="X30" s="225"/>
      <c r="Y30" s="225"/>
      <c r="Z30" s="229"/>
      <c r="AA30" s="225"/>
      <c r="AB30" s="225"/>
    </row>
    <row r="31" spans="1:30" s="4" customFormat="1" ht="48.75" customHeight="1" x14ac:dyDescent="0.25">
      <c r="A31" s="252"/>
      <c r="B31" s="111" t="s">
        <v>97</v>
      </c>
      <c r="C31" s="111" t="s">
        <v>124</v>
      </c>
      <c r="D31" s="180" t="s">
        <v>123</v>
      </c>
      <c r="E31" s="180" t="s">
        <v>98</v>
      </c>
      <c r="F31" s="180" t="s">
        <v>229</v>
      </c>
      <c r="G31" s="148" t="s">
        <v>291</v>
      </c>
      <c r="H31" s="180" t="s">
        <v>61</v>
      </c>
      <c r="I31" s="180"/>
      <c r="J31" s="180"/>
      <c r="K31" s="181">
        <f>SUM(K32:K32)</f>
        <v>7078</v>
      </c>
      <c r="L31" s="181">
        <f>SUM(L32:L32)</f>
        <v>0</v>
      </c>
      <c r="M31" s="181">
        <f>SUM(M32:M32)</f>
        <v>7078</v>
      </c>
      <c r="N31" s="180"/>
      <c r="O31" s="180"/>
      <c r="P31" s="180"/>
      <c r="Q31" s="180"/>
      <c r="R31" s="180"/>
      <c r="S31" s="180"/>
      <c r="T31" s="183"/>
      <c r="U31" s="180"/>
      <c r="V31" s="180"/>
      <c r="W31" s="180"/>
      <c r="X31" s="181">
        <f>SUM(X32:X32)</f>
        <v>0</v>
      </c>
      <c r="Y31" s="181">
        <f>SUM(Y32:Y32)</f>
        <v>708.24</v>
      </c>
      <c r="Z31" s="181">
        <f>SUM(Z32:Z32)</f>
        <v>0</v>
      </c>
      <c r="AA31" s="181">
        <f>SUM(AA32:AA32)</f>
        <v>708.24</v>
      </c>
      <c r="AB31" s="181">
        <f>SUM(AB32:AB32)</f>
        <v>6369.76</v>
      </c>
      <c r="AC31" s="96"/>
    </row>
    <row r="32" spans="1:30" s="4" customFormat="1" ht="209.25" customHeight="1" x14ac:dyDescent="0.2">
      <c r="A32" s="252"/>
      <c r="B32" s="292" t="s">
        <v>173</v>
      </c>
      <c r="C32" s="286" t="s">
        <v>118</v>
      </c>
      <c r="D32" s="271" t="s">
        <v>165</v>
      </c>
      <c r="E32" s="272" t="s">
        <v>170</v>
      </c>
      <c r="F32" s="272" t="s">
        <v>250</v>
      </c>
      <c r="G32" s="273">
        <v>43512</v>
      </c>
      <c r="H32" s="274" t="s">
        <v>593</v>
      </c>
      <c r="I32" s="275">
        <v>15</v>
      </c>
      <c r="J32" s="276">
        <f>K32/I32</f>
        <v>471.86666666666667</v>
      </c>
      <c r="K32" s="277">
        <v>7078</v>
      </c>
      <c r="L32" s="278">
        <v>0</v>
      </c>
      <c r="M32" s="279">
        <f>SUM(K32:L32)</f>
        <v>7078</v>
      </c>
      <c r="N32" s="301">
        <f>IF(K32/15&lt;=SMG,0,L32/2)</f>
        <v>0</v>
      </c>
      <c r="O32" s="322">
        <f>(K32+N32)/I32*30.4</f>
        <v>14344.746666666666</v>
      </c>
      <c r="P32" s="322">
        <f>VLOOKUP(O32,Tarifa,1)</f>
        <v>12935.83</v>
      </c>
      <c r="Q32" s="301">
        <f>O32-P32</f>
        <v>1408.9166666666661</v>
      </c>
      <c r="R32" s="302">
        <f>VLOOKUP(O32,Tarifa,3)</f>
        <v>0.1792</v>
      </c>
      <c r="S32" s="301">
        <f>Q32*R32</f>
        <v>252.47786666666656</v>
      </c>
      <c r="T32" s="303">
        <f>VLOOKUP(O32,Tarifa,2)</f>
        <v>1182.8800000000001</v>
      </c>
      <c r="U32" s="301">
        <f>S32+T32</f>
        <v>1435.3578666666667</v>
      </c>
      <c r="V32" s="301">
        <f>VLOOKUP(O32,Credito,2)</f>
        <v>0</v>
      </c>
      <c r="W32" s="301">
        <f>ROUND((U32-V32)/30.4*I32,2)</f>
        <v>708.24</v>
      </c>
      <c r="X32" s="279">
        <f>-IF(W32&gt;0,0,0)</f>
        <v>0</v>
      </c>
      <c r="Y32" s="279">
        <f>IF(K32/15&lt;=SMG,0,IF(W32&lt;0,0,W32))</f>
        <v>708.24</v>
      </c>
      <c r="Z32" s="280">
        <v>0</v>
      </c>
      <c r="AA32" s="279">
        <f>SUM(Y32:Z32)</f>
        <v>708.24</v>
      </c>
      <c r="AB32" s="279">
        <f>M32+X32-AA32</f>
        <v>6369.76</v>
      </c>
      <c r="AC32" s="342"/>
    </row>
    <row r="33" spans="1:41" s="4" customFormat="1" ht="48.75" customHeight="1" x14ac:dyDescent="0.25">
      <c r="A33" s="44"/>
      <c r="B33" s="111" t="s">
        <v>97</v>
      </c>
      <c r="C33" s="111" t="s">
        <v>124</v>
      </c>
      <c r="D33" s="180" t="s">
        <v>69</v>
      </c>
      <c r="E33" s="180" t="s">
        <v>98</v>
      </c>
      <c r="F33" s="180" t="s">
        <v>229</v>
      </c>
      <c r="G33" s="148" t="s">
        <v>291</v>
      </c>
      <c r="H33" s="180" t="s">
        <v>61</v>
      </c>
      <c r="I33" s="180"/>
      <c r="J33" s="180"/>
      <c r="K33" s="181">
        <f>SUM(K34:K35)</f>
        <v>13353.5</v>
      </c>
      <c r="L33" s="181">
        <f>SUM(L34:L35)</f>
        <v>879.3599999999999</v>
      </c>
      <c r="M33" s="181">
        <f>SUM(M34:M35)</f>
        <v>14232.86</v>
      </c>
      <c r="N33" s="180"/>
      <c r="O33" s="180"/>
      <c r="P33" s="180"/>
      <c r="Q33" s="180"/>
      <c r="R33" s="180"/>
      <c r="S33" s="180"/>
      <c r="T33" s="183"/>
      <c r="U33" s="180"/>
      <c r="V33" s="180"/>
      <c r="W33" s="180"/>
      <c r="X33" s="181">
        <f>SUM(X34:X35)</f>
        <v>0</v>
      </c>
      <c r="Y33" s="181">
        <f>SUM(Y34:Y35)</f>
        <v>1382.73</v>
      </c>
      <c r="Z33" s="181">
        <f>SUM(Z34:Z35)</f>
        <v>0</v>
      </c>
      <c r="AA33" s="181">
        <f>SUM(AA34:AA35)</f>
        <v>1382.73</v>
      </c>
      <c r="AB33" s="181">
        <f>SUM(AB34:AB35)</f>
        <v>12850.130000000001</v>
      </c>
      <c r="AC33" s="96"/>
    </row>
    <row r="34" spans="1:41" s="343" customFormat="1" ht="210" customHeight="1" x14ac:dyDescent="0.2">
      <c r="A34" s="341"/>
      <c r="B34" s="292" t="s">
        <v>208</v>
      </c>
      <c r="C34" s="286" t="s">
        <v>118</v>
      </c>
      <c r="D34" s="271" t="s">
        <v>213</v>
      </c>
      <c r="E34" s="272" t="s">
        <v>214</v>
      </c>
      <c r="F34" s="272" t="s">
        <v>258</v>
      </c>
      <c r="G34" s="273">
        <v>44470</v>
      </c>
      <c r="H34" s="328" t="s">
        <v>71</v>
      </c>
      <c r="I34" s="275">
        <v>15</v>
      </c>
      <c r="J34" s="276">
        <f>K34/I34</f>
        <v>527.9</v>
      </c>
      <c r="K34" s="277">
        <v>7918.5</v>
      </c>
      <c r="L34" s="278">
        <v>447.83</v>
      </c>
      <c r="M34" s="279">
        <f t="shared" ref="M34" si="24">SUM(K34:L34)</f>
        <v>8366.33</v>
      </c>
      <c r="N34" s="301">
        <f>IF(K34/15&lt;=SMG,0,L34/2)</f>
        <v>223.91499999999999</v>
      </c>
      <c r="O34" s="322">
        <f>(K34+N34)/I34*30.4</f>
        <v>16501.961066666667</v>
      </c>
      <c r="P34" s="322">
        <f>VLOOKUP(O34,Tarifa,1)</f>
        <v>15487.72</v>
      </c>
      <c r="Q34" s="301">
        <f>O34-P34</f>
        <v>1014.2410666666674</v>
      </c>
      <c r="R34" s="302">
        <f>VLOOKUP(O34,Tarifa,3)</f>
        <v>0.21360000000000001</v>
      </c>
      <c r="S34" s="301">
        <f>Q34*R34</f>
        <v>216.64189184000017</v>
      </c>
      <c r="T34" s="303">
        <f>VLOOKUP(O34,Tarifa,2)</f>
        <v>1640.18</v>
      </c>
      <c r="U34" s="301">
        <f>S34+T34</f>
        <v>1856.8218918400003</v>
      </c>
      <c r="V34" s="301">
        <f>VLOOKUP(O34,Credito,2)</f>
        <v>0</v>
      </c>
      <c r="W34" s="301">
        <f>ROUND((U34-V34)/30.4*I34,2)</f>
        <v>916.2</v>
      </c>
      <c r="X34" s="279">
        <f t="shared" si="1"/>
        <v>0</v>
      </c>
      <c r="Y34" s="279">
        <f t="shared" ref="Y34" si="25">IF(K34/15&lt;=SMG,0,IF(W34&lt;0,0,W34))</f>
        <v>916.2</v>
      </c>
      <c r="Z34" s="280">
        <v>0</v>
      </c>
      <c r="AA34" s="279">
        <f t="shared" ref="AA34" si="26">SUM(Y34:Z34)</f>
        <v>916.2</v>
      </c>
      <c r="AB34" s="279">
        <f t="shared" ref="AB34" si="27">M34+X34-AA34</f>
        <v>7450.13</v>
      </c>
      <c r="AC34" s="342"/>
    </row>
    <row r="35" spans="1:41" s="343" customFormat="1" ht="210" customHeight="1" x14ac:dyDescent="0.2">
      <c r="A35" s="341"/>
      <c r="B35" s="292" t="s">
        <v>335</v>
      </c>
      <c r="C35" s="286" t="s">
        <v>118</v>
      </c>
      <c r="D35" s="271" t="s">
        <v>336</v>
      </c>
      <c r="E35" s="272" t="s">
        <v>337</v>
      </c>
      <c r="F35" s="272" t="s">
        <v>338</v>
      </c>
      <c r="G35" s="273">
        <v>45173</v>
      </c>
      <c r="H35" s="274" t="s">
        <v>166</v>
      </c>
      <c r="I35" s="275">
        <v>15</v>
      </c>
      <c r="J35" s="276">
        <f>K35/I35</f>
        <v>362.33333333333331</v>
      </c>
      <c r="K35" s="277">
        <v>5435</v>
      </c>
      <c r="L35" s="278">
        <v>431.53</v>
      </c>
      <c r="M35" s="279">
        <f>SUM(K35:L35)</f>
        <v>5866.53</v>
      </c>
      <c r="N35" s="301">
        <f>IF(K35/15&lt;=SMG,0,L35/2)</f>
        <v>215.76499999999999</v>
      </c>
      <c r="O35" s="322">
        <f>(K35+N35)/I35*30.4</f>
        <v>11452.217066666666</v>
      </c>
      <c r="P35" s="322">
        <f>VLOOKUP(O35,Tarifa,1)</f>
        <v>11128.02</v>
      </c>
      <c r="Q35" s="301">
        <f>O35-P35</f>
        <v>324.19706666666571</v>
      </c>
      <c r="R35" s="302">
        <f>VLOOKUP(O35,Tarifa,3)</f>
        <v>0.16</v>
      </c>
      <c r="S35" s="301">
        <f>Q35*R35</f>
        <v>51.871530666666516</v>
      </c>
      <c r="T35" s="303">
        <f>VLOOKUP(O35,Tarifa,2)</f>
        <v>893.63</v>
      </c>
      <c r="U35" s="301">
        <f>S35+T35</f>
        <v>945.50153066666655</v>
      </c>
      <c r="V35" s="301">
        <f>VLOOKUP(O35,Credito,2)</f>
        <v>0</v>
      </c>
      <c r="W35" s="301">
        <f>ROUND((U35-V35)/30.4*I35,2)</f>
        <v>466.53</v>
      </c>
      <c r="X35" s="279">
        <f t="shared" si="1"/>
        <v>0</v>
      </c>
      <c r="Y35" s="279">
        <f t="shared" ref="Y35" si="28">IF(K35/15&lt;=SMG,0,IF(W35&lt;0,0,W35))</f>
        <v>466.53</v>
      </c>
      <c r="Z35" s="280">
        <v>0</v>
      </c>
      <c r="AA35" s="279">
        <f>SUM(Y35:Z35)</f>
        <v>466.53</v>
      </c>
      <c r="AB35" s="279">
        <f>M35+X35-AA35</f>
        <v>5400</v>
      </c>
      <c r="AC35" s="342"/>
    </row>
    <row r="36" spans="1:41" s="4" customFormat="1" ht="57.75" customHeight="1" x14ac:dyDescent="0.25">
      <c r="A36" s="106"/>
      <c r="B36" s="111" t="s">
        <v>97</v>
      </c>
      <c r="C36" s="111" t="s">
        <v>124</v>
      </c>
      <c r="D36" s="180" t="s">
        <v>123</v>
      </c>
      <c r="E36" s="180" t="s">
        <v>98</v>
      </c>
      <c r="F36" s="180" t="s">
        <v>229</v>
      </c>
      <c r="G36" s="148" t="s">
        <v>291</v>
      </c>
      <c r="H36" s="180" t="s">
        <v>61</v>
      </c>
      <c r="I36" s="180"/>
      <c r="J36" s="180"/>
      <c r="K36" s="181">
        <f>SUM(K37:K37)</f>
        <v>6826.5</v>
      </c>
      <c r="L36" s="181">
        <f>SUM(L37:L37)</f>
        <v>0</v>
      </c>
      <c r="M36" s="181">
        <f>SUM(M37:M37)</f>
        <v>6826.5</v>
      </c>
      <c r="N36" s="180"/>
      <c r="O36" s="180"/>
      <c r="P36" s="180"/>
      <c r="Q36" s="180"/>
      <c r="R36" s="180"/>
      <c r="S36" s="180"/>
      <c r="T36" s="183"/>
      <c r="U36" s="180"/>
      <c r="V36" s="180"/>
      <c r="W36" s="180"/>
      <c r="X36" s="181">
        <f>SUM(X37:X37)</f>
        <v>0</v>
      </c>
      <c r="Y36" s="181">
        <f>SUM(Y37:Y37)</f>
        <v>663.17</v>
      </c>
      <c r="Z36" s="181">
        <f>SUM(Z37:Z37)</f>
        <v>0</v>
      </c>
      <c r="AA36" s="181">
        <f>SUM(AA37:AA37)</f>
        <v>663.17</v>
      </c>
      <c r="AB36" s="181">
        <f>SUM(AB37:AB37)</f>
        <v>6163.33</v>
      </c>
      <c r="AC36" s="96"/>
    </row>
    <row r="37" spans="1:41" s="343" customFormat="1" ht="210" customHeight="1" x14ac:dyDescent="0.2">
      <c r="A37" s="268" t="s">
        <v>84</v>
      </c>
      <c r="B37" s="292" t="s">
        <v>159</v>
      </c>
      <c r="C37" s="286" t="s">
        <v>118</v>
      </c>
      <c r="D37" s="271" t="s">
        <v>140</v>
      </c>
      <c r="E37" s="272" t="s">
        <v>155</v>
      </c>
      <c r="F37" s="272" t="s">
        <v>242</v>
      </c>
      <c r="G37" s="273">
        <v>43374</v>
      </c>
      <c r="H37" s="274" t="s">
        <v>139</v>
      </c>
      <c r="I37" s="275">
        <v>15</v>
      </c>
      <c r="J37" s="276">
        <f>K37/I37</f>
        <v>455.1</v>
      </c>
      <c r="K37" s="277">
        <v>6826.5</v>
      </c>
      <c r="L37" s="278">
        <v>0</v>
      </c>
      <c r="M37" s="279">
        <f>SUM(K37:L37)</f>
        <v>6826.5</v>
      </c>
      <c r="N37" s="301">
        <f>IF(K37/15&lt;=SMG,0,L37/2)</f>
        <v>0</v>
      </c>
      <c r="O37" s="322">
        <f>(K37+N37)/I37*30.4</f>
        <v>13835.04</v>
      </c>
      <c r="P37" s="322">
        <f>VLOOKUP(O37,Tarifa,1)</f>
        <v>12935.83</v>
      </c>
      <c r="Q37" s="301">
        <f>O37-P37</f>
        <v>899.21000000000095</v>
      </c>
      <c r="R37" s="302">
        <f>VLOOKUP(O37,Tarifa,3)</f>
        <v>0.1792</v>
      </c>
      <c r="S37" s="301">
        <f>Q37*R37</f>
        <v>161.13843200000017</v>
      </c>
      <c r="T37" s="303">
        <f>VLOOKUP(O37,Tarifa,2)</f>
        <v>1182.8800000000001</v>
      </c>
      <c r="U37" s="301">
        <f>S37+T37</f>
        <v>1344.0184320000003</v>
      </c>
      <c r="V37" s="301">
        <f>VLOOKUP(O37,Credito,2)</f>
        <v>0</v>
      </c>
      <c r="W37" s="301">
        <f>ROUND((U37-V37)/30.4*I37,2)</f>
        <v>663.17</v>
      </c>
      <c r="X37" s="279">
        <f>-IF(W37&gt;0,0,0)</f>
        <v>0</v>
      </c>
      <c r="Y37" s="279">
        <f>IF(K37/15&lt;=SMG,0,IF(W37&lt;0,0,W37))</f>
        <v>663.17</v>
      </c>
      <c r="Z37" s="280">
        <v>0</v>
      </c>
      <c r="AA37" s="279">
        <f>SUM(Y37:Z37)</f>
        <v>663.17</v>
      </c>
      <c r="AB37" s="279">
        <f>M37+X37-AA37</f>
        <v>6163.33</v>
      </c>
      <c r="AC37" s="342"/>
      <c r="AI37" s="355"/>
    </row>
    <row r="38" spans="1:41" s="4" customFormat="1" ht="27.75" customHeight="1" x14ac:dyDescent="0.25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44"/>
      <c r="L38" s="144"/>
      <c r="M38" s="144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</row>
    <row r="39" spans="1:41" s="4" customFormat="1" ht="39.75" customHeight="1" thickBot="1" x14ac:dyDescent="0.35">
      <c r="A39" s="449" t="s">
        <v>44</v>
      </c>
      <c r="B39" s="450"/>
      <c r="C39" s="450"/>
      <c r="D39" s="450"/>
      <c r="E39" s="450"/>
      <c r="F39" s="450"/>
      <c r="G39" s="450"/>
      <c r="H39" s="450"/>
      <c r="I39" s="450"/>
      <c r="J39" s="451"/>
      <c r="K39" s="210">
        <f>K8+K31+K33+K36</f>
        <v>83544</v>
      </c>
      <c r="L39" s="210">
        <f>L8+L31+L33+L36</f>
        <v>1685.8799999999999</v>
      </c>
      <c r="M39" s="210">
        <f>M8+M31+M33+M36</f>
        <v>85229.88</v>
      </c>
      <c r="N39" s="211">
        <f t="shared" ref="N39:W39" si="29">SUM(N9:N38)</f>
        <v>842.93999999999994</v>
      </c>
      <c r="O39" s="211">
        <f t="shared" si="29"/>
        <v>171024.19839999999</v>
      </c>
      <c r="P39" s="211">
        <f t="shared" si="29"/>
        <v>136527.94</v>
      </c>
      <c r="Q39" s="211">
        <f t="shared" si="29"/>
        <v>34496.258399999992</v>
      </c>
      <c r="R39" s="211">
        <f t="shared" si="29"/>
        <v>2.0823999999999998</v>
      </c>
      <c r="S39" s="211">
        <f t="shared" si="29"/>
        <v>4113.7919291733306</v>
      </c>
      <c r="T39" s="211">
        <f t="shared" si="29"/>
        <v>10555.099999999999</v>
      </c>
      <c r="U39" s="211">
        <f t="shared" si="29"/>
        <v>14668.891929173333</v>
      </c>
      <c r="V39" s="211">
        <f t="shared" si="29"/>
        <v>1900</v>
      </c>
      <c r="W39" s="211">
        <f t="shared" si="29"/>
        <v>6300.4800000000005</v>
      </c>
      <c r="X39" s="210">
        <f>X8+X31+X33+X36</f>
        <v>0</v>
      </c>
      <c r="Y39" s="210">
        <f>Y8+Y31+Y33+Y36</f>
        <v>6245.8900000000012</v>
      </c>
      <c r="Z39" s="210">
        <f>Z8+Z31+Z33+Z36</f>
        <v>0</v>
      </c>
      <c r="AA39" s="210">
        <f>AA8+AA31+AA33+AA36</f>
        <v>6245.8900000000012</v>
      </c>
      <c r="AB39" s="210">
        <f>AB8+AB31+AB33+AB36</f>
        <v>78983.990000000005</v>
      </c>
    </row>
    <row r="40" spans="1:41" s="4" customFormat="1" ht="18" customHeight="1" thickTop="1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1"/>
      <c r="L40" s="131"/>
      <c r="M40" s="131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1"/>
      <c r="Y40" s="131"/>
      <c r="Z40" s="131"/>
      <c r="AA40" s="131"/>
      <c r="AB40" s="131"/>
    </row>
    <row r="41" spans="1:41" s="4" customFormat="1" ht="18" customHeight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41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41" s="4" customFormat="1" x14ac:dyDescent="0.2"/>
    <row r="44" spans="1:41" s="4" customFormat="1" ht="20.25" x14ac:dyDescent="0.3">
      <c r="D44" s="214" t="s">
        <v>530</v>
      </c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4" t="s">
        <v>147</v>
      </c>
      <c r="Z44" s="215"/>
      <c r="AA44" s="215"/>
      <c r="AB44" s="215"/>
      <c r="AC44" s="215"/>
    </row>
    <row r="45" spans="1:41" s="4" customFormat="1" ht="20.25" x14ac:dyDescent="0.3">
      <c r="D45" s="214" t="s">
        <v>551</v>
      </c>
      <c r="E45" s="214"/>
      <c r="F45" s="214"/>
      <c r="G45" s="214"/>
      <c r="H45" s="214"/>
      <c r="I45" s="214"/>
      <c r="J45" s="214"/>
      <c r="K45" s="214"/>
      <c r="L45" s="214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4" t="s">
        <v>219</v>
      </c>
      <c r="Z45" s="215"/>
      <c r="AA45" s="214"/>
      <c r="AB45" s="214"/>
      <c r="AC45" s="214"/>
      <c r="AD45" s="42"/>
      <c r="AE45" s="42"/>
      <c r="AF45" s="42"/>
      <c r="AG45" s="42"/>
      <c r="AH45" s="42"/>
      <c r="AI45" s="42"/>
      <c r="AJ45" s="42"/>
      <c r="AK45" s="42"/>
      <c r="AN45" s="42"/>
      <c r="AO45" s="42"/>
    </row>
    <row r="46" spans="1:41" s="4" customFormat="1" ht="20.25" x14ac:dyDescent="0.3"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</row>
    <row r="47" spans="1:41" s="4" customFormat="1" x14ac:dyDescent="0.2"/>
    <row r="48" spans="1:41" s="4" customFormat="1" x14ac:dyDescent="0.2"/>
  </sheetData>
  <mergeCells count="13">
    <mergeCell ref="A39:J39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7:AD27"/>
    <mergeCell ref="B28:AD28"/>
    <mergeCell ref="B29:AD29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64"/>
  <sheetViews>
    <sheetView topLeftCell="B37" zoomScale="55" zoomScaleNormal="55" workbookViewId="0">
      <selection activeCell="C40" sqref="C4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2" t="s">
        <v>77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33" ht="19.5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33" ht="19.5" x14ac:dyDescent="0.25">
      <c r="A3" s="453" t="str">
        <f>PRESIDENCIA!A3</f>
        <v>SUELDO  DEL 01 AL 15 DE MARZO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88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54" t="s">
        <v>1</v>
      </c>
      <c r="L5" s="455"/>
      <c r="M5" s="456"/>
      <c r="N5" s="116" t="s">
        <v>25</v>
      </c>
      <c r="O5" s="117"/>
      <c r="P5" s="457" t="s">
        <v>8</v>
      </c>
      <c r="Q5" s="458"/>
      <c r="R5" s="458"/>
      <c r="S5" s="458"/>
      <c r="T5" s="458"/>
      <c r="U5" s="459"/>
      <c r="V5" s="116" t="s">
        <v>29</v>
      </c>
      <c r="W5" s="116" t="s">
        <v>9</v>
      </c>
      <c r="X5" s="115" t="s">
        <v>52</v>
      </c>
      <c r="Y5" s="460" t="s">
        <v>2</v>
      </c>
      <c r="Z5" s="461"/>
      <c r="AA5" s="462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89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281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0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8" t="s">
        <v>14</v>
      </c>
      <c r="U7" s="116" t="s">
        <v>38</v>
      </c>
      <c r="V7" s="120" t="s">
        <v>18</v>
      </c>
      <c r="W7" s="124" t="s">
        <v>204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30" t="s">
        <v>143</v>
      </c>
      <c r="E8" s="231" t="s">
        <v>98</v>
      </c>
      <c r="F8" s="231" t="s">
        <v>229</v>
      </c>
      <c r="G8" s="230" t="s">
        <v>291</v>
      </c>
      <c r="H8" s="231" t="s">
        <v>61</v>
      </c>
      <c r="I8" s="231"/>
      <c r="J8" s="231"/>
      <c r="K8" s="232">
        <f>SUM(K9:K10)</f>
        <v>13165</v>
      </c>
      <c r="L8" s="232">
        <f>SUM(L9:L10)</f>
        <v>0</v>
      </c>
      <c r="M8" s="232">
        <f>SUM(M9:M10)</f>
        <v>13165</v>
      </c>
      <c r="N8" s="232">
        <f t="shared" ref="N8:W8" si="0">SUM(N9:N10)</f>
        <v>0</v>
      </c>
      <c r="O8" s="232">
        <f t="shared" si="0"/>
        <v>26681.066666666666</v>
      </c>
      <c r="P8" s="232">
        <f t="shared" si="0"/>
        <v>21819.78</v>
      </c>
      <c r="Q8" s="232">
        <f t="shared" si="0"/>
        <v>4861.286666666666</v>
      </c>
      <c r="R8" s="232">
        <f t="shared" si="0"/>
        <v>0.32240000000000002</v>
      </c>
      <c r="S8" s="232">
        <f t="shared" si="0"/>
        <v>547.60570666666661</v>
      </c>
      <c r="T8" s="232">
        <f t="shared" si="0"/>
        <v>2012.01</v>
      </c>
      <c r="U8" s="232">
        <f t="shared" si="0"/>
        <v>2559.6157066666665</v>
      </c>
      <c r="V8" s="232">
        <f t="shared" si="0"/>
        <v>0</v>
      </c>
      <c r="W8" s="232">
        <f t="shared" si="0"/>
        <v>1262.97</v>
      </c>
      <c r="X8" s="232">
        <f>SUM(X9:X10)</f>
        <v>0</v>
      </c>
      <c r="Y8" s="232">
        <f>SUM(Y9:Y10)</f>
        <v>1262.97</v>
      </c>
      <c r="Z8" s="232">
        <f>SUM(Z9:Z10)</f>
        <v>0</v>
      </c>
      <c r="AA8" s="232">
        <f>SUM(AA9:AA10)</f>
        <v>1262.97</v>
      </c>
      <c r="AB8" s="232">
        <f>SUM(AB9:AB10)</f>
        <v>11902.029999999999</v>
      </c>
      <c r="AC8" s="97"/>
    </row>
    <row r="9" spans="1:33" s="306" customFormat="1" ht="231" customHeight="1" x14ac:dyDescent="0.2">
      <c r="A9" s="356"/>
      <c r="B9" s="357">
        <v>377</v>
      </c>
      <c r="C9" s="358" t="s">
        <v>118</v>
      </c>
      <c r="D9" s="359" t="s">
        <v>457</v>
      </c>
      <c r="E9" s="360" t="s">
        <v>458</v>
      </c>
      <c r="F9" s="360" t="s">
        <v>459</v>
      </c>
      <c r="G9" s="361">
        <v>45566</v>
      </c>
      <c r="H9" s="362" t="s">
        <v>357</v>
      </c>
      <c r="I9" s="275">
        <v>15</v>
      </c>
      <c r="J9" s="276">
        <f>K9/I9</f>
        <v>515.33333333333337</v>
      </c>
      <c r="K9" s="277">
        <v>7730</v>
      </c>
      <c r="L9" s="278">
        <v>0</v>
      </c>
      <c r="M9" s="279">
        <f>SUM(K9:L9)</f>
        <v>7730</v>
      </c>
      <c r="N9" s="301">
        <f>IF(K9/15&lt;=SMG,0,L9/2)</f>
        <v>0</v>
      </c>
      <c r="O9" s="322">
        <f>(K9+N9)/I9*30.4</f>
        <v>15666.133333333333</v>
      </c>
      <c r="P9" s="322">
        <f>VLOOKUP(O9,Tarifa,1)</f>
        <v>15487.72</v>
      </c>
      <c r="Q9" s="301">
        <f>O9-P9</f>
        <v>178.41333333333387</v>
      </c>
      <c r="R9" s="302">
        <f>VLOOKUP(O9,Tarifa,3)</f>
        <v>0.21360000000000001</v>
      </c>
      <c r="S9" s="301">
        <f>Q9*R9</f>
        <v>38.109088000000114</v>
      </c>
      <c r="T9" s="303">
        <f>VLOOKUP(O9,Tarifa,2)</f>
        <v>1640.18</v>
      </c>
      <c r="U9" s="301">
        <f>S9+T9</f>
        <v>1678.2890880000002</v>
      </c>
      <c r="V9" s="301">
        <f>VLOOKUP(O9,Credito,2)</f>
        <v>0</v>
      </c>
      <c r="W9" s="301">
        <f>ROUND((U9-V9)/30.4*I9,2)</f>
        <v>828.1</v>
      </c>
      <c r="X9" s="279">
        <f>-IF(W9&gt;0,0,0)</f>
        <v>0</v>
      </c>
      <c r="Y9" s="279">
        <f>IF(K9/15&lt;=SMG,0,IF(W9&lt;0,0,W9))</f>
        <v>828.1</v>
      </c>
      <c r="Z9" s="280">
        <v>0</v>
      </c>
      <c r="AA9" s="279">
        <f>SUM(Y9:Z9)</f>
        <v>828.1</v>
      </c>
      <c r="AB9" s="279">
        <f>M9+X9-AA9</f>
        <v>6901.9</v>
      </c>
      <c r="AC9" s="363"/>
    </row>
    <row r="10" spans="1:33" s="306" customFormat="1" ht="231" customHeight="1" x14ac:dyDescent="0.2">
      <c r="A10" s="356"/>
      <c r="B10" s="292" t="s">
        <v>462</v>
      </c>
      <c r="C10" s="286" t="s">
        <v>118</v>
      </c>
      <c r="D10" s="267" t="s">
        <v>460</v>
      </c>
      <c r="E10" s="135" t="s">
        <v>529</v>
      </c>
      <c r="F10" s="296" t="s">
        <v>461</v>
      </c>
      <c r="G10" s="273">
        <v>45566</v>
      </c>
      <c r="H10" s="274" t="s">
        <v>275</v>
      </c>
      <c r="I10" s="275">
        <v>15</v>
      </c>
      <c r="J10" s="276">
        <f>K10/I10</f>
        <v>362.33333333333331</v>
      </c>
      <c r="K10" s="277">
        <v>5435</v>
      </c>
      <c r="L10" s="278">
        <v>0</v>
      </c>
      <c r="M10" s="279">
        <f>SUM(K10:L10)</f>
        <v>5435</v>
      </c>
      <c r="N10" s="301">
        <f>IF(K10/15&lt;=SMG,0,L10/2)</f>
        <v>0</v>
      </c>
      <c r="O10" s="322">
        <f>(K10+N10)/I10*30.4</f>
        <v>11014.933333333332</v>
      </c>
      <c r="P10" s="322">
        <f>VLOOKUP(O10,Tarifa,1)</f>
        <v>6332.06</v>
      </c>
      <c r="Q10" s="301">
        <f>O10-P10</f>
        <v>4682.8733333333321</v>
      </c>
      <c r="R10" s="302">
        <f>VLOOKUP(O10,Tarifa,3)</f>
        <v>0.10879999999999999</v>
      </c>
      <c r="S10" s="301">
        <f>Q10*R10</f>
        <v>509.49661866666651</v>
      </c>
      <c r="T10" s="303">
        <f>VLOOKUP(O10,Tarifa,2)</f>
        <v>371.83</v>
      </c>
      <c r="U10" s="301">
        <f>S10+T10</f>
        <v>881.32661866666649</v>
      </c>
      <c r="V10" s="301">
        <f>VLOOKUP(O10,Credito,2)</f>
        <v>0</v>
      </c>
      <c r="W10" s="301">
        <f>ROUND((U10-V10)/30.4*I10,2)</f>
        <v>434.87</v>
      </c>
      <c r="X10" s="279">
        <f>-IF(W10&gt;0,0,0)</f>
        <v>0</v>
      </c>
      <c r="Y10" s="279">
        <f>IF(K10/15&lt;=SMG,0,IF(W10&lt;0,0,W10))</f>
        <v>434.87</v>
      </c>
      <c r="Z10" s="280">
        <v>0</v>
      </c>
      <c r="AA10" s="279">
        <f>SUM(Y10:Z10)</f>
        <v>434.87</v>
      </c>
      <c r="AB10" s="279">
        <f>M10+X10-AA10</f>
        <v>5000.13</v>
      </c>
      <c r="AC10" s="363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31" t="s">
        <v>126</v>
      </c>
      <c r="E11" s="231" t="s">
        <v>98</v>
      </c>
      <c r="F11" s="231" t="s">
        <v>229</v>
      </c>
      <c r="G11" s="230" t="s">
        <v>291</v>
      </c>
      <c r="H11" s="231" t="s">
        <v>61</v>
      </c>
      <c r="I11" s="231"/>
      <c r="J11" s="231"/>
      <c r="K11" s="232">
        <f>SUM(K12:K13)</f>
        <v>11850</v>
      </c>
      <c r="L11" s="232">
        <f>SUM(L12:L13)</f>
        <v>0</v>
      </c>
      <c r="M11" s="232">
        <f>SUM(M12:M13)</f>
        <v>11850</v>
      </c>
      <c r="N11" s="231"/>
      <c r="O11" s="231"/>
      <c r="P11" s="231"/>
      <c r="Q11" s="231"/>
      <c r="R11" s="231"/>
      <c r="S11" s="231"/>
      <c r="T11" s="233"/>
      <c r="U11" s="231"/>
      <c r="V11" s="231"/>
      <c r="W11" s="231"/>
      <c r="X11" s="232">
        <f>SUM(X12:X13)</f>
        <v>0</v>
      </c>
      <c r="Y11" s="232">
        <f>SUM(Y12:Y13)</f>
        <v>828.1</v>
      </c>
      <c r="Z11" s="232">
        <f>SUM(Z12:Z13)</f>
        <v>0</v>
      </c>
      <c r="AA11" s="232">
        <f>SUM(AA12:AA13)</f>
        <v>828.1</v>
      </c>
      <c r="AB11" s="232">
        <f>SUM(AB12:AB13)</f>
        <v>11021.9</v>
      </c>
      <c r="AC11" s="97"/>
      <c r="AG11" s="60"/>
    </row>
    <row r="12" spans="1:33" s="306" customFormat="1" ht="231" customHeight="1" x14ac:dyDescent="0.2">
      <c r="A12" s="364" t="s">
        <v>87</v>
      </c>
      <c r="B12" s="286" t="s">
        <v>114</v>
      </c>
      <c r="C12" s="286" t="s">
        <v>118</v>
      </c>
      <c r="D12" s="267" t="s">
        <v>92</v>
      </c>
      <c r="E12" s="135" t="s">
        <v>115</v>
      </c>
      <c r="F12" s="135" t="s">
        <v>237</v>
      </c>
      <c r="G12" s="161">
        <v>42278</v>
      </c>
      <c r="H12" s="289" t="s">
        <v>93</v>
      </c>
      <c r="I12" s="275">
        <v>15</v>
      </c>
      <c r="J12" s="276">
        <f>K12/I12</f>
        <v>515.33333333333337</v>
      </c>
      <c r="K12" s="277">
        <v>7730</v>
      </c>
      <c r="L12" s="278">
        <v>0</v>
      </c>
      <c r="M12" s="279">
        <f>SUM(K12:L12)</f>
        <v>7730</v>
      </c>
      <c r="N12" s="301">
        <f>IF(K12/15&lt;=SMG,0,L12/2)</f>
        <v>0</v>
      </c>
      <c r="O12" s="322">
        <f>(K12+N12)/I12*30.4</f>
        <v>15666.133333333333</v>
      </c>
      <c r="P12" s="322">
        <f>VLOOKUP(O12,Tarifa,1)</f>
        <v>15487.72</v>
      </c>
      <c r="Q12" s="301">
        <f>O12-P12</f>
        <v>178.41333333333387</v>
      </c>
      <c r="R12" s="302">
        <f>VLOOKUP(O12,Tarifa,3)</f>
        <v>0.21360000000000001</v>
      </c>
      <c r="S12" s="301">
        <f>Q12*R12</f>
        <v>38.109088000000114</v>
      </c>
      <c r="T12" s="303">
        <f>VLOOKUP(O12,Tarifa,2)</f>
        <v>1640.18</v>
      </c>
      <c r="U12" s="301">
        <f>S12+T12</f>
        <v>1678.2890880000002</v>
      </c>
      <c r="V12" s="301">
        <f>VLOOKUP(O12,Credito,2)</f>
        <v>0</v>
      </c>
      <c r="W12" s="301">
        <f>ROUND((U12-V12)/30.4*I12,2)</f>
        <v>828.1</v>
      </c>
      <c r="X12" s="279">
        <f>-IF(W12&gt;0,0,0)</f>
        <v>0</v>
      </c>
      <c r="Y12" s="279">
        <f>IF(K12/15&lt;=SMG,0,IF(W12&lt;0,0,W12))</f>
        <v>828.1</v>
      </c>
      <c r="Z12" s="280">
        <v>0</v>
      </c>
      <c r="AA12" s="279">
        <f>SUM(Y12:Z12)</f>
        <v>828.1</v>
      </c>
      <c r="AB12" s="279">
        <f>M12+X12-AA12</f>
        <v>6901.9</v>
      </c>
      <c r="AC12" s="291"/>
      <c r="AG12" s="365"/>
    </row>
    <row r="13" spans="1:33" s="306" customFormat="1" ht="231" customHeight="1" x14ac:dyDescent="0.2">
      <c r="A13" s="364"/>
      <c r="B13" s="286" t="s">
        <v>560</v>
      </c>
      <c r="C13" s="286" t="s">
        <v>118</v>
      </c>
      <c r="D13" s="267" t="s">
        <v>557</v>
      </c>
      <c r="E13" s="135" t="s">
        <v>558</v>
      </c>
      <c r="F13" s="135" t="s">
        <v>559</v>
      </c>
      <c r="G13" s="161">
        <v>45459</v>
      </c>
      <c r="H13" s="289" t="s">
        <v>422</v>
      </c>
      <c r="I13" s="275">
        <v>15</v>
      </c>
      <c r="J13" s="276">
        <f>K13/I13</f>
        <v>274.66666666666669</v>
      </c>
      <c r="K13" s="277">
        <v>4120</v>
      </c>
      <c r="L13" s="278">
        <v>0</v>
      </c>
      <c r="M13" s="279">
        <f>SUM(K13:L13)</f>
        <v>4120</v>
      </c>
      <c r="N13" s="301">
        <f>IF(K13/15&lt;=SMG,0,L13/2)</f>
        <v>0</v>
      </c>
      <c r="O13" s="322">
        <f>(K13+N13)/I13*30.4</f>
        <v>8349.8666666666668</v>
      </c>
      <c r="P13" s="322">
        <f>VLOOKUP(O13,Tarifa,1)</f>
        <v>6332.06</v>
      </c>
      <c r="Q13" s="301">
        <f>O13-P13</f>
        <v>2017.8066666666664</v>
      </c>
      <c r="R13" s="302">
        <f>VLOOKUP(O13,Tarifa,3)</f>
        <v>0.10879999999999999</v>
      </c>
      <c r="S13" s="301">
        <f>Q13*R13</f>
        <v>219.5373653333333</v>
      </c>
      <c r="T13" s="303">
        <f>VLOOKUP(O13,Tarifa,2)</f>
        <v>371.83</v>
      </c>
      <c r="U13" s="301">
        <f>S13+T13</f>
        <v>591.36736533333328</v>
      </c>
      <c r="V13" s="301">
        <f>VLOOKUP(O13,Credito,2)</f>
        <v>475</v>
      </c>
      <c r="W13" s="301">
        <f>ROUND((U13-V13)/30.4*I13,2)</f>
        <v>57.42</v>
      </c>
      <c r="X13" s="279">
        <f>-IF(W13&gt;0,0,0)</f>
        <v>0</v>
      </c>
      <c r="Y13" s="279">
        <f>IF(K13/15&lt;=SMG,0,IF(W13&lt;0,0,W13))</f>
        <v>0</v>
      </c>
      <c r="Z13" s="280">
        <v>0</v>
      </c>
      <c r="AA13" s="279">
        <f>SUM(Y13:Z13)</f>
        <v>0</v>
      </c>
      <c r="AB13" s="279">
        <f>M13+X13-AA13</f>
        <v>4120</v>
      </c>
      <c r="AC13" s="291"/>
      <c r="AG13" s="366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31" t="s">
        <v>280</v>
      </c>
      <c r="E14" s="231" t="s">
        <v>98</v>
      </c>
      <c r="F14" s="231" t="s">
        <v>229</v>
      </c>
      <c r="G14" s="230" t="s">
        <v>291</v>
      </c>
      <c r="H14" s="231" t="s">
        <v>61</v>
      </c>
      <c r="I14" s="231"/>
      <c r="J14" s="231"/>
      <c r="K14" s="232">
        <f>SUM(K15:K23)</f>
        <v>8142.5</v>
      </c>
      <c r="L14" s="232">
        <f>SUM(L15:L23)</f>
        <v>0</v>
      </c>
      <c r="M14" s="232">
        <f>SUM(M15:M23)</f>
        <v>8142.5</v>
      </c>
      <c r="N14" s="232">
        <f t="shared" ref="N14:W14" si="1">SUM(N15)</f>
        <v>0</v>
      </c>
      <c r="O14" s="232">
        <f t="shared" si="1"/>
        <v>7749.9733333333334</v>
      </c>
      <c r="P14" s="232">
        <f t="shared" si="1"/>
        <v>6332.06</v>
      </c>
      <c r="Q14" s="232">
        <f t="shared" si="1"/>
        <v>1417.913333333333</v>
      </c>
      <c r="R14" s="232">
        <f t="shared" si="1"/>
        <v>0.10879999999999999</v>
      </c>
      <c r="S14" s="232">
        <f t="shared" si="1"/>
        <v>154.2689706666666</v>
      </c>
      <c r="T14" s="232">
        <f t="shared" si="1"/>
        <v>371.83</v>
      </c>
      <c r="U14" s="232">
        <f t="shared" si="1"/>
        <v>526.09897066666656</v>
      </c>
      <c r="V14" s="232">
        <f t="shared" si="1"/>
        <v>475</v>
      </c>
      <c r="W14" s="232">
        <f t="shared" si="1"/>
        <v>25.21</v>
      </c>
      <c r="X14" s="232">
        <f>SUM(X15:X23)</f>
        <v>0</v>
      </c>
      <c r="Y14" s="232">
        <f>SUM(Y15:Y23)</f>
        <v>79.010000000000005</v>
      </c>
      <c r="Z14" s="232">
        <f>SUM(Z15:Z23)</f>
        <v>0</v>
      </c>
      <c r="AA14" s="232">
        <f>SUM(AA15:AA23)</f>
        <v>79.010000000000005</v>
      </c>
      <c r="AB14" s="232">
        <f>SUM(AB15:AB23)</f>
        <v>8063.49</v>
      </c>
      <c r="AC14" s="97"/>
      <c r="AG14" s="66"/>
    </row>
    <row r="15" spans="1:33" s="306" customFormat="1" ht="234.75" customHeight="1" x14ac:dyDescent="0.2">
      <c r="A15" s="367"/>
      <c r="B15" s="292" t="s">
        <v>339</v>
      </c>
      <c r="C15" s="286" t="s">
        <v>118</v>
      </c>
      <c r="D15" s="271" t="s">
        <v>340</v>
      </c>
      <c r="E15" s="272" t="s">
        <v>341</v>
      </c>
      <c r="F15" s="272" t="s">
        <v>342</v>
      </c>
      <c r="G15" s="273">
        <v>45154</v>
      </c>
      <c r="H15" s="274" t="s">
        <v>343</v>
      </c>
      <c r="I15" s="275">
        <v>15</v>
      </c>
      <c r="J15" s="276">
        <f>K15/I15</f>
        <v>254.93333333333334</v>
      </c>
      <c r="K15" s="277">
        <v>3824</v>
      </c>
      <c r="L15" s="278">
        <v>0</v>
      </c>
      <c r="M15" s="279">
        <f t="shared" ref="M15" si="2">SUM(K15:L15)</f>
        <v>3824</v>
      </c>
      <c r="N15" s="301">
        <f>IF(K15/15&lt;=SMG,0,L15/2)</f>
        <v>0</v>
      </c>
      <c r="O15" s="322">
        <f>(K15+N15)/I15*30.4</f>
        <v>7749.9733333333334</v>
      </c>
      <c r="P15" s="322">
        <f>VLOOKUP(O15,Tarifa,1)</f>
        <v>6332.06</v>
      </c>
      <c r="Q15" s="301">
        <f>O15-P15</f>
        <v>1417.913333333333</v>
      </c>
      <c r="R15" s="302">
        <f>VLOOKUP(O15,Tarifa,3)</f>
        <v>0.10879999999999999</v>
      </c>
      <c r="S15" s="301">
        <f>Q15*R15</f>
        <v>154.2689706666666</v>
      </c>
      <c r="T15" s="303">
        <f>VLOOKUP(O15,Tarifa,2)</f>
        <v>371.83</v>
      </c>
      <c r="U15" s="301">
        <f>S15+T15</f>
        <v>526.09897066666656</v>
      </c>
      <c r="V15" s="301">
        <f>VLOOKUP(O15,Credito,2)</f>
        <v>475</v>
      </c>
      <c r="W15" s="301">
        <f>ROUND((U15-V15)/30.4*I15,2)</f>
        <v>25.21</v>
      </c>
      <c r="X15" s="279">
        <f>-IF(W15&gt;0,0,0)</f>
        <v>0</v>
      </c>
      <c r="Y15" s="279">
        <f t="shared" ref="Y15" si="3">IF(K15/15&lt;=SMG,0,IF(W15&lt;0,0,W15))</f>
        <v>0</v>
      </c>
      <c r="Z15" s="280">
        <v>0</v>
      </c>
      <c r="AA15" s="279">
        <f t="shared" ref="AA15" si="4">SUM(Y15:Z15)</f>
        <v>0</v>
      </c>
      <c r="AB15" s="279">
        <f t="shared" ref="AB15" si="5">M15+X15-AA15</f>
        <v>3824</v>
      </c>
      <c r="AC15" s="291"/>
      <c r="AG15" s="365"/>
    </row>
    <row r="16" spans="1:33" s="52" customFormat="1" ht="61.5" customHeight="1" x14ac:dyDescent="0.3">
      <c r="A16" s="157"/>
      <c r="B16" s="247"/>
      <c r="C16" s="217"/>
      <c r="D16" s="218"/>
      <c r="E16" s="219"/>
      <c r="F16" s="219"/>
      <c r="G16" s="220"/>
      <c r="H16" s="208"/>
      <c r="I16" s="221"/>
      <c r="J16" s="22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  <c r="AC16" s="91"/>
      <c r="AG16" s="66"/>
    </row>
    <row r="17" spans="1:33" s="52" customFormat="1" ht="61.5" customHeight="1" x14ac:dyDescent="0.3">
      <c r="A17" s="157"/>
      <c r="B17" s="247"/>
      <c r="C17" s="217"/>
      <c r="D17" s="218"/>
      <c r="E17" s="219"/>
      <c r="F17" s="219"/>
      <c r="G17" s="220"/>
      <c r="H17" s="208"/>
      <c r="I17" s="221"/>
      <c r="J17" s="222"/>
      <c r="K17" s="223"/>
      <c r="L17" s="224"/>
      <c r="M17" s="225"/>
      <c r="N17" s="226"/>
      <c r="O17" s="226"/>
      <c r="P17" s="226"/>
      <c r="Q17" s="226"/>
      <c r="R17" s="227"/>
      <c r="S17" s="226"/>
      <c r="T17" s="228"/>
      <c r="U17" s="226"/>
      <c r="V17" s="226"/>
      <c r="W17" s="226"/>
      <c r="X17" s="225"/>
      <c r="Y17" s="225"/>
      <c r="Z17" s="229"/>
      <c r="AA17" s="225"/>
      <c r="AB17" s="225"/>
      <c r="AC17" s="91"/>
      <c r="AG17" s="66"/>
    </row>
    <row r="18" spans="1:33" s="52" customFormat="1" ht="24.75" customHeight="1" x14ac:dyDescent="0.3">
      <c r="A18" s="157"/>
      <c r="B18" s="247"/>
      <c r="C18" s="217"/>
      <c r="D18" s="218"/>
      <c r="E18" s="219"/>
      <c r="F18" s="219"/>
      <c r="G18" s="220"/>
      <c r="H18" s="208"/>
      <c r="I18" s="221"/>
      <c r="J18" s="222"/>
      <c r="K18" s="223"/>
      <c r="L18" s="224"/>
      <c r="M18" s="225"/>
      <c r="N18" s="226"/>
      <c r="O18" s="226"/>
      <c r="P18" s="226"/>
      <c r="Q18" s="226"/>
      <c r="R18" s="227"/>
      <c r="S18" s="226"/>
      <c r="T18" s="228"/>
      <c r="U18" s="226"/>
      <c r="V18" s="226"/>
      <c r="W18" s="226"/>
      <c r="X18" s="225"/>
      <c r="Y18" s="225"/>
      <c r="Z18" s="229"/>
      <c r="AA18" s="225"/>
      <c r="AB18" s="225"/>
      <c r="AC18" s="91"/>
      <c r="AG18" s="66"/>
    </row>
    <row r="19" spans="1:33" s="52" customFormat="1" ht="34.5" customHeight="1" x14ac:dyDescent="0.25">
      <c r="A19" s="157"/>
      <c r="B19" s="452" t="s">
        <v>77</v>
      </c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  <c r="AC19" s="452"/>
      <c r="AD19" s="452"/>
      <c r="AG19" s="66"/>
    </row>
    <row r="20" spans="1:33" s="52" customFormat="1" ht="36.75" customHeight="1" x14ac:dyDescent="0.25">
      <c r="A20" s="157"/>
      <c r="B20" s="452" t="s">
        <v>64</v>
      </c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  <c r="AC20" s="452"/>
      <c r="AD20" s="452"/>
      <c r="AG20" s="66"/>
    </row>
    <row r="21" spans="1:33" s="52" customFormat="1" ht="31.5" customHeight="1" x14ac:dyDescent="0.25">
      <c r="A21" s="157"/>
      <c r="B21" s="453" t="str">
        <f>PRESIDENCIA!A3</f>
        <v>SUELDO  DEL 01 AL 15 DE MARZO DE 2025</v>
      </c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G21" s="66"/>
    </row>
    <row r="22" spans="1:33" s="52" customFormat="1" ht="26.25" customHeight="1" x14ac:dyDescent="0.3">
      <c r="A22" s="157"/>
      <c r="B22" s="247"/>
      <c r="C22" s="217"/>
      <c r="D22" s="218"/>
      <c r="E22" s="219"/>
      <c r="F22" s="219"/>
      <c r="G22" s="220"/>
      <c r="H22" s="208"/>
      <c r="I22" s="221"/>
      <c r="J22" s="222"/>
      <c r="K22" s="223"/>
      <c r="L22" s="224"/>
      <c r="M22" s="225"/>
      <c r="N22" s="226"/>
      <c r="O22" s="226"/>
      <c r="P22" s="226"/>
      <c r="Q22" s="226"/>
      <c r="R22" s="227"/>
      <c r="S22" s="226"/>
      <c r="T22" s="228"/>
      <c r="U22" s="226"/>
      <c r="V22" s="226"/>
      <c r="W22" s="226"/>
      <c r="X22" s="225"/>
      <c r="Y22" s="225"/>
      <c r="Z22" s="229"/>
      <c r="AA22" s="225"/>
      <c r="AB22" s="225"/>
      <c r="AC22" s="91"/>
      <c r="AG22" s="66"/>
    </row>
    <row r="23" spans="1:33" s="306" customFormat="1" ht="230.25" customHeight="1" x14ac:dyDescent="0.2">
      <c r="A23" s="367"/>
      <c r="B23" s="292" t="s">
        <v>455</v>
      </c>
      <c r="C23" s="286" t="s">
        <v>118</v>
      </c>
      <c r="D23" s="293" t="s">
        <v>577</v>
      </c>
      <c r="E23" s="294" t="s">
        <v>578</v>
      </c>
      <c r="F23" s="294" t="s">
        <v>579</v>
      </c>
      <c r="G23" s="340">
        <v>45612</v>
      </c>
      <c r="H23" s="274" t="s">
        <v>456</v>
      </c>
      <c r="I23" s="275">
        <v>15</v>
      </c>
      <c r="J23" s="276">
        <f>K23/I23</f>
        <v>287.89999999999998</v>
      </c>
      <c r="K23" s="277">
        <v>4318.5</v>
      </c>
      <c r="L23" s="278">
        <v>0</v>
      </c>
      <c r="M23" s="279">
        <f t="shared" ref="M23" si="6">SUM(K23:L23)</f>
        <v>4318.5</v>
      </c>
      <c r="N23" s="301">
        <f>IF(K23/15&lt;=SMG,0,L23/2)</f>
        <v>0</v>
      </c>
      <c r="O23" s="322">
        <f>(K23+N23)/I23*30.4</f>
        <v>8752.159999999998</v>
      </c>
      <c r="P23" s="322">
        <f>VLOOKUP(O23,Tarifa,1)</f>
        <v>6332.06</v>
      </c>
      <c r="Q23" s="301">
        <f>O23-P23</f>
        <v>2420.0999999999976</v>
      </c>
      <c r="R23" s="302">
        <f>VLOOKUP(O23,Tarifa,3)</f>
        <v>0.10879999999999999</v>
      </c>
      <c r="S23" s="301">
        <f>Q23*R23</f>
        <v>263.30687999999975</v>
      </c>
      <c r="T23" s="303">
        <f>VLOOKUP(O23,Tarifa,2)</f>
        <v>371.83</v>
      </c>
      <c r="U23" s="301">
        <f>S23+T23</f>
        <v>635.13687999999979</v>
      </c>
      <c r="V23" s="301">
        <f>VLOOKUP(O23,Credito,2)</f>
        <v>475</v>
      </c>
      <c r="W23" s="301">
        <f>ROUND((U23-V23)/30.4*I23,2)</f>
        <v>79.010000000000005</v>
      </c>
      <c r="X23" s="279">
        <f>-IF(W23&gt;0,0,0)</f>
        <v>0</v>
      </c>
      <c r="Y23" s="279">
        <f t="shared" ref="Y23" si="7">IF(K23/15&lt;=SMG,0,IF(W23&lt;0,0,W23))</f>
        <v>79.010000000000005</v>
      </c>
      <c r="Z23" s="280">
        <v>0</v>
      </c>
      <c r="AA23" s="279">
        <f t="shared" ref="AA23" si="8">SUM(Y23:Z23)</f>
        <v>79.010000000000005</v>
      </c>
      <c r="AB23" s="279">
        <f t="shared" ref="AB23" si="9">M23+X23-AA23</f>
        <v>4239.49</v>
      </c>
      <c r="AC23" s="291"/>
      <c r="AG23" s="365"/>
    </row>
    <row r="24" spans="1:33" s="52" customFormat="1" ht="60.75" customHeight="1" x14ac:dyDescent="0.3">
      <c r="A24" s="157"/>
      <c r="B24" s="148" t="s">
        <v>97</v>
      </c>
      <c r="C24" s="148" t="s">
        <v>124</v>
      </c>
      <c r="D24" s="231" t="s">
        <v>320</v>
      </c>
      <c r="E24" s="231" t="s">
        <v>98</v>
      </c>
      <c r="F24" s="231" t="s">
        <v>229</v>
      </c>
      <c r="G24" s="230" t="s">
        <v>291</v>
      </c>
      <c r="H24" s="231" t="s">
        <v>61</v>
      </c>
      <c r="I24" s="231"/>
      <c r="J24" s="231"/>
      <c r="K24" s="232">
        <f>SUM(K25:K27)</f>
        <v>20863.5</v>
      </c>
      <c r="L24" s="232">
        <f>SUM(L25:L27)</f>
        <v>0</v>
      </c>
      <c r="M24" s="232">
        <f>SUM(M25:M27)</f>
        <v>20863.5</v>
      </c>
      <c r="N24" s="232">
        <f t="shared" ref="N24:W24" si="10">N25+N26+N27</f>
        <v>0</v>
      </c>
      <c r="O24" s="232">
        <f t="shared" si="10"/>
        <v>42283.360000000001</v>
      </c>
      <c r="P24" s="232">
        <f t="shared" si="10"/>
        <v>37307.5</v>
      </c>
      <c r="Q24" s="232">
        <f t="shared" si="10"/>
        <v>4975.8600000000015</v>
      </c>
      <c r="R24" s="232">
        <f t="shared" si="10"/>
        <v>0.53600000000000003</v>
      </c>
      <c r="S24" s="232">
        <f t="shared" si="10"/>
        <v>850.10318933333383</v>
      </c>
      <c r="T24" s="232">
        <f t="shared" si="10"/>
        <v>3652.19</v>
      </c>
      <c r="U24" s="232">
        <f t="shared" si="10"/>
        <v>4502.2931893333334</v>
      </c>
      <c r="V24" s="232">
        <f t="shared" si="10"/>
        <v>475</v>
      </c>
      <c r="W24" s="232">
        <f t="shared" si="10"/>
        <v>1987.1499999999999</v>
      </c>
      <c r="X24" s="232">
        <f>SUM(X25:X27)</f>
        <v>0</v>
      </c>
      <c r="Y24" s="232">
        <f>SUM(Y25:Y27)</f>
        <v>1929.08</v>
      </c>
      <c r="Z24" s="232">
        <f>SUM(Z25:Z27)</f>
        <v>0</v>
      </c>
      <c r="AA24" s="232">
        <f>SUM(AA25:AA27)</f>
        <v>1929.08</v>
      </c>
      <c r="AB24" s="232">
        <f>SUM(AB25:AB27)</f>
        <v>18934.419999999998</v>
      </c>
      <c r="AC24" s="97"/>
      <c r="AG24" s="66"/>
    </row>
    <row r="25" spans="1:33" s="306" customFormat="1" ht="230.25" customHeight="1" x14ac:dyDescent="0.2">
      <c r="A25" s="367"/>
      <c r="B25" s="292" t="s">
        <v>344</v>
      </c>
      <c r="C25" s="286" t="s">
        <v>118</v>
      </c>
      <c r="D25" s="293" t="s">
        <v>345</v>
      </c>
      <c r="E25" s="294" t="s">
        <v>346</v>
      </c>
      <c r="F25" s="294" t="s">
        <v>347</v>
      </c>
      <c r="G25" s="340">
        <v>45170</v>
      </c>
      <c r="H25" s="274" t="s">
        <v>348</v>
      </c>
      <c r="I25" s="275">
        <v>15</v>
      </c>
      <c r="J25" s="276">
        <f>K25/I25</f>
        <v>515.33333333333337</v>
      </c>
      <c r="K25" s="277">
        <v>7730</v>
      </c>
      <c r="L25" s="278">
        <v>0</v>
      </c>
      <c r="M25" s="279">
        <f>SUM(K25:L25)</f>
        <v>7730</v>
      </c>
      <c r="N25" s="301">
        <f>IF(K25/15&lt;=SMG,0,L25/2)</f>
        <v>0</v>
      </c>
      <c r="O25" s="322">
        <f>(K25+N25)/I25*30.4</f>
        <v>15666.133333333333</v>
      </c>
      <c r="P25" s="322">
        <f>VLOOKUP(O25,Tarifa,1)</f>
        <v>15487.72</v>
      </c>
      <c r="Q25" s="301">
        <f>O25-P25</f>
        <v>178.41333333333387</v>
      </c>
      <c r="R25" s="302">
        <f>VLOOKUP(O25,Tarifa,3)</f>
        <v>0.21360000000000001</v>
      </c>
      <c r="S25" s="301">
        <f>Q25*R25</f>
        <v>38.109088000000114</v>
      </c>
      <c r="T25" s="303">
        <f>VLOOKUP(O25,Tarifa,2)</f>
        <v>1640.18</v>
      </c>
      <c r="U25" s="301">
        <f>S25+T25</f>
        <v>1678.2890880000002</v>
      </c>
      <c r="V25" s="301">
        <f>VLOOKUP(O25,Credito,2)</f>
        <v>0</v>
      </c>
      <c r="W25" s="301">
        <f>ROUND((U25-V25)/30.4*I25,2)</f>
        <v>828.1</v>
      </c>
      <c r="X25" s="279">
        <f>-IF(W25&gt;0,0,0)</f>
        <v>0</v>
      </c>
      <c r="Y25" s="279">
        <f>IF(K25/15&lt;=SMG,0,IF(W25&lt;0,0,W25))</f>
        <v>828.1</v>
      </c>
      <c r="Z25" s="280">
        <v>0</v>
      </c>
      <c r="AA25" s="279">
        <f>SUM(Y25:Z25)</f>
        <v>828.1</v>
      </c>
      <c r="AB25" s="279">
        <f>M25+X25-AA25</f>
        <v>6901.9</v>
      </c>
      <c r="AC25" s="291"/>
      <c r="AG25" s="365"/>
    </row>
    <row r="26" spans="1:33" s="306" customFormat="1" ht="230.25" customHeight="1" x14ac:dyDescent="0.2">
      <c r="A26" s="367"/>
      <c r="B26" s="292" t="s">
        <v>334</v>
      </c>
      <c r="C26" s="286" t="s">
        <v>118</v>
      </c>
      <c r="D26" s="293" t="s">
        <v>321</v>
      </c>
      <c r="E26" s="294" t="s">
        <v>322</v>
      </c>
      <c r="F26" s="294" t="s">
        <v>323</v>
      </c>
      <c r="G26" s="340">
        <v>45108</v>
      </c>
      <c r="H26" s="274" t="s">
        <v>324</v>
      </c>
      <c r="I26" s="275">
        <v>15</v>
      </c>
      <c r="J26" s="276">
        <f>K26/I26</f>
        <v>600.5</v>
      </c>
      <c r="K26" s="277">
        <v>9007.5</v>
      </c>
      <c r="L26" s="278">
        <v>0</v>
      </c>
      <c r="M26" s="279">
        <f t="shared" ref="M26" si="11">SUM(K26:L26)</f>
        <v>9007.5</v>
      </c>
      <c r="N26" s="301">
        <f>IF(K26/15&lt;=SMG,0,L26/2)</f>
        <v>0</v>
      </c>
      <c r="O26" s="322">
        <f>(K26+N26)/I26*30.4</f>
        <v>18255.2</v>
      </c>
      <c r="P26" s="322">
        <f>VLOOKUP(O26,Tarifa,1)</f>
        <v>15487.72</v>
      </c>
      <c r="Q26" s="301">
        <f>O26-P26</f>
        <v>2767.4800000000014</v>
      </c>
      <c r="R26" s="302">
        <f>VLOOKUP(O26,Tarifa,3)</f>
        <v>0.21360000000000001</v>
      </c>
      <c r="S26" s="301">
        <f>Q26*R26</f>
        <v>591.13372800000036</v>
      </c>
      <c r="T26" s="303">
        <f>VLOOKUP(O26,Tarifa,2)</f>
        <v>1640.18</v>
      </c>
      <c r="U26" s="301">
        <f>S26+T26</f>
        <v>2231.3137280000005</v>
      </c>
      <c r="V26" s="301">
        <f>VLOOKUP(O26,Credito,2)</f>
        <v>0</v>
      </c>
      <c r="W26" s="301">
        <f>ROUND((U26-V26)/30.4*I26,2)</f>
        <v>1100.98</v>
      </c>
      <c r="X26" s="279">
        <f>-IF(W26&gt;0,0,0)</f>
        <v>0</v>
      </c>
      <c r="Y26" s="279">
        <f t="shared" ref="Y26" si="12">IF(K26/15&lt;=SMG,0,IF(W26&lt;0,0,W26))</f>
        <v>1100.98</v>
      </c>
      <c r="Z26" s="280">
        <v>0</v>
      </c>
      <c r="AA26" s="279">
        <f t="shared" ref="AA26" si="13">SUM(Y26:Z26)</f>
        <v>1100.98</v>
      </c>
      <c r="AB26" s="279">
        <f t="shared" ref="AB26" si="14">M26+X26-AA26</f>
        <v>7906.52</v>
      </c>
      <c r="AC26" s="291"/>
      <c r="AG26" s="365"/>
    </row>
    <row r="27" spans="1:33" s="306" customFormat="1" ht="230.25" customHeight="1" x14ac:dyDescent="0.2">
      <c r="A27" s="367"/>
      <c r="B27" s="292" t="s">
        <v>349</v>
      </c>
      <c r="C27" s="286" t="s">
        <v>118</v>
      </c>
      <c r="D27" s="293" t="s">
        <v>353</v>
      </c>
      <c r="E27" s="294" t="s">
        <v>354</v>
      </c>
      <c r="F27" s="294" t="s">
        <v>355</v>
      </c>
      <c r="G27" s="340">
        <v>45200</v>
      </c>
      <c r="H27" s="274" t="s">
        <v>356</v>
      </c>
      <c r="I27" s="275">
        <v>15</v>
      </c>
      <c r="J27" s="276">
        <f>K27/I27</f>
        <v>275.06666666666666</v>
      </c>
      <c r="K27" s="277">
        <v>4126</v>
      </c>
      <c r="L27" s="278">
        <v>0</v>
      </c>
      <c r="M27" s="279">
        <f>SUM(K27:L27)</f>
        <v>4126</v>
      </c>
      <c r="N27" s="301">
        <f>IF(K27/15&lt;=SMG,0,L27/2)</f>
        <v>0</v>
      </c>
      <c r="O27" s="322">
        <f>(K27+N27)/I27*30.4</f>
        <v>8362.0266666666666</v>
      </c>
      <c r="P27" s="322">
        <f>VLOOKUP(O27,Tarifa,1)</f>
        <v>6332.06</v>
      </c>
      <c r="Q27" s="301">
        <f>O27-P27</f>
        <v>2029.9666666666662</v>
      </c>
      <c r="R27" s="302">
        <f>VLOOKUP(O27,Tarifa,3)</f>
        <v>0.10879999999999999</v>
      </c>
      <c r="S27" s="301">
        <f>Q27*R27</f>
        <v>220.86037333333329</v>
      </c>
      <c r="T27" s="303">
        <f>VLOOKUP(O27,Tarifa,2)</f>
        <v>371.83</v>
      </c>
      <c r="U27" s="301">
        <f>S27+T27</f>
        <v>592.69037333333324</v>
      </c>
      <c r="V27" s="301">
        <f>VLOOKUP(O27,Credito,2)</f>
        <v>475</v>
      </c>
      <c r="W27" s="301">
        <f>ROUND((U27-V27)/30.4*I27,2)</f>
        <v>58.07</v>
      </c>
      <c r="X27" s="279">
        <f>-IF(W27&gt;0,0,0)</f>
        <v>0</v>
      </c>
      <c r="Y27" s="279">
        <f>IF(K27/15&lt;=SMG,0,IF(W27&lt;0,0,W27))</f>
        <v>0</v>
      </c>
      <c r="Z27" s="280">
        <v>0</v>
      </c>
      <c r="AA27" s="279">
        <f>SUM(Y27:Z27)</f>
        <v>0</v>
      </c>
      <c r="AB27" s="279">
        <f>M27+X27-AA27</f>
        <v>4126</v>
      </c>
      <c r="AC27" s="291"/>
      <c r="AG27" s="365"/>
    </row>
    <row r="28" spans="1:33" s="52" customFormat="1" ht="47.25" customHeight="1" x14ac:dyDescent="0.25">
      <c r="A28" s="157"/>
      <c r="B28" s="207" t="s">
        <v>97</v>
      </c>
      <c r="C28" s="207" t="s">
        <v>124</v>
      </c>
      <c r="D28" s="207" t="s">
        <v>477</v>
      </c>
      <c r="E28" s="253" t="s">
        <v>98</v>
      </c>
      <c r="F28" s="253" t="s">
        <v>229</v>
      </c>
      <c r="G28" s="207" t="s">
        <v>291</v>
      </c>
      <c r="H28" s="253" t="s">
        <v>61</v>
      </c>
      <c r="I28" s="253"/>
      <c r="J28" s="253"/>
      <c r="K28" s="254">
        <f>SUM(K29)</f>
        <v>6207.5</v>
      </c>
      <c r="L28" s="254">
        <f>SUM(L29)</f>
        <v>0</v>
      </c>
      <c r="M28" s="254">
        <f>SUM(M29)</f>
        <v>6207.5</v>
      </c>
      <c r="N28" s="253"/>
      <c r="O28" s="253"/>
      <c r="P28" s="253"/>
      <c r="Q28" s="253"/>
      <c r="R28" s="253"/>
      <c r="S28" s="253"/>
      <c r="T28" s="255"/>
      <c r="U28" s="253"/>
      <c r="V28" s="253"/>
      <c r="W28" s="253"/>
      <c r="X28" s="254">
        <f>SUM(X29)</f>
        <v>0</v>
      </c>
      <c r="Y28" s="254">
        <f>SUM(Y29)</f>
        <v>555.61</v>
      </c>
      <c r="Z28" s="254">
        <f>SUM(Z29)</f>
        <v>0</v>
      </c>
      <c r="AA28" s="254">
        <f>SUM(AA29)</f>
        <v>555.61</v>
      </c>
      <c r="AB28" s="254">
        <f>SUM(AB29)</f>
        <v>5651.89</v>
      </c>
      <c r="AC28" s="182"/>
      <c r="AG28" s="66"/>
    </row>
    <row r="29" spans="1:33" s="306" customFormat="1" ht="230.25" customHeight="1" x14ac:dyDescent="0.2">
      <c r="A29" s="367"/>
      <c r="B29" s="292" t="s">
        <v>478</v>
      </c>
      <c r="C29" s="286" t="s">
        <v>118</v>
      </c>
      <c r="D29" s="271" t="s">
        <v>479</v>
      </c>
      <c r="E29" s="272" t="s">
        <v>480</v>
      </c>
      <c r="F29" s="272" t="s">
        <v>481</v>
      </c>
      <c r="G29" s="273">
        <v>45566</v>
      </c>
      <c r="H29" s="274" t="s">
        <v>482</v>
      </c>
      <c r="I29" s="275">
        <v>15</v>
      </c>
      <c r="J29" s="276">
        <f>K29/I29</f>
        <v>413.83333333333331</v>
      </c>
      <c r="K29" s="277">
        <v>6207.5</v>
      </c>
      <c r="L29" s="278">
        <v>0</v>
      </c>
      <c r="M29" s="279">
        <f>SUM(K29:L29)</f>
        <v>6207.5</v>
      </c>
      <c r="N29" s="301">
        <f>IF(K29/15&lt;=SMG,0,L29/2)</f>
        <v>0</v>
      </c>
      <c r="O29" s="322">
        <f>(K29+N29)/I29*30.4</f>
        <v>12580.533333333333</v>
      </c>
      <c r="P29" s="322">
        <f>VLOOKUP(O29,Tarifa,1)</f>
        <v>11128.02</v>
      </c>
      <c r="Q29" s="301">
        <f>O29-P29</f>
        <v>1452.5133333333324</v>
      </c>
      <c r="R29" s="302">
        <f>VLOOKUP(O29,Tarifa,3)</f>
        <v>0.16</v>
      </c>
      <c r="S29" s="301">
        <f>Q29*R29</f>
        <v>232.40213333333318</v>
      </c>
      <c r="T29" s="303">
        <f>VLOOKUP(O29,Tarifa,2)</f>
        <v>893.63</v>
      </c>
      <c r="U29" s="301">
        <f>S29+T29</f>
        <v>1126.0321333333331</v>
      </c>
      <c r="V29" s="301">
        <f>VLOOKUP(O29,Credito,2)</f>
        <v>0</v>
      </c>
      <c r="W29" s="301">
        <f>ROUND((U29-V29)/30.4*I29,2)</f>
        <v>555.61</v>
      </c>
      <c r="X29" s="279">
        <f>-IF(W29&gt;0,0,0)</f>
        <v>0</v>
      </c>
      <c r="Y29" s="279">
        <f>IF(K29/15&lt;=SMG,0,IF(W29&lt;0,0,W29))</f>
        <v>555.61</v>
      </c>
      <c r="Z29" s="280">
        <v>0</v>
      </c>
      <c r="AA29" s="279">
        <f>SUM(Y29:Z29)</f>
        <v>555.61</v>
      </c>
      <c r="AB29" s="279">
        <f>M29+X29-AA29</f>
        <v>5651.89</v>
      </c>
      <c r="AC29" s="281"/>
      <c r="AG29" s="365"/>
    </row>
    <row r="30" spans="1:33" s="306" customFormat="1" ht="118.5" customHeight="1" x14ac:dyDescent="0.2">
      <c r="A30" s="367"/>
      <c r="B30" s="424"/>
      <c r="C30" s="425"/>
      <c r="D30" s="426"/>
      <c r="E30" s="427"/>
      <c r="F30" s="427"/>
      <c r="G30" s="428"/>
      <c r="H30" s="429"/>
      <c r="I30" s="430"/>
      <c r="J30" s="431"/>
      <c r="K30" s="432"/>
      <c r="L30" s="433"/>
      <c r="M30" s="434"/>
      <c r="N30" s="404"/>
      <c r="O30" s="405"/>
      <c r="P30" s="405"/>
      <c r="Q30" s="404"/>
      <c r="R30" s="406"/>
      <c r="S30" s="404"/>
      <c r="T30" s="407"/>
      <c r="U30" s="404"/>
      <c r="V30" s="404"/>
      <c r="W30" s="404"/>
      <c r="X30" s="434"/>
      <c r="Y30" s="434"/>
      <c r="Z30" s="435"/>
      <c r="AA30" s="434"/>
      <c r="AB30" s="434"/>
      <c r="AC30" s="436"/>
      <c r="AG30" s="365"/>
    </row>
    <row r="31" spans="1:33" s="306" customFormat="1" ht="35.25" customHeight="1" x14ac:dyDescent="0.2">
      <c r="A31" s="367"/>
      <c r="B31" s="424"/>
      <c r="C31" s="425"/>
      <c r="D31" s="426"/>
      <c r="E31" s="427"/>
      <c r="F31" s="427"/>
      <c r="G31" s="428"/>
      <c r="H31" s="429"/>
      <c r="I31" s="430"/>
      <c r="J31" s="431"/>
      <c r="K31" s="432"/>
      <c r="L31" s="433"/>
      <c r="M31" s="434"/>
      <c r="N31" s="404"/>
      <c r="O31" s="405"/>
      <c r="P31" s="405"/>
      <c r="Q31" s="404"/>
      <c r="R31" s="406"/>
      <c r="S31" s="404"/>
      <c r="T31" s="407"/>
      <c r="U31" s="404"/>
      <c r="V31" s="404"/>
      <c r="W31" s="404"/>
      <c r="X31" s="434"/>
      <c r="Y31" s="434"/>
      <c r="Z31" s="435"/>
      <c r="AA31" s="434"/>
      <c r="AB31" s="434"/>
      <c r="AC31" s="436"/>
      <c r="AG31" s="365"/>
    </row>
    <row r="32" spans="1:33" s="306" customFormat="1" ht="35.25" customHeight="1" x14ac:dyDescent="0.2">
      <c r="A32" s="367"/>
      <c r="B32" s="424"/>
      <c r="C32" s="425"/>
      <c r="D32" s="426"/>
      <c r="E32" s="427"/>
      <c r="F32" s="427"/>
      <c r="G32" s="428"/>
      <c r="H32" s="429"/>
      <c r="I32" s="430"/>
      <c r="J32" s="431"/>
      <c r="K32" s="432"/>
      <c r="L32" s="433"/>
      <c r="M32" s="434"/>
      <c r="N32" s="404"/>
      <c r="O32" s="405"/>
      <c r="P32" s="405"/>
      <c r="Q32" s="404"/>
      <c r="R32" s="406"/>
      <c r="S32" s="404"/>
      <c r="T32" s="407"/>
      <c r="U32" s="404"/>
      <c r="V32" s="404"/>
      <c r="W32" s="404"/>
      <c r="X32" s="434"/>
      <c r="Y32" s="434"/>
      <c r="Z32" s="435"/>
      <c r="AA32" s="434"/>
      <c r="AB32" s="434"/>
      <c r="AC32" s="436"/>
      <c r="AG32" s="365"/>
    </row>
    <row r="33" spans="1:33" s="52" customFormat="1" ht="45" customHeight="1" x14ac:dyDescent="0.25">
      <c r="A33" s="157"/>
      <c r="B33" s="452" t="s">
        <v>77</v>
      </c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52"/>
      <c r="X33" s="452"/>
      <c r="Y33" s="452"/>
      <c r="Z33" s="452"/>
      <c r="AA33" s="452"/>
      <c r="AB33" s="452"/>
      <c r="AC33" s="452"/>
      <c r="AG33" s="66"/>
    </row>
    <row r="34" spans="1:33" s="52" customFormat="1" ht="33.75" customHeight="1" x14ac:dyDescent="0.25">
      <c r="A34" s="157"/>
      <c r="B34" s="452" t="s">
        <v>64</v>
      </c>
      <c r="C34" s="452"/>
      <c r="D34" s="452"/>
      <c r="E34" s="452"/>
      <c r="F34" s="452"/>
      <c r="G34" s="452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52"/>
      <c r="X34" s="452"/>
      <c r="Y34" s="452"/>
      <c r="Z34" s="452"/>
      <c r="AA34" s="452"/>
      <c r="AB34" s="452"/>
      <c r="AC34" s="452"/>
      <c r="AG34" s="66"/>
    </row>
    <row r="35" spans="1:33" s="52" customFormat="1" ht="42" customHeight="1" x14ac:dyDescent="0.25">
      <c r="A35" s="157"/>
      <c r="B35" s="491" t="str">
        <f>PRESIDENCIA!A3</f>
        <v>SUELDO  DEL 01 AL 15 DE MARZO DE 2025</v>
      </c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  <c r="AA35" s="453"/>
      <c r="AB35" s="453"/>
      <c r="AC35" s="453"/>
      <c r="AG35" s="66"/>
    </row>
    <row r="36" spans="1:33" s="52" customFormat="1" ht="25.5" customHeight="1" x14ac:dyDescent="0.3">
      <c r="A36" s="157"/>
      <c r="B36" s="247"/>
      <c r="C36" s="217"/>
      <c r="D36" s="218"/>
      <c r="E36" s="219"/>
      <c r="F36" s="219"/>
      <c r="G36" s="220"/>
      <c r="H36" s="208"/>
      <c r="I36" s="221"/>
      <c r="J36" s="222"/>
      <c r="K36" s="223"/>
      <c r="L36" s="224"/>
      <c r="M36" s="225"/>
      <c r="N36" s="226"/>
      <c r="O36" s="226"/>
      <c r="P36" s="226"/>
      <c r="Q36" s="226"/>
      <c r="R36" s="227"/>
      <c r="S36" s="226"/>
      <c r="T36" s="228"/>
      <c r="U36" s="226"/>
      <c r="V36" s="226"/>
      <c r="W36" s="226"/>
      <c r="X36" s="225"/>
      <c r="Y36" s="225"/>
      <c r="Z36" s="229"/>
      <c r="AA36" s="225"/>
      <c r="AB36" s="225"/>
      <c r="AC36" s="91"/>
      <c r="AG36" s="66"/>
    </row>
    <row r="37" spans="1:33" s="108" customFormat="1" ht="71.25" customHeight="1" x14ac:dyDescent="0.3">
      <c r="A37" s="133"/>
      <c r="B37" s="207" t="s">
        <v>97</v>
      </c>
      <c r="C37" s="207" t="s">
        <v>124</v>
      </c>
      <c r="D37" s="234" t="s">
        <v>127</v>
      </c>
      <c r="E37" s="235" t="s">
        <v>98</v>
      </c>
      <c r="F37" s="235" t="s">
        <v>229</v>
      </c>
      <c r="G37" s="234" t="s">
        <v>291</v>
      </c>
      <c r="H37" s="235" t="s">
        <v>61</v>
      </c>
      <c r="I37" s="235"/>
      <c r="J37" s="235"/>
      <c r="K37" s="236">
        <f>SUM(K38)</f>
        <v>7730</v>
      </c>
      <c r="L37" s="236">
        <f>SUM(L38)</f>
        <v>0</v>
      </c>
      <c r="M37" s="236">
        <f>SUM(M38)</f>
        <v>7730</v>
      </c>
      <c r="N37" s="235"/>
      <c r="O37" s="235"/>
      <c r="P37" s="235"/>
      <c r="Q37" s="235"/>
      <c r="R37" s="235"/>
      <c r="S37" s="235"/>
      <c r="T37" s="237"/>
      <c r="U37" s="235"/>
      <c r="V37" s="235"/>
      <c r="W37" s="235"/>
      <c r="X37" s="236">
        <f>SUM(X38)</f>
        <v>0</v>
      </c>
      <c r="Y37" s="236">
        <f>SUM(Y38)</f>
        <v>828.1</v>
      </c>
      <c r="Z37" s="236">
        <f>SUM(Z38)</f>
        <v>0</v>
      </c>
      <c r="AA37" s="236">
        <f>SUM(AA38)</f>
        <v>828.1</v>
      </c>
      <c r="AB37" s="236">
        <f>SUM(AB38)</f>
        <v>6901.9</v>
      </c>
      <c r="AC37" s="182"/>
      <c r="AG37" s="185"/>
    </row>
    <row r="38" spans="1:33" s="368" customFormat="1" ht="230.25" customHeight="1" x14ac:dyDescent="0.2">
      <c r="A38" s="270" t="s">
        <v>89</v>
      </c>
      <c r="B38" s="292" t="s">
        <v>469</v>
      </c>
      <c r="C38" s="286" t="s">
        <v>118</v>
      </c>
      <c r="D38" s="271" t="s">
        <v>466</v>
      </c>
      <c r="E38" s="272" t="s">
        <v>467</v>
      </c>
      <c r="F38" s="272" t="s">
        <v>468</v>
      </c>
      <c r="G38" s="273">
        <v>45566</v>
      </c>
      <c r="H38" s="274" t="s">
        <v>96</v>
      </c>
      <c r="I38" s="275">
        <v>15</v>
      </c>
      <c r="J38" s="276">
        <f>K38/I38</f>
        <v>515.33333333333337</v>
      </c>
      <c r="K38" s="277">
        <v>7730</v>
      </c>
      <c r="L38" s="278">
        <v>0</v>
      </c>
      <c r="M38" s="279">
        <f>SUM(K38:L38)</f>
        <v>7730</v>
      </c>
      <c r="N38" s="301">
        <f>IF(K38/15&lt;=SMG,0,L38/2)</f>
        <v>0</v>
      </c>
      <c r="O38" s="322">
        <f>(K38+N38)/I38*30.4</f>
        <v>15666.133333333333</v>
      </c>
      <c r="P38" s="322">
        <f>VLOOKUP(O38,Tarifa,1)</f>
        <v>15487.72</v>
      </c>
      <c r="Q38" s="301">
        <f>O38-P38</f>
        <v>178.41333333333387</v>
      </c>
      <c r="R38" s="302">
        <f>VLOOKUP(O38,Tarifa,3)</f>
        <v>0.21360000000000001</v>
      </c>
      <c r="S38" s="301">
        <f>Q38*R38</f>
        <v>38.109088000000114</v>
      </c>
      <c r="T38" s="303">
        <f>VLOOKUP(O38,Tarifa,2)</f>
        <v>1640.18</v>
      </c>
      <c r="U38" s="301">
        <f>S38+T38</f>
        <v>1678.2890880000002</v>
      </c>
      <c r="V38" s="301">
        <f>VLOOKUP(O38,Credito,2)</f>
        <v>0</v>
      </c>
      <c r="W38" s="301">
        <f>ROUND((U38-V38)/30.4*I38,2)</f>
        <v>828.1</v>
      </c>
      <c r="X38" s="279">
        <f>-IF(W38&gt;0,0,0)</f>
        <v>0</v>
      </c>
      <c r="Y38" s="279">
        <f>IF(K38/15&lt;=SMG,0,IF(W38&lt;0,0,W38))</f>
        <v>828.1</v>
      </c>
      <c r="Z38" s="280">
        <v>0</v>
      </c>
      <c r="AA38" s="279">
        <f>SUM(Y38:Z38)</f>
        <v>828.1</v>
      </c>
      <c r="AB38" s="279">
        <f>M38+X38-AA38</f>
        <v>6901.9</v>
      </c>
      <c r="AC38" s="281"/>
      <c r="AG38" s="369"/>
    </row>
    <row r="39" spans="1:33" s="108" customFormat="1" ht="57.75" customHeight="1" x14ac:dyDescent="0.3">
      <c r="A39" s="162"/>
      <c r="B39" s="148" t="s">
        <v>97</v>
      </c>
      <c r="C39" s="148" t="s">
        <v>124</v>
      </c>
      <c r="D39" s="231" t="s">
        <v>142</v>
      </c>
      <c r="E39" s="231" t="s">
        <v>98</v>
      </c>
      <c r="F39" s="231" t="s">
        <v>229</v>
      </c>
      <c r="G39" s="230" t="s">
        <v>291</v>
      </c>
      <c r="H39" s="231" t="s">
        <v>61</v>
      </c>
      <c r="I39" s="231"/>
      <c r="J39" s="231"/>
      <c r="K39" s="232">
        <f>SUM(K40:K41)</f>
        <v>15460</v>
      </c>
      <c r="L39" s="232">
        <f>SUM(L40:L41)</f>
        <v>0</v>
      </c>
      <c r="M39" s="232">
        <f>SUM(M40:M41)</f>
        <v>15460</v>
      </c>
      <c r="N39" s="231"/>
      <c r="O39" s="231"/>
      <c r="P39" s="231"/>
      <c r="Q39" s="231"/>
      <c r="R39" s="231"/>
      <c r="S39" s="231"/>
      <c r="T39" s="233"/>
      <c r="U39" s="231"/>
      <c r="V39" s="231"/>
      <c r="W39" s="231"/>
      <c r="X39" s="232">
        <f>SUM(X40:X41)</f>
        <v>0</v>
      </c>
      <c r="Y39" s="232">
        <f>SUM(Y40:Y41)</f>
        <v>1656.2</v>
      </c>
      <c r="Z39" s="232">
        <f>SUM(Z40:Z41)</f>
        <v>0</v>
      </c>
      <c r="AA39" s="232">
        <f>SUM(AA40:AA41)</f>
        <v>1656.2</v>
      </c>
      <c r="AB39" s="232">
        <f>SUM(AB40:AB41)</f>
        <v>13803.8</v>
      </c>
      <c r="AC39" s="184"/>
    </row>
    <row r="40" spans="1:33" s="368" customFormat="1" ht="230.25" customHeight="1" x14ac:dyDescent="0.2">
      <c r="A40" s="370"/>
      <c r="B40" s="292" t="s">
        <v>160</v>
      </c>
      <c r="C40" s="286" t="s">
        <v>118</v>
      </c>
      <c r="D40" s="271" t="s">
        <v>144</v>
      </c>
      <c r="E40" s="294" t="s">
        <v>156</v>
      </c>
      <c r="F40" s="294" t="s">
        <v>244</v>
      </c>
      <c r="G40" s="340">
        <v>43101</v>
      </c>
      <c r="H40" s="274" t="s">
        <v>465</v>
      </c>
      <c r="I40" s="275">
        <v>15</v>
      </c>
      <c r="J40" s="276">
        <f>K40/I40</f>
        <v>515.33333333333337</v>
      </c>
      <c r="K40" s="277">
        <v>7730</v>
      </c>
      <c r="L40" s="278">
        <v>0</v>
      </c>
      <c r="M40" s="279">
        <f>SUM(K40:L40)</f>
        <v>7730</v>
      </c>
      <c r="N40" s="301">
        <f>IF(K40/15&lt;=SMG,0,L40/2)</f>
        <v>0</v>
      </c>
      <c r="O40" s="322">
        <f>(K40+N40)/I40*30.4</f>
        <v>15666.133333333333</v>
      </c>
      <c r="P40" s="322">
        <f>VLOOKUP(O40,Tarifa,1)</f>
        <v>15487.72</v>
      </c>
      <c r="Q40" s="301">
        <f>O40-P40</f>
        <v>178.41333333333387</v>
      </c>
      <c r="R40" s="302">
        <f>VLOOKUP(O40,Tarifa,3)</f>
        <v>0.21360000000000001</v>
      </c>
      <c r="S40" s="301">
        <f>Q40*R40</f>
        <v>38.109088000000114</v>
      </c>
      <c r="T40" s="303">
        <f>VLOOKUP(O40,Tarifa,2)</f>
        <v>1640.18</v>
      </c>
      <c r="U40" s="301">
        <f>S40+T40</f>
        <v>1678.2890880000002</v>
      </c>
      <c r="V40" s="301">
        <f>VLOOKUP(O40,Credito,2)</f>
        <v>0</v>
      </c>
      <c r="W40" s="301">
        <f>ROUND((U40-V40)/30.4*I40,2)</f>
        <v>828.1</v>
      </c>
      <c r="X40" s="279">
        <f>-IF(W40&gt;0,0,0)</f>
        <v>0</v>
      </c>
      <c r="Y40" s="279">
        <f>IF(K40/15&lt;=SMG,0,IF(W40&lt;0,0,W40))</f>
        <v>828.1</v>
      </c>
      <c r="Z40" s="280">
        <v>0</v>
      </c>
      <c r="AA40" s="279">
        <f>SUM(Y40:Z40)</f>
        <v>828.1</v>
      </c>
      <c r="AB40" s="279">
        <f>M40+X40-AA40</f>
        <v>6901.9</v>
      </c>
      <c r="AC40" s="371"/>
    </row>
    <row r="41" spans="1:33" s="368" customFormat="1" ht="230.25" customHeight="1" x14ac:dyDescent="0.2">
      <c r="A41" s="370"/>
      <c r="B41" s="292" t="s">
        <v>471</v>
      </c>
      <c r="C41" s="286" t="s">
        <v>118</v>
      </c>
      <c r="D41" s="271" t="s">
        <v>470</v>
      </c>
      <c r="E41" s="294" t="s">
        <v>472</v>
      </c>
      <c r="F41" s="294" t="s">
        <v>473</v>
      </c>
      <c r="G41" s="340">
        <v>45292</v>
      </c>
      <c r="H41" s="274" t="s">
        <v>145</v>
      </c>
      <c r="I41" s="275">
        <v>15</v>
      </c>
      <c r="J41" s="276">
        <f>K41/I41</f>
        <v>515.33333333333337</v>
      </c>
      <c r="K41" s="277">
        <v>7730</v>
      </c>
      <c r="L41" s="278">
        <v>0</v>
      </c>
      <c r="M41" s="279">
        <f>SUM(K41:L41)</f>
        <v>7730</v>
      </c>
      <c r="N41" s="301">
        <f>IF(K41/15&lt;=SMG,0,L41/2)</f>
        <v>0</v>
      </c>
      <c r="O41" s="322">
        <f>(K41+N41)/I41*30.4</f>
        <v>15666.133333333333</v>
      </c>
      <c r="P41" s="322">
        <f>VLOOKUP(O41,Tarifa,1)</f>
        <v>15487.72</v>
      </c>
      <c r="Q41" s="301">
        <f>O41-P41</f>
        <v>178.41333333333387</v>
      </c>
      <c r="R41" s="302">
        <f>VLOOKUP(O41,Tarifa,3)</f>
        <v>0.21360000000000001</v>
      </c>
      <c r="S41" s="301">
        <f>Q41*R41</f>
        <v>38.109088000000114</v>
      </c>
      <c r="T41" s="303">
        <f>VLOOKUP(O41,Tarifa,2)</f>
        <v>1640.18</v>
      </c>
      <c r="U41" s="301">
        <f>S41+T41</f>
        <v>1678.2890880000002</v>
      </c>
      <c r="V41" s="301">
        <f>VLOOKUP(O41,Credito,2)</f>
        <v>0</v>
      </c>
      <c r="W41" s="301">
        <f>ROUND((U41-V41)/30.4*I41,2)</f>
        <v>828.1</v>
      </c>
      <c r="X41" s="279">
        <f>-IF(W41&gt;0,0,0)</f>
        <v>0</v>
      </c>
      <c r="Y41" s="279">
        <f>IF(K41/15&lt;=SMG,0,IF(W41&lt;0,0,W41))</f>
        <v>828.1</v>
      </c>
      <c r="Z41" s="280">
        <v>0</v>
      </c>
      <c r="AA41" s="279">
        <f>SUM(Y41:Z41)</f>
        <v>828.1</v>
      </c>
      <c r="AB41" s="279">
        <f>M41+X41-AA41</f>
        <v>6901.9</v>
      </c>
      <c r="AC41" s="304"/>
    </row>
    <row r="42" spans="1:33" s="108" customFormat="1" ht="18" x14ac:dyDescent="0.25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86"/>
      <c r="L42" s="186"/>
      <c r="M42" s="186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07"/>
    </row>
    <row r="43" spans="1:33" s="108" customFormat="1" ht="39" customHeight="1" x14ac:dyDescent="0.3">
      <c r="A43" s="492" t="s">
        <v>44</v>
      </c>
      <c r="B43" s="492"/>
      <c r="C43" s="492"/>
      <c r="D43" s="492"/>
      <c r="E43" s="492"/>
      <c r="F43" s="492"/>
      <c r="G43" s="492"/>
      <c r="H43" s="492"/>
      <c r="I43" s="492"/>
      <c r="J43" s="492"/>
      <c r="K43" s="238">
        <f t="shared" ref="K43:AB43" si="15">K8+K11+K14+K24+K28+K37+K39</f>
        <v>83418.5</v>
      </c>
      <c r="L43" s="238">
        <f t="shared" si="15"/>
        <v>0</v>
      </c>
      <c r="M43" s="238">
        <f t="shared" si="15"/>
        <v>83418.5</v>
      </c>
      <c r="N43" s="238">
        <f t="shared" si="15"/>
        <v>0</v>
      </c>
      <c r="O43" s="238">
        <f t="shared" si="15"/>
        <v>76714.399999999994</v>
      </c>
      <c r="P43" s="238">
        <f t="shared" si="15"/>
        <v>65459.34</v>
      </c>
      <c r="Q43" s="238">
        <f t="shared" si="15"/>
        <v>11255.060000000001</v>
      </c>
      <c r="R43" s="238">
        <f t="shared" si="15"/>
        <v>0.96720000000000006</v>
      </c>
      <c r="S43" s="238">
        <f t="shared" si="15"/>
        <v>1551.9778666666671</v>
      </c>
      <c r="T43" s="238">
        <f t="shared" si="15"/>
        <v>6036.0300000000007</v>
      </c>
      <c r="U43" s="238">
        <f t="shared" si="15"/>
        <v>7588.0078666666668</v>
      </c>
      <c r="V43" s="238">
        <f t="shared" si="15"/>
        <v>950</v>
      </c>
      <c r="W43" s="238">
        <f t="shared" si="15"/>
        <v>3275.33</v>
      </c>
      <c r="X43" s="238">
        <f t="shared" si="15"/>
        <v>0</v>
      </c>
      <c r="Y43" s="238">
        <f t="shared" si="15"/>
        <v>7139.07</v>
      </c>
      <c r="Z43" s="238">
        <f t="shared" si="15"/>
        <v>0</v>
      </c>
      <c r="AA43" s="238">
        <f t="shared" si="15"/>
        <v>7139.07</v>
      </c>
      <c r="AB43" s="238">
        <f t="shared" si="15"/>
        <v>76279.429999999993</v>
      </c>
      <c r="AC43" s="107"/>
    </row>
    <row r="44" spans="1:33" s="52" customFormat="1" ht="12" x14ac:dyDescent="0.2"/>
    <row r="45" spans="1:33" s="52" customFormat="1" ht="12" x14ac:dyDescent="0.2"/>
    <row r="46" spans="1:33" s="52" customFormat="1" ht="12" x14ac:dyDescent="0.2"/>
    <row r="47" spans="1:33" s="52" customFormat="1" ht="12" x14ac:dyDescent="0.2"/>
    <row r="48" spans="1:33" s="52" customFormat="1" ht="12" x14ac:dyDescent="0.2"/>
    <row r="49" spans="4:39" s="52" customFormat="1" ht="12" x14ac:dyDescent="0.2"/>
    <row r="50" spans="4:39" s="52" customFormat="1" ht="12" x14ac:dyDescent="0.2"/>
    <row r="51" spans="4:39" s="52" customFormat="1" ht="17.25" customHeight="1" x14ac:dyDescent="0.2"/>
    <row r="52" spans="4:39" s="52" customFormat="1" ht="12" x14ac:dyDescent="0.2"/>
    <row r="53" spans="4:39" s="52" customFormat="1" ht="12" x14ac:dyDescent="0.2"/>
    <row r="54" spans="4:39" s="52" customFormat="1" ht="12" x14ac:dyDescent="0.2"/>
    <row r="55" spans="4:39" s="52" customFormat="1" ht="13.5" customHeight="1" x14ac:dyDescent="0.2"/>
    <row r="56" spans="4:39" s="52" customFormat="1" ht="12" x14ac:dyDescent="0.2"/>
    <row r="57" spans="4:39" s="52" customFormat="1" ht="12" x14ac:dyDescent="0.2"/>
    <row r="58" spans="4:39" s="52" customFormat="1" ht="12" x14ac:dyDescent="0.2"/>
    <row r="59" spans="4:39" s="52" customForma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4:39" s="52" customFormat="1" ht="18" x14ac:dyDescent="0.25">
      <c r="D60" s="216" t="s">
        <v>530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216" t="s">
        <v>147</v>
      </c>
      <c r="Z60" s="108"/>
      <c r="AA60" s="108"/>
      <c r="AB60" s="108"/>
    </row>
    <row r="61" spans="4:39" s="52" customFormat="1" ht="18" x14ac:dyDescent="0.25">
      <c r="D61" s="216" t="s">
        <v>551</v>
      </c>
      <c r="E61" s="216"/>
      <c r="F61" s="216"/>
      <c r="G61" s="216"/>
      <c r="H61" s="216"/>
      <c r="I61" s="216"/>
      <c r="J61" s="216"/>
      <c r="K61" s="216"/>
      <c r="L61" s="216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216" t="s">
        <v>219</v>
      </c>
      <c r="Z61" s="108"/>
      <c r="AA61" s="216"/>
      <c r="AB61" s="216"/>
      <c r="AC61" s="61"/>
      <c r="AD61" s="61"/>
      <c r="AE61" s="61"/>
      <c r="AF61" s="61"/>
      <c r="AG61" s="61"/>
      <c r="AH61" s="61"/>
      <c r="AI61" s="61"/>
      <c r="AL61" s="61"/>
      <c r="AM61" s="61"/>
    </row>
    <row r="62" spans="4:39" s="52" customFormat="1" ht="18" x14ac:dyDescent="0.25"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4:39" s="52" customFormat="1" ht="18" x14ac:dyDescent="0.25"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4:39" s="52" customFormat="1" ht="12" x14ac:dyDescent="0.2"/>
  </sheetData>
  <mergeCells count="14">
    <mergeCell ref="B21:AD21"/>
    <mergeCell ref="B33:AC33"/>
    <mergeCell ref="B34:AC34"/>
    <mergeCell ref="B35:AC35"/>
    <mergeCell ref="A43:J43"/>
    <mergeCell ref="B19:AD19"/>
    <mergeCell ref="B20:AD20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:E10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7" zoomScale="57" zoomScaleNormal="57" workbookViewId="0">
      <selection activeCell="F17" sqref="F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9.5" x14ac:dyDescent="0.25">
      <c r="A3" s="453" t="str">
        <f>PRESIDENCIA!A3</f>
        <v>SUELDO  DEL 01 AL 15 DE MARZO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8" t="s">
        <v>1</v>
      </c>
      <c r="L6" s="479"/>
      <c r="M6" s="480"/>
      <c r="N6" s="50" t="s">
        <v>25</v>
      </c>
      <c r="O6" s="51"/>
      <c r="P6" s="481" t="s">
        <v>8</v>
      </c>
      <c r="Q6" s="482"/>
      <c r="R6" s="482"/>
      <c r="S6" s="482"/>
      <c r="T6" s="482"/>
      <c r="U6" s="483"/>
      <c r="V6" s="50" t="s">
        <v>29</v>
      </c>
      <c r="W6" s="50" t="s">
        <v>9</v>
      </c>
      <c r="X6" s="49" t="s">
        <v>52</v>
      </c>
      <c r="Y6" s="484" t="s">
        <v>2</v>
      </c>
      <c r="Z6" s="485"/>
      <c r="AA6" s="486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281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3" t="s">
        <v>113</v>
      </c>
      <c r="C9" s="494"/>
      <c r="D9" s="495"/>
      <c r="E9" s="127" t="s">
        <v>98</v>
      </c>
      <c r="F9" s="127" t="s">
        <v>229</v>
      </c>
      <c r="G9" s="125" t="s">
        <v>291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9"/>
      <c r="X9" s="64"/>
      <c r="Y9" s="64"/>
      <c r="Z9" s="64"/>
      <c r="AA9" s="64"/>
      <c r="AB9" s="64"/>
      <c r="AC9" s="99"/>
    </row>
    <row r="10" spans="1:29" s="343" customFormat="1" ht="216.75" customHeight="1" x14ac:dyDescent="0.2">
      <c r="A10" s="268" t="s">
        <v>83</v>
      </c>
      <c r="B10" s="286" t="s">
        <v>108</v>
      </c>
      <c r="C10" s="286" t="s">
        <v>118</v>
      </c>
      <c r="D10" s="271" t="s">
        <v>95</v>
      </c>
      <c r="E10" s="272" t="s">
        <v>109</v>
      </c>
      <c r="F10" s="272" t="s">
        <v>235</v>
      </c>
      <c r="G10" s="372">
        <v>42278</v>
      </c>
      <c r="H10" s="274" t="s">
        <v>205</v>
      </c>
      <c r="I10" s="275">
        <v>15</v>
      </c>
      <c r="J10" s="276">
        <f>K10/I10</f>
        <v>1332.8</v>
      </c>
      <c r="K10" s="277">
        <v>19992</v>
      </c>
      <c r="L10" s="278">
        <v>0</v>
      </c>
      <c r="M10" s="279">
        <f>SUM(K10:L10)</f>
        <v>19992</v>
      </c>
      <c r="N10" s="301">
        <f>IF(K10/15&lt;=SMG,0,L10/2)</f>
        <v>0</v>
      </c>
      <c r="O10" s="322">
        <f>(K10+N10)/I10*30.4</f>
        <v>40517.119999999995</v>
      </c>
      <c r="P10" s="322">
        <f>VLOOKUP(O10,Tarifa,1)</f>
        <v>31236.5</v>
      </c>
      <c r="Q10" s="322">
        <f>O10-P10</f>
        <v>9280.6199999999953</v>
      </c>
      <c r="R10" s="302">
        <f>VLOOKUP(O10,Tarifa,3)</f>
        <v>0.23519999999999999</v>
      </c>
      <c r="S10" s="301">
        <f>Q10*R10</f>
        <v>2182.8018239999988</v>
      </c>
      <c r="T10" s="303">
        <f>VLOOKUP(O10,Tarifa,2)</f>
        <v>5004.12</v>
      </c>
      <c r="U10" s="378">
        <f>S10+T10</f>
        <v>7186.9218239999991</v>
      </c>
      <c r="V10" s="378">
        <f>VLOOKUP(O10,Credito,2)</f>
        <v>0</v>
      </c>
      <c r="W10" s="378">
        <f>ROUND((U10-V10)/30.4*I10,2)</f>
        <v>3546.18</v>
      </c>
      <c r="X10" s="279">
        <f>-IF(W10&gt;0,0,0)</f>
        <v>0</v>
      </c>
      <c r="Y10" s="279">
        <f>IF(K10/15&lt;=SMG,0,IF(W10&lt;0,0,W10))</f>
        <v>3546.18</v>
      </c>
      <c r="Z10" s="280">
        <v>0</v>
      </c>
      <c r="AA10" s="279">
        <f>SUM(Y10:Z10)</f>
        <v>3546.18</v>
      </c>
      <c r="AB10" s="279">
        <f>M10+X10-AA10</f>
        <v>16445.82</v>
      </c>
      <c r="AC10" s="342"/>
    </row>
    <row r="11" spans="1:29" s="343" customFormat="1" ht="216.75" customHeight="1" x14ac:dyDescent="0.2">
      <c r="A11" s="268" t="s">
        <v>85</v>
      </c>
      <c r="B11" s="286" t="s">
        <v>101</v>
      </c>
      <c r="C11" s="286" t="s">
        <v>118</v>
      </c>
      <c r="D11" s="271" t="s">
        <v>72</v>
      </c>
      <c r="E11" s="272" t="s">
        <v>110</v>
      </c>
      <c r="F11" s="272" t="s">
        <v>230</v>
      </c>
      <c r="G11" s="372">
        <v>39462</v>
      </c>
      <c r="H11" s="274" t="s">
        <v>635</v>
      </c>
      <c r="I11" s="275">
        <v>15</v>
      </c>
      <c r="J11" s="276">
        <f>K11/I11</f>
        <v>888.66666666666663</v>
      </c>
      <c r="K11" s="277">
        <v>13330</v>
      </c>
      <c r="L11" s="278">
        <v>0</v>
      </c>
      <c r="M11" s="279">
        <f>K11</f>
        <v>13330</v>
      </c>
      <c r="N11" s="301">
        <f>IF(K11/15&lt;=SMG,0,L11/2)</f>
        <v>0</v>
      </c>
      <c r="O11" s="322">
        <f>(K11+N11)/I11*30.4</f>
        <v>27015.466666666664</v>
      </c>
      <c r="P11" s="322">
        <f>VLOOKUP(O11,Tarifa,1)</f>
        <v>15487.72</v>
      </c>
      <c r="Q11" s="301">
        <f>O11-P11</f>
        <v>11527.746666666664</v>
      </c>
      <c r="R11" s="302">
        <f>VLOOKUP(O11,Tarifa,3)</f>
        <v>0.21360000000000001</v>
      </c>
      <c r="S11" s="301">
        <f>Q11*R11</f>
        <v>2462.3266879999996</v>
      </c>
      <c r="T11" s="303">
        <f>VLOOKUP(O11,Tarifa,2)</f>
        <v>1640.18</v>
      </c>
      <c r="U11" s="301">
        <f>S11+T11</f>
        <v>4102.5066879999995</v>
      </c>
      <c r="V11" s="301">
        <f>VLOOKUP(O11,Credito,2)</f>
        <v>0</v>
      </c>
      <c r="W11" s="301">
        <f>ROUND((U11-V11)/30.4*I11,2)</f>
        <v>2024.26</v>
      </c>
      <c r="X11" s="279">
        <f>-IF(W11&gt;0,0,0)</f>
        <v>0</v>
      </c>
      <c r="Y11" s="279">
        <f>IF(K11/15&lt;=SMG,0,IF(W11&lt;0,0,W11))</f>
        <v>2024.26</v>
      </c>
      <c r="Z11" s="280">
        <v>0</v>
      </c>
      <c r="AA11" s="279">
        <f>SUM(Y11:Z11)</f>
        <v>2024.26</v>
      </c>
      <c r="AB11" s="279">
        <f>M11+X11-AA11</f>
        <v>11305.74</v>
      </c>
      <c r="AC11" s="342"/>
    </row>
    <row r="12" spans="1:29" s="343" customFormat="1" ht="216.75" customHeight="1" x14ac:dyDescent="0.2">
      <c r="A12" s="268" t="s">
        <v>86</v>
      </c>
      <c r="B12" s="286" t="s">
        <v>111</v>
      </c>
      <c r="C12" s="286" t="s">
        <v>118</v>
      </c>
      <c r="D12" s="271" t="s">
        <v>94</v>
      </c>
      <c r="E12" s="272" t="s">
        <v>112</v>
      </c>
      <c r="F12" s="272" t="s">
        <v>236</v>
      </c>
      <c r="G12" s="372">
        <v>42278</v>
      </c>
      <c r="H12" s="274" t="s">
        <v>206</v>
      </c>
      <c r="I12" s="275">
        <v>15</v>
      </c>
      <c r="J12" s="276">
        <f>K12/I12</f>
        <v>471.26666666666665</v>
      </c>
      <c r="K12" s="277">
        <v>7069</v>
      </c>
      <c r="L12" s="278">
        <v>0</v>
      </c>
      <c r="M12" s="279">
        <f>SUM(K12:L12)</f>
        <v>7069</v>
      </c>
      <c r="N12" s="301">
        <f>IF(K12/15&lt;=SMG,0,L12/2)</f>
        <v>0</v>
      </c>
      <c r="O12" s="322">
        <f>(K12+N12)/I12*30.4</f>
        <v>14326.506666666666</v>
      </c>
      <c r="P12" s="322">
        <f>VLOOKUP(O12,Tarifa,1)</f>
        <v>12935.83</v>
      </c>
      <c r="Q12" s="301">
        <f>O12-P12</f>
        <v>1390.6766666666663</v>
      </c>
      <c r="R12" s="302">
        <f>VLOOKUP(O12,Tarifa,3)</f>
        <v>0.1792</v>
      </c>
      <c r="S12" s="301">
        <f>Q12*R12</f>
        <v>249.20925866666659</v>
      </c>
      <c r="T12" s="303">
        <f>VLOOKUP(O12,Tarifa,2)</f>
        <v>1182.8800000000001</v>
      </c>
      <c r="U12" s="301">
        <f>S12+T12</f>
        <v>1432.0892586666666</v>
      </c>
      <c r="V12" s="301">
        <f>VLOOKUP(O12,Credito,2)</f>
        <v>0</v>
      </c>
      <c r="W12" s="301">
        <f>ROUND((U12-V12)/30.4*I12,2)</f>
        <v>706.62</v>
      </c>
      <c r="X12" s="279">
        <f>-IF(W12&gt;0,0,0)</f>
        <v>0</v>
      </c>
      <c r="Y12" s="279">
        <f>IF(K12/15&lt;=SMG,0,IF(W12&lt;0,0,W12))</f>
        <v>706.62</v>
      </c>
      <c r="Z12" s="280">
        <v>0</v>
      </c>
      <c r="AA12" s="279">
        <f>SUM(Y12:Z12)</f>
        <v>706.62</v>
      </c>
      <c r="AB12" s="279">
        <f>M12+X12-AA12</f>
        <v>6362.38</v>
      </c>
      <c r="AC12" s="342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49" t="s">
        <v>44</v>
      </c>
      <c r="B14" s="450"/>
      <c r="C14" s="450"/>
      <c r="D14" s="450"/>
      <c r="E14" s="450"/>
      <c r="F14" s="450"/>
      <c r="G14" s="450"/>
      <c r="H14" s="450"/>
      <c r="I14" s="450"/>
      <c r="J14" s="451"/>
      <c r="K14" s="210">
        <f>SUM(K10:K13)</f>
        <v>40391</v>
      </c>
      <c r="L14" s="210">
        <f>SUM(L10:L13)</f>
        <v>0</v>
      </c>
      <c r="M14" s="210">
        <f>SUM(M10:M13)</f>
        <v>40391</v>
      </c>
      <c r="N14" s="211">
        <f t="shared" ref="N14" si="0">SUM(N10:N13)</f>
        <v>0</v>
      </c>
      <c r="O14" s="211">
        <f t="shared" ref="O14:AA14" si="1">SUM(O10:O13)</f>
        <v>81859.093333333323</v>
      </c>
      <c r="P14" s="211">
        <f t="shared" si="1"/>
        <v>59660.05</v>
      </c>
      <c r="Q14" s="211">
        <f t="shared" si="1"/>
        <v>22199.043333333328</v>
      </c>
      <c r="R14" s="211">
        <f t="shared" si="1"/>
        <v>0.628</v>
      </c>
      <c r="S14" s="211">
        <f t="shared" si="1"/>
        <v>4894.3377706666652</v>
      </c>
      <c r="T14" s="211">
        <f t="shared" si="1"/>
        <v>7827.18</v>
      </c>
      <c r="U14" s="211">
        <f t="shared" si="1"/>
        <v>12721.517770666665</v>
      </c>
      <c r="V14" s="211">
        <f t="shared" si="1"/>
        <v>0</v>
      </c>
      <c r="W14" s="211">
        <f t="shared" si="1"/>
        <v>6277.0599999999995</v>
      </c>
      <c r="X14" s="210">
        <f t="shared" si="1"/>
        <v>0</v>
      </c>
      <c r="Y14" s="210">
        <f t="shared" si="1"/>
        <v>6277.0599999999995</v>
      </c>
      <c r="Z14" s="210">
        <f t="shared" si="1"/>
        <v>0</v>
      </c>
      <c r="AA14" s="210">
        <f t="shared" si="1"/>
        <v>6277.0599999999995</v>
      </c>
      <c r="AB14" s="210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6" t="s">
        <v>530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6" t="s">
        <v>149</v>
      </c>
      <c r="Z24" s="216"/>
      <c r="AA24" s="216"/>
      <c r="AB24" s="216"/>
      <c r="AC24" s="108"/>
    </row>
    <row r="25" spans="4:41" ht="18" x14ac:dyDescent="0.25">
      <c r="D25" s="216" t="s">
        <v>551</v>
      </c>
      <c r="E25" s="216"/>
      <c r="F25" s="216"/>
      <c r="G25" s="216"/>
      <c r="H25" s="216"/>
      <c r="I25" s="216"/>
      <c r="J25" s="216"/>
      <c r="K25" s="216"/>
      <c r="L25" s="216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6" t="s">
        <v>259</v>
      </c>
      <c r="Z25" s="216"/>
      <c r="AA25" s="216"/>
      <c r="AB25" s="216"/>
      <c r="AC25" s="216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30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30" ht="18" x14ac:dyDescent="0.25">
      <c r="A3" s="496" t="str">
        <f>PRESIDENCIA!A3</f>
        <v>SUELDO  DEL 01 AL 15 DE MARZO DE 2025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4" t="s">
        <v>1</v>
      </c>
      <c r="L5" s="465"/>
      <c r="M5" s="466"/>
      <c r="N5" s="24" t="s">
        <v>25</v>
      </c>
      <c r="O5" s="25"/>
      <c r="P5" s="467" t="s">
        <v>8</v>
      </c>
      <c r="Q5" s="468"/>
      <c r="R5" s="468"/>
      <c r="S5" s="468"/>
      <c r="T5" s="468"/>
      <c r="U5" s="469"/>
      <c r="V5" s="24" t="s">
        <v>29</v>
      </c>
      <c r="W5" s="24" t="s">
        <v>9</v>
      </c>
      <c r="X5" s="23" t="s">
        <v>52</v>
      </c>
      <c r="Y5" s="470" t="s">
        <v>2</v>
      </c>
      <c r="Z5" s="471"/>
      <c r="AA5" s="472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229</v>
      </c>
      <c r="G8" s="197" t="s">
        <v>291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6" customFormat="1" ht="230.25" customHeight="1" x14ac:dyDescent="0.2">
      <c r="A9" s="268" t="s">
        <v>83</v>
      </c>
      <c r="B9" s="292" t="s">
        <v>515</v>
      </c>
      <c r="C9" s="286" t="s">
        <v>118</v>
      </c>
      <c r="D9" s="271" t="s">
        <v>489</v>
      </c>
      <c r="E9" s="272" t="s">
        <v>516</v>
      </c>
      <c r="F9" s="373" t="s">
        <v>517</v>
      </c>
      <c r="G9" s="374">
        <v>45566</v>
      </c>
      <c r="H9" s="272" t="s">
        <v>74</v>
      </c>
      <c r="I9" s="290">
        <v>15</v>
      </c>
      <c r="J9" s="375">
        <f>K9/I9</f>
        <v>625.93333333333328</v>
      </c>
      <c r="K9" s="277">
        <v>9389</v>
      </c>
      <c r="L9" s="277"/>
      <c r="M9" s="279">
        <f t="shared" ref="M9:M23" si="0">SUM(K9:K9)</f>
        <v>9389</v>
      </c>
      <c r="N9" s="301">
        <f>IF(K9/15&lt;=SMG,0,L9/2)</f>
        <v>0</v>
      </c>
      <c r="O9" s="322">
        <f>(K9+N9)/I9*30.4</f>
        <v>19028.373333333329</v>
      </c>
      <c r="P9" s="322">
        <f>VLOOKUP(O9,Tarifa,1)</f>
        <v>15487.72</v>
      </c>
      <c r="Q9" s="301">
        <f>O9-P9</f>
        <v>3540.65333333333</v>
      </c>
      <c r="R9" s="302">
        <f>VLOOKUP(O9,Tarifa,3)</f>
        <v>0.21360000000000001</v>
      </c>
      <c r="S9" s="301">
        <f>Q9*R9</f>
        <v>756.2835519999993</v>
      </c>
      <c r="T9" s="303">
        <f>VLOOKUP(O9,Tarifa,2)</f>
        <v>1640.18</v>
      </c>
      <c r="U9" s="301">
        <f>S9+T9</f>
        <v>2396.4635519999993</v>
      </c>
      <c r="V9" s="301">
        <f>VLOOKUP(O9,Credito,2)</f>
        <v>0</v>
      </c>
      <c r="W9" s="301">
        <f>ROUND((U9-V9)/30.4*I9,2)</f>
        <v>1182.47</v>
      </c>
      <c r="X9" s="279">
        <f>-IF(W9&gt;0,0,W9)</f>
        <v>0</v>
      </c>
      <c r="Y9" s="279">
        <f>IF(K9/15&lt;=SMG,0,IF(W9&lt;0,0,W9))</f>
        <v>1182.47</v>
      </c>
      <c r="Z9" s="280">
        <v>0</v>
      </c>
      <c r="AA9" s="279">
        <f t="shared" ref="AA9:AA22" si="1">SUM(Y9:Z9)</f>
        <v>1182.47</v>
      </c>
      <c r="AB9" s="279">
        <f t="shared" ref="AB9:AB23" si="2">M9+X9-AA9</f>
        <v>8206.5300000000007</v>
      </c>
      <c r="AC9" s="376"/>
    </row>
    <row r="10" spans="1:30" s="326" customFormat="1" ht="230.25" customHeight="1" x14ac:dyDescent="0.2">
      <c r="A10" s="268" t="s">
        <v>84</v>
      </c>
      <c r="B10" s="292" t="s">
        <v>513</v>
      </c>
      <c r="C10" s="286" t="s">
        <v>118</v>
      </c>
      <c r="D10" s="271" t="s">
        <v>490</v>
      </c>
      <c r="E10" s="272" t="s">
        <v>495</v>
      </c>
      <c r="F10" s="272" t="s">
        <v>496</v>
      </c>
      <c r="G10" s="374">
        <v>45566</v>
      </c>
      <c r="H10" s="272" t="s">
        <v>74</v>
      </c>
      <c r="I10" s="290">
        <v>15</v>
      </c>
      <c r="J10" s="375">
        <f>K10/I10</f>
        <v>625.93333333333328</v>
      </c>
      <c r="K10" s="277">
        <v>9389</v>
      </c>
      <c r="L10" s="277"/>
      <c r="M10" s="279">
        <f t="shared" si="0"/>
        <v>9389</v>
      </c>
      <c r="N10" s="301">
        <f>IF(K10/15&lt;=SMG,0,L10/2)</f>
        <v>0</v>
      </c>
      <c r="O10" s="322">
        <f>(K10+N10)/I10*30.4</f>
        <v>19028.373333333329</v>
      </c>
      <c r="P10" s="322">
        <f>VLOOKUP(O10,Tarifa,1)</f>
        <v>15487.72</v>
      </c>
      <c r="Q10" s="301">
        <f>O10-P10</f>
        <v>3540.65333333333</v>
      </c>
      <c r="R10" s="302">
        <f>VLOOKUP(O10,Tarifa,3)</f>
        <v>0.21360000000000001</v>
      </c>
      <c r="S10" s="301">
        <f>Q10*R10</f>
        <v>756.2835519999993</v>
      </c>
      <c r="T10" s="303">
        <f>VLOOKUP(O10,Tarifa,2)</f>
        <v>1640.18</v>
      </c>
      <c r="U10" s="301">
        <f>S10+T10</f>
        <v>2396.4635519999993</v>
      </c>
      <c r="V10" s="301">
        <f>VLOOKUP(O10,Credito,2)</f>
        <v>0</v>
      </c>
      <c r="W10" s="301">
        <f>ROUND((U10-V10)/30.4*I10,2)</f>
        <v>1182.47</v>
      </c>
      <c r="X10" s="279">
        <f t="shared" ref="X10:X23" si="3">-IF(W10&gt;0,0,W10)</f>
        <v>0</v>
      </c>
      <c r="Y10" s="279">
        <f t="shared" ref="Y10:Y23" si="4">IF(K10/15&lt;=SMG,0,IF(W10&lt;0,0,W10))</f>
        <v>1182.47</v>
      </c>
      <c r="Z10" s="280">
        <v>0</v>
      </c>
      <c r="AA10" s="279">
        <f t="shared" si="1"/>
        <v>1182.47</v>
      </c>
      <c r="AB10" s="279">
        <f t="shared" si="2"/>
        <v>8206.5300000000007</v>
      </c>
      <c r="AC10" s="376"/>
    </row>
    <row r="11" spans="1:30" s="326" customFormat="1" ht="230.25" customHeight="1" x14ac:dyDescent="0.2">
      <c r="A11" s="268" t="s">
        <v>85</v>
      </c>
      <c r="B11" s="292" t="s">
        <v>514</v>
      </c>
      <c r="C11" s="286" t="s">
        <v>118</v>
      </c>
      <c r="D11" s="271" t="s">
        <v>511</v>
      </c>
      <c r="E11" s="272" t="s">
        <v>526</v>
      </c>
      <c r="F11" s="272" t="s">
        <v>520</v>
      </c>
      <c r="G11" s="374">
        <v>45566</v>
      </c>
      <c r="H11" s="272" t="s">
        <v>74</v>
      </c>
      <c r="I11" s="290">
        <v>15</v>
      </c>
      <c r="J11" s="375">
        <f>K11/I11</f>
        <v>625.93333333333328</v>
      </c>
      <c r="K11" s="277">
        <v>9389</v>
      </c>
      <c r="L11" s="277"/>
      <c r="M11" s="279">
        <f t="shared" si="0"/>
        <v>9389</v>
      </c>
      <c r="N11" s="301">
        <f>IF(K11/15&lt;=SMG,0,L11/2)</f>
        <v>0</v>
      </c>
      <c r="O11" s="322">
        <f>(K11+N11)/I11*30.4</f>
        <v>19028.373333333329</v>
      </c>
      <c r="P11" s="322">
        <f>VLOOKUP(O11,Tarifa,1)</f>
        <v>15487.72</v>
      </c>
      <c r="Q11" s="301">
        <f>O11-P11</f>
        <v>3540.65333333333</v>
      </c>
      <c r="R11" s="302">
        <f>VLOOKUP(O11,Tarifa,3)</f>
        <v>0.21360000000000001</v>
      </c>
      <c r="S11" s="301">
        <f>Q11*R11</f>
        <v>756.2835519999993</v>
      </c>
      <c r="T11" s="303">
        <f>VLOOKUP(O11,Tarifa,2)</f>
        <v>1640.18</v>
      </c>
      <c r="U11" s="301">
        <f>S11+T11</f>
        <v>2396.4635519999993</v>
      </c>
      <c r="V11" s="301">
        <f>VLOOKUP(O11,Credito,2)</f>
        <v>0</v>
      </c>
      <c r="W11" s="301">
        <f>ROUND((U11-V11)/30.4*I11,2)</f>
        <v>1182.47</v>
      </c>
      <c r="X11" s="279">
        <f t="shared" si="3"/>
        <v>0</v>
      </c>
      <c r="Y11" s="279">
        <f t="shared" si="4"/>
        <v>1182.47</v>
      </c>
      <c r="Z11" s="280">
        <v>0</v>
      </c>
      <c r="AA11" s="279">
        <f t="shared" si="1"/>
        <v>1182.47</v>
      </c>
      <c r="AB11" s="279">
        <f t="shared" si="2"/>
        <v>8206.5300000000007</v>
      </c>
      <c r="AC11" s="377"/>
    </row>
    <row r="12" spans="1:30" s="326" customFormat="1" ht="230.25" customHeight="1" x14ac:dyDescent="0.2">
      <c r="A12" s="268" t="s">
        <v>86</v>
      </c>
      <c r="B12" s="292" t="s">
        <v>512</v>
      </c>
      <c r="C12" s="286" t="s">
        <v>118</v>
      </c>
      <c r="D12" s="271" t="s">
        <v>491</v>
      </c>
      <c r="E12" s="272" t="s">
        <v>493</v>
      </c>
      <c r="F12" s="272" t="s">
        <v>494</v>
      </c>
      <c r="G12" s="374">
        <v>45566</v>
      </c>
      <c r="H12" s="272" t="s">
        <v>74</v>
      </c>
      <c r="I12" s="290">
        <v>15</v>
      </c>
      <c r="J12" s="375">
        <f>K12/I12</f>
        <v>625.93333333333328</v>
      </c>
      <c r="K12" s="277">
        <v>9389</v>
      </c>
      <c r="L12" s="277"/>
      <c r="M12" s="279">
        <f t="shared" ref="M12" si="5">SUM(K12:K12)</f>
        <v>9389</v>
      </c>
      <c r="N12" s="301">
        <f>IF(K12/15&lt;=SMG,0,L12/2)</f>
        <v>0</v>
      </c>
      <c r="O12" s="322">
        <f>(K12+N12)/I12*30.4</f>
        <v>19028.373333333329</v>
      </c>
      <c r="P12" s="322">
        <f>VLOOKUP(O12,Tarifa,1)</f>
        <v>15487.72</v>
      </c>
      <c r="Q12" s="301">
        <f>O12-P12</f>
        <v>3540.65333333333</v>
      </c>
      <c r="R12" s="302">
        <f>VLOOKUP(O12,Tarifa,3)</f>
        <v>0.21360000000000001</v>
      </c>
      <c r="S12" s="301">
        <f>Q12*R12</f>
        <v>756.2835519999993</v>
      </c>
      <c r="T12" s="303">
        <f>VLOOKUP(O12,Tarifa,2)</f>
        <v>1640.18</v>
      </c>
      <c r="U12" s="301">
        <f>S12+T12</f>
        <v>2396.4635519999993</v>
      </c>
      <c r="V12" s="301">
        <f>VLOOKUP(O12,Credito,2)</f>
        <v>0</v>
      </c>
      <c r="W12" s="301">
        <f>ROUND((U12-V12)/30.4*I12,2)</f>
        <v>1182.47</v>
      </c>
      <c r="X12" s="279">
        <f t="shared" si="3"/>
        <v>0</v>
      </c>
      <c r="Y12" s="279">
        <f t="shared" si="4"/>
        <v>1182.47</v>
      </c>
      <c r="Z12" s="280">
        <v>0</v>
      </c>
      <c r="AA12" s="279">
        <f t="shared" si="1"/>
        <v>1182.47</v>
      </c>
      <c r="AB12" s="279">
        <f t="shared" si="2"/>
        <v>8206.5300000000007</v>
      </c>
      <c r="AC12" s="376"/>
    </row>
    <row r="13" spans="1:30" s="326" customFormat="1" ht="230.25" customHeight="1" x14ac:dyDescent="0.2">
      <c r="A13" s="268" t="s">
        <v>87</v>
      </c>
      <c r="B13" s="292" t="s">
        <v>518</v>
      </c>
      <c r="C13" s="286" t="s">
        <v>118</v>
      </c>
      <c r="D13" s="293" t="s">
        <v>492</v>
      </c>
      <c r="E13" s="294" t="s">
        <v>412</v>
      </c>
      <c r="F13" s="296" t="s">
        <v>413</v>
      </c>
      <c r="G13" s="374">
        <v>45566</v>
      </c>
      <c r="H13" s="294" t="s">
        <v>74</v>
      </c>
      <c r="I13" s="290">
        <v>15</v>
      </c>
      <c r="J13" s="375">
        <f>K13/I13</f>
        <v>625.93333333333328</v>
      </c>
      <c r="K13" s="277">
        <v>9389</v>
      </c>
      <c r="L13" s="277"/>
      <c r="M13" s="279">
        <f t="shared" ref="M13" si="6">SUM(K13:K13)</f>
        <v>9389</v>
      </c>
      <c r="N13" s="301">
        <f>IF(K13/15&lt;=SMG,0,L13/2)</f>
        <v>0</v>
      </c>
      <c r="O13" s="322">
        <f>(K13+N13)/I13*30.4</f>
        <v>19028.373333333329</v>
      </c>
      <c r="P13" s="322">
        <f>VLOOKUP(O13,Tarifa,1)</f>
        <v>15487.72</v>
      </c>
      <c r="Q13" s="301">
        <f>O13-P13</f>
        <v>3540.65333333333</v>
      </c>
      <c r="R13" s="302">
        <f>VLOOKUP(O13,Tarifa,3)</f>
        <v>0.21360000000000001</v>
      </c>
      <c r="S13" s="301">
        <f>Q13*R13</f>
        <v>756.2835519999993</v>
      </c>
      <c r="T13" s="303">
        <f>VLOOKUP(O13,Tarifa,2)</f>
        <v>1640.18</v>
      </c>
      <c r="U13" s="301">
        <f>S13+T13</f>
        <v>2396.4635519999993</v>
      </c>
      <c r="V13" s="301">
        <f>VLOOKUP(O13,Credito,2)</f>
        <v>0</v>
      </c>
      <c r="W13" s="301">
        <f>ROUND((U13-V13)/30.4*I13,2)</f>
        <v>1182.47</v>
      </c>
      <c r="X13" s="279">
        <f t="shared" ref="X13" si="7">-IF(W13&gt;0,0,W13)</f>
        <v>0</v>
      </c>
      <c r="Y13" s="279">
        <f t="shared" si="4"/>
        <v>1182.47</v>
      </c>
      <c r="Z13" s="280">
        <v>0</v>
      </c>
      <c r="AA13" s="279">
        <f t="shared" ref="AA13" si="8">SUM(Y13:Z13)</f>
        <v>1182.47</v>
      </c>
      <c r="AB13" s="279">
        <f t="shared" ref="AB13" si="9">M13+X13-AA13</f>
        <v>8206.5300000000007</v>
      </c>
      <c r="AC13" s="376"/>
    </row>
    <row r="14" spans="1:30" ht="46.5" customHeight="1" x14ac:dyDescent="0.3">
      <c r="A14" s="143"/>
      <c r="B14" s="247"/>
      <c r="C14" s="217"/>
      <c r="D14" s="218"/>
      <c r="E14" s="219"/>
      <c r="F14" s="245"/>
      <c r="G14" s="257"/>
      <c r="H14" s="219"/>
      <c r="I14" s="248"/>
      <c r="J14" s="258"/>
      <c r="K14" s="223"/>
      <c r="L14" s="223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ht="14.25" customHeight="1" x14ac:dyDescent="0.3">
      <c r="A15" s="143"/>
      <c r="B15" s="247"/>
      <c r="C15" s="217"/>
      <c r="D15" s="218"/>
      <c r="E15" s="219"/>
      <c r="F15" s="245"/>
      <c r="G15" s="257"/>
      <c r="H15" s="219"/>
      <c r="I15" s="248"/>
      <c r="J15" s="258"/>
      <c r="K15" s="223"/>
      <c r="L15" s="223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ht="23.25" customHeight="1" x14ac:dyDescent="0.25">
      <c r="A16" s="143"/>
      <c r="B16" s="463" t="s">
        <v>77</v>
      </c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</row>
    <row r="17" spans="1:31" ht="23.25" customHeight="1" x14ac:dyDescent="0.25">
      <c r="A17" s="143"/>
      <c r="B17" s="463" t="s">
        <v>64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</row>
    <row r="18" spans="1:31" ht="23.25" customHeight="1" x14ac:dyDescent="0.25">
      <c r="A18" s="143"/>
      <c r="B18" s="453" t="str">
        <f>PRESIDENCIA!A3</f>
        <v>SUELDO  DEL 01 AL 15 DE MARZO DE 2025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  <c r="AB18" s="453"/>
      <c r="AC18" s="453"/>
      <c r="AD18" s="453"/>
      <c r="AE18" s="453"/>
    </row>
    <row r="19" spans="1:31" ht="28.5" customHeight="1" x14ac:dyDescent="0.3">
      <c r="A19" s="143"/>
      <c r="B19" s="247"/>
      <c r="C19" s="217"/>
      <c r="D19" s="218"/>
      <c r="E19" s="219"/>
      <c r="F19" s="245"/>
      <c r="G19" s="257"/>
      <c r="H19" s="219"/>
      <c r="I19" s="248"/>
      <c r="J19" s="258"/>
      <c r="K19" s="223"/>
      <c r="L19" s="223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1" s="326" customFormat="1" ht="216.75" customHeight="1" x14ac:dyDescent="0.2">
      <c r="A20" s="268" t="s">
        <v>88</v>
      </c>
      <c r="B20" s="292" t="s">
        <v>501</v>
      </c>
      <c r="C20" s="286" t="s">
        <v>118</v>
      </c>
      <c r="D20" s="271" t="s">
        <v>502</v>
      </c>
      <c r="E20" s="272" t="s">
        <v>509</v>
      </c>
      <c r="F20" s="272" t="s">
        <v>510</v>
      </c>
      <c r="G20" s="374">
        <v>45566</v>
      </c>
      <c r="H20" s="272" t="s">
        <v>74</v>
      </c>
      <c r="I20" s="290">
        <v>15</v>
      </c>
      <c r="J20" s="375">
        <f>K20/I20</f>
        <v>625.93333333333328</v>
      </c>
      <c r="K20" s="277">
        <v>9389</v>
      </c>
      <c r="L20" s="277"/>
      <c r="M20" s="279">
        <f t="shared" si="0"/>
        <v>9389</v>
      </c>
      <c r="N20" s="301">
        <f>IF(K20/15&lt;=SMG,0,L20/2)</f>
        <v>0</v>
      </c>
      <c r="O20" s="322">
        <f>(K20+N20)/I20*30.4</f>
        <v>19028.373333333329</v>
      </c>
      <c r="P20" s="322">
        <f>VLOOKUP(O20,Tarifa,1)</f>
        <v>15487.72</v>
      </c>
      <c r="Q20" s="301">
        <f>O20-P20</f>
        <v>3540.65333333333</v>
      </c>
      <c r="R20" s="302">
        <f>VLOOKUP(O20,Tarifa,3)</f>
        <v>0.21360000000000001</v>
      </c>
      <c r="S20" s="301">
        <f>Q20*R20</f>
        <v>756.2835519999993</v>
      </c>
      <c r="T20" s="303">
        <f>VLOOKUP(O20,Tarifa,2)</f>
        <v>1640.18</v>
      </c>
      <c r="U20" s="301">
        <f>S20+T20</f>
        <v>2396.4635519999993</v>
      </c>
      <c r="V20" s="301">
        <f>VLOOKUP(O20,Credito,2)</f>
        <v>0</v>
      </c>
      <c r="W20" s="301">
        <f>ROUND((U20-V20)/30.4*I20,2)</f>
        <v>1182.47</v>
      </c>
      <c r="X20" s="279">
        <f t="shared" si="3"/>
        <v>0</v>
      </c>
      <c r="Y20" s="279">
        <f t="shared" si="4"/>
        <v>1182.47</v>
      </c>
      <c r="Z20" s="280">
        <v>0</v>
      </c>
      <c r="AA20" s="279">
        <f t="shared" si="1"/>
        <v>1182.47</v>
      </c>
      <c r="AB20" s="279">
        <f t="shared" si="2"/>
        <v>8206.5300000000007</v>
      </c>
      <c r="AC20" s="376"/>
    </row>
    <row r="21" spans="1:31" s="326" customFormat="1" ht="216.75" customHeight="1" x14ac:dyDescent="0.2">
      <c r="A21" s="268" t="s">
        <v>89</v>
      </c>
      <c r="B21" s="292" t="s">
        <v>498</v>
      </c>
      <c r="C21" s="286" t="s">
        <v>118</v>
      </c>
      <c r="D21" s="271" t="s">
        <v>497</v>
      </c>
      <c r="E21" s="272" t="s">
        <v>499</v>
      </c>
      <c r="F21" s="272" t="s">
        <v>500</v>
      </c>
      <c r="G21" s="374">
        <v>45566</v>
      </c>
      <c r="H21" s="272" t="s">
        <v>74</v>
      </c>
      <c r="I21" s="290">
        <v>15</v>
      </c>
      <c r="J21" s="375">
        <f>K21/I21</f>
        <v>625.93333333333328</v>
      </c>
      <c r="K21" s="277">
        <v>9389</v>
      </c>
      <c r="L21" s="277"/>
      <c r="M21" s="279">
        <f t="shared" si="0"/>
        <v>9389</v>
      </c>
      <c r="N21" s="301">
        <f>IF(K21/15&lt;=SMG,0,L21/2)</f>
        <v>0</v>
      </c>
      <c r="O21" s="322">
        <f>(K21+N21)/I21*30.4</f>
        <v>19028.373333333329</v>
      </c>
      <c r="P21" s="322">
        <f>VLOOKUP(O21,Tarifa,1)</f>
        <v>15487.72</v>
      </c>
      <c r="Q21" s="301">
        <f>O21-P21</f>
        <v>3540.65333333333</v>
      </c>
      <c r="R21" s="302">
        <f>VLOOKUP(O21,Tarifa,3)</f>
        <v>0.21360000000000001</v>
      </c>
      <c r="S21" s="301">
        <f>Q21*R21</f>
        <v>756.2835519999993</v>
      </c>
      <c r="T21" s="303">
        <f>VLOOKUP(O21,Tarifa,2)</f>
        <v>1640.18</v>
      </c>
      <c r="U21" s="301">
        <f>S21+T21</f>
        <v>2396.4635519999993</v>
      </c>
      <c r="V21" s="301">
        <f>VLOOKUP(O21,Credito,2)</f>
        <v>0</v>
      </c>
      <c r="W21" s="301">
        <f>ROUND((U21-V21)/30.4*I21,2)</f>
        <v>1182.47</v>
      </c>
      <c r="X21" s="279">
        <f t="shared" si="3"/>
        <v>0</v>
      </c>
      <c r="Y21" s="279">
        <f t="shared" si="4"/>
        <v>1182.47</v>
      </c>
      <c r="Z21" s="280">
        <v>0</v>
      </c>
      <c r="AA21" s="279">
        <f t="shared" si="1"/>
        <v>1182.47</v>
      </c>
      <c r="AB21" s="279">
        <f t="shared" si="2"/>
        <v>8206.5300000000007</v>
      </c>
      <c r="AC21" s="376"/>
    </row>
    <row r="22" spans="1:31" s="326" customFormat="1" ht="216.75" customHeight="1" x14ac:dyDescent="0.2">
      <c r="A22" s="268" t="s">
        <v>90</v>
      </c>
      <c r="B22" s="292" t="s">
        <v>521</v>
      </c>
      <c r="C22" s="286" t="s">
        <v>118</v>
      </c>
      <c r="D22" s="271" t="s">
        <v>507</v>
      </c>
      <c r="E22" s="272" t="s">
        <v>572</v>
      </c>
      <c r="F22" s="272" t="s">
        <v>523</v>
      </c>
      <c r="G22" s="374">
        <v>45566</v>
      </c>
      <c r="H22" s="272" t="s">
        <v>74</v>
      </c>
      <c r="I22" s="290">
        <v>15</v>
      </c>
      <c r="J22" s="375">
        <f>K22/I22</f>
        <v>625.93333333333328</v>
      </c>
      <c r="K22" s="277">
        <v>9389</v>
      </c>
      <c r="L22" s="277"/>
      <c r="M22" s="279">
        <f t="shared" si="0"/>
        <v>9389</v>
      </c>
      <c r="N22" s="301">
        <f>IF(K22/15&lt;=SMG,0,L22/2)</f>
        <v>0</v>
      </c>
      <c r="O22" s="322">
        <f>(K22+N22)/I22*30.4</f>
        <v>19028.373333333329</v>
      </c>
      <c r="P22" s="322">
        <f>VLOOKUP(O22,Tarifa,1)</f>
        <v>15487.72</v>
      </c>
      <c r="Q22" s="301">
        <f>O22-P22</f>
        <v>3540.65333333333</v>
      </c>
      <c r="R22" s="302">
        <f>VLOOKUP(O22,Tarifa,3)</f>
        <v>0.21360000000000001</v>
      </c>
      <c r="S22" s="301">
        <f>Q22*R22</f>
        <v>756.2835519999993</v>
      </c>
      <c r="T22" s="303">
        <f>VLOOKUP(O22,Tarifa,2)</f>
        <v>1640.18</v>
      </c>
      <c r="U22" s="301">
        <f>S22+T22</f>
        <v>2396.4635519999993</v>
      </c>
      <c r="V22" s="301">
        <f>VLOOKUP(O22,Credito,2)</f>
        <v>0</v>
      </c>
      <c r="W22" s="301">
        <f>ROUND((U22-V22)/30.4*I22,2)</f>
        <v>1182.47</v>
      </c>
      <c r="X22" s="279">
        <f t="shared" si="3"/>
        <v>0</v>
      </c>
      <c r="Y22" s="279">
        <f t="shared" si="4"/>
        <v>1182.47</v>
      </c>
      <c r="Z22" s="280">
        <v>0</v>
      </c>
      <c r="AA22" s="279">
        <f t="shared" si="1"/>
        <v>1182.47</v>
      </c>
      <c r="AB22" s="279">
        <f t="shared" si="2"/>
        <v>8206.5300000000007</v>
      </c>
      <c r="AC22" s="376"/>
    </row>
    <row r="23" spans="1:31" s="326" customFormat="1" ht="216.75" customHeight="1" x14ac:dyDescent="0.2">
      <c r="A23" s="268" t="s">
        <v>91</v>
      </c>
      <c r="B23" s="292" t="s">
        <v>522</v>
      </c>
      <c r="C23" s="286" t="s">
        <v>118</v>
      </c>
      <c r="D23" s="271" t="s">
        <v>508</v>
      </c>
      <c r="E23" s="272" t="s">
        <v>524</v>
      </c>
      <c r="F23" s="272" t="s">
        <v>525</v>
      </c>
      <c r="G23" s="374">
        <v>45566</v>
      </c>
      <c r="H23" s="272" t="s">
        <v>74</v>
      </c>
      <c r="I23" s="290">
        <v>15</v>
      </c>
      <c r="J23" s="375">
        <f>K23/I23</f>
        <v>625.93333333333328</v>
      </c>
      <c r="K23" s="277">
        <v>9389</v>
      </c>
      <c r="L23" s="277"/>
      <c r="M23" s="279">
        <f t="shared" si="0"/>
        <v>9389</v>
      </c>
      <c r="N23" s="301">
        <f>IF(K23/15&lt;=SMG,0,L23/2)</f>
        <v>0</v>
      </c>
      <c r="O23" s="322">
        <f>(K23+N23)/I23*30.4</f>
        <v>19028.373333333329</v>
      </c>
      <c r="P23" s="322">
        <f>VLOOKUP(O23,Tarifa,1)</f>
        <v>15487.72</v>
      </c>
      <c r="Q23" s="301">
        <f>O23-P23</f>
        <v>3540.65333333333</v>
      </c>
      <c r="R23" s="302">
        <f>VLOOKUP(O23,Tarifa,3)</f>
        <v>0.21360000000000001</v>
      </c>
      <c r="S23" s="301">
        <f>Q23*R23</f>
        <v>756.2835519999993</v>
      </c>
      <c r="T23" s="303">
        <f>VLOOKUP(O23,Tarifa,2)</f>
        <v>1640.18</v>
      </c>
      <c r="U23" s="301">
        <f>S23+T23</f>
        <v>2396.4635519999993</v>
      </c>
      <c r="V23" s="301">
        <f>VLOOKUP(O23,Credito,2)</f>
        <v>0</v>
      </c>
      <c r="W23" s="301">
        <f>ROUND((U23-V23)/30.4*I23,2)</f>
        <v>1182.47</v>
      </c>
      <c r="X23" s="279">
        <f t="shared" si="3"/>
        <v>0</v>
      </c>
      <c r="Y23" s="279">
        <f t="shared" si="4"/>
        <v>1182.47</v>
      </c>
      <c r="Z23" s="280">
        <v>0</v>
      </c>
      <c r="AA23" s="279">
        <f>SUM(Y23:Z23)</f>
        <v>1182.47</v>
      </c>
      <c r="AB23" s="279">
        <f t="shared" si="2"/>
        <v>8206.5300000000007</v>
      </c>
      <c r="AC23" s="376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49" t="s">
        <v>44</v>
      </c>
      <c r="B25" s="450"/>
      <c r="C25" s="450"/>
      <c r="D25" s="450"/>
      <c r="E25" s="450"/>
      <c r="F25" s="450"/>
      <c r="G25" s="450"/>
      <c r="H25" s="450"/>
      <c r="I25" s="450"/>
      <c r="J25" s="451"/>
      <c r="K25" s="210">
        <f>SUM(K9:K24)</f>
        <v>84501</v>
      </c>
      <c r="L25" s="210"/>
      <c r="M25" s="210">
        <f>SUM(M9:M24)</f>
        <v>84501</v>
      </c>
      <c r="N25" s="211">
        <f t="shared" ref="N25:W25" si="10">SUM(N9:N24)</f>
        <v>0</v>
      </c>
      <c r="O25" s="211">
        <f t="shared" si="10"/>
        <v>171255.35999999993</v>
      </c>
      <c r="P25" s="211">
        <f t="shared" si="10"/>
        <v>139389.47999999998</v>
      </c>
      <c r="Q25" s="211">
        <f t="shared" si="10"/>
        <v>31865.879999999961</v>
      </c>
      <c r="R25" s="211">
        <f t="shared" si="10"/>
        <v>1.9224000000000001</v>
      </c>
      <c r="S25" s="211">
        <f t="shared" si="10"/>
        <v>6806.5519679999925</v>
      </c>
      <c r="T25" s="211">
        <f t="shared" si="10"/>
        <v>14761.62</v>
      </c>
      <c r="U25" s="211">
        <f t="shared" si="10"/>
        <v>21568.171967999995</v>
      </c>
      <c r="V25" s="211">
        <f t="shared" si="10"/>
        <v>0</v>
      </c>
      <c r="W25" s="211">
        <f t="shared" si="10"/>
        <v>10642.23</v>
      </c>
      <c r="X25" s="210">
        <f>SUM(X9:X24)</f>
        <v>0</v>
      </c>
      <c r="Y25" s="210">
        <f>SUM(Y9:Y24)</f>
        <v>10642.23</v>
      </c>
      <c r="Z25" s="210">
        <f>SUM(Z9:Z24)</f>
        <v>0</v>
      </c>
      <c r="AA25" s="210">
        <f>SUM(AA9:AA24)</f>
        <v>10642.23</v>
      </c>
      <c r="AB25" s="210">
        <f>SUM(AB9:AB24)</f>
        <v>73858.77</v>
      </c>
    </row>
    <row r="26" spans="1:31" ht="13.5" thickTop="1" x14ac:dyDescent="0.2"/>
    <row r="40" spans="4:42" ht="15" x14ac:dyDescent="0.25">
      <c r="D40" s="94" t="s">
        <v>530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150</v>
      </c>
      <c r="AA40" s="91"/>
      <c r="AB40" s="91"/>
    </row>
    <row r="41" spans="4:42" ht="15" x14ac:dyDescent="0.25">
      <c r="D41" s="94" t="s">
        <v>551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224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5"/>
  <sheetViews>
    <sheetView zoomScale="70" zoomScaleNormal="70" workbookViewId="0">
      <selection activeCell="A12" sqref="A12:I12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3" t="s">
        <v>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29" ht="18" x14ac:dyDescent="0.25">
      <c r="A2" s="463" t="s">
        <v>64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29" ht="19.5" x14ac:dyDescent="0.25">
      <c r="A3" s="453" t="str">
        <f>PRESIDENCIA!A3</f>
        <v>SUELDO  DEL 01 AL 15 DE MARZO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4" t="s">
        <v>1</v>
      </c>
      <c r="K5" s="465"/>
      <c r="L5" s="466"/>
      <c r="M5" s="24" t="s">
        <v>25</v>
      </c>
      <c r="N5" s="25"/>
      <c r="O5" s="467" t="s">
        <v>8</v>
      </c>
      <c r="P5" s="468"/>
      <c r="Q5" s="468"/>
      <c r="R5" s="468"/>
      <c r="S5" s="468"/>
      <c r="T5" s="469"/>
      <c r="U5" s="24" t="s">
        <v>29</v>
      </c>
      <c r="V5" s="24" t="s">
        <v>9</v>
      </c>
      <c r="W5" s="23" t="s">
        <v>52</v>
      </c>
      <c r="X5" s="470" t="s">
        <v>2</v>
      </c>
      <c r="Y5" s="471"/>
      <c r="Z5" s="472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281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40" t="s">
        <v>73</v>
      </c>
      <c r="D8" s="241" t="s">
        <v>98</v>
      </c>
      <c r="E8" s="241" t="s">
        <v>229</v>
      </c>
      <c r="F8" s="242" t="s">
        <v>291</v>
      </c>
      <c r="G8" s="241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6" customFormat="1" ht="222" customHeight="1" x14ac:dyDescent="0.2">
      <c r="A9" s="292" t="s">
        <v>527</v>
      </c>
      <c r="B9" s="286" t="s">
        <v>118</v>
      </c>
      <c r="C9" s="271" t="s">
        <v>483</v>
      </c>
      <c r="D9" s="272" t="s">
        <v>484</v>
      </c>
      <c r="E9" s="379" t="s">
        <v>519</v>
      </c>
      <c r="F9" s="372">
        <v>45566</v>
      </c>
      <c r="G9" s="274" t="s">
        <v>227</v>
      </c>
      <c r="H9" s="275">
        <v>15</v>
      </c>
      <c r="I9" s="276">
        <f>J9/H9</f>
        <v>1332.8</v>
      </c>
      <c r="J9" s="277">
        <v>19992</v>
      </c>
      <c r="K9" s="278">
        <v>0</v>
      </c>
      <c r="L9" s="279">
        <f>SUM(J9:K9)</f>
        <v>19992</v>
      </c>
      <c r="M9" s="301">
        <f>IF(J9/15&lt;=SMG,0,K9/2)</f>
        <v>0</v>
      </c>
      <c r="N9" s="322">
        <f>(J9+M9)/H9*30.4</f>
        <v>40517.119999999995</v>
      </c>
      <c r="O9" s="322">
        <f>VLOOKUP(N9,Tarifa,1)</f>
        <v>31236.5</v>
      </c>
      <c r="P9" s="301">
        <f>N9-O9</f>
        <v>9280.6199999999953</v>
      </c>
      <c r="Q9" s="302">
        <f>VLOOKUP(N9,Tarifa,3)</f>
        <v>0.23519999999999999</v>
      </c>
      <c r="R9" s="301">
        <f>P9*Q9</f>
        <v>2182.8018239999988</v>
      </c>
      <c r="S9" s="303">
        <f>VLOOKUP(N9,Tarifa,2)</f>
        <v>5004.12</v>
      </c>
      <c r="T9" s="301">
        <f>R9+S9</f>
        <v>7186.9218239999991</v>
      </c>
      <c r="U9" s="301">
        <f>VLOOKUP(N9,Credito,2)</f>
        <v>0</v>
      </c>
      <c r="V9" s="301">
        <f>ROUND((T9-U9)/30.4*H9,2)</f>
        <v>3546.18</v>
      </c>
      <c r="W9" s="279">
        <f>-IF(V9&gt;0,0,0)</f>
        <v>0</v>
      </c>
      <c r="X9" s="279">
        <f>IF(J9/15&lt;=SMG,0,IF(V9&lt;0,0,V9))</f>
        <v>3546.18</v>
      </c>
      <c r="Y9" s="280">
        <v>0</v>
      </c>
      <c r="Z9" s="279">
        <f>SUM(X9:Y9)</f>
        <v>3546.18</v>
      </c>
      <c r="AA9" s="279">
        <f>L9+W9-Z9</f>
        <v>16445.82</v>
      </c>
      <c r="AB9" s="380"/>
    </row>
    <row r="10" spans="1:29" s="326" customFormat="1" ht="222" customHeight="1" x14ac:dyDescent="0.2">
      <c r="A10" s="292" t="s">
        <v>553</v>
      </c>
      <c r="B10" s="286" t="s">
        <v>118</v>
      </c>
      <c r="C10" s="271" t="s">
        <v>554</v>
      </c>
      <c r="D10" s="272" t="s">
        <v>555</v>
      </c>
      <c r="E10" s="272" t="s">
        <v>556</v>
      </c>
      <c r="F10" s="273">
        <v>45601</v>
      </c>
      <c r="G10" s="274" t="s">
        <v>582</v>
      </c>
      <c r="H10" s="275">
        <v>15</v>
      </c>
      <c r="I10" s="276">
        <f>J10/H10</f>
        <v>553.26666666666665</v>
      </c>
      <c r="J10" s="277">
        <v>8299</v>
      </c>
      <c r="K10" s="278">
        <v>0</v>
      </c>
      <c r="L10" s="279">
        <f t="shared" ref="L10" si="0">SUM(J10:K10)</f>
        <v>8299</v>
      </c>
      <c r="M10" s="301">
        <f>IF(J10/15&lt;=SMG,0,K10/2)</f>
        <v>0</v>
      </c>
      <c r="N10" s="322">
        <f>(J10+M10)/H10*30.4</f>
        <v>16819.306666666664</v>
      </c>
      <c r="O10" s="322">
        <f>VLOOKUP(N10,Tarifa,1)</f>
        <v>15487.72</v>
      </c>
      <c r="P10" s="301">
        <f>N10-O10</f>
        <v>1331.5866666666643</v>
      </c>
      <c r="Q10" s="302">
        <f>VLOOKUP(N10,Tarifa,3)</f>
        <v>0.21360000000000001</v>
      </c>
      <c r="R10" s="301">
        <f>P10*Q10</f>
        <v>284.4269119999995</v>
      </c>
      <c r="S10" s="303">
        <f>VLOOKUP(N10,Tarifa,2)</f>
        <v>1640.18</v>
      </c>
      <c r="T10" s="301">
        <f>R10+S10</f>
        <v>1924.6069119999995</v>
      </c>
      <c r="U10" s="301">
        <f>VLOOKUP(N10,Credito,2)</f>
        <v>0</v>
      </c>
      <c r="V10" s="301">
        <f>ROUND((T10-U10)/30.4*H10,2)</f>
        <v>949.64</v>
      </c>
      <c r="W10" s="279">
        <f>-IF(V10&gt;0,0,0)</f>
        <v>0</v>
      </c>
      <c r="X10" s="279">
        <f>IF(J10/15&lt;=SMG,0,IF(V10&lt;0,0,V10))</f>
        <v>949.64</v>
      </c>
      <c r="Y10" s="280">
        <v>0</v>
      </c>
      <c r="Z10" s="279">
        <f>SUM(X10:Y10)</f>
        <v>949.64</v>
      </c>
      <c r="AA10" s="279">
        <f>L10+W10-Z10</f>
        <v>7349.36</v>
      </c>
      <c r="AB10" s="380"/>
    </row>
    <row r="11" spans="1:29" ht="18" x14ac:dyDescent="0.25">
      <c r="A11" s="138"/>
      <c r="B11" s="138"/>
      <c r="C11" s="138"/>
      <c r="D11" s="138"/>
      <c r="E11" s="138"/>
      <c r="F11" s="138"/>
      <c r="G11" s="138"/>
      <c r="H11" s="139"/>
      <c r="I11" s="138"/>
      <c r="J11" s="140"/>
      <c r="K11" s="140"/>
      <c r="L11" s="140"/>
      <c r="M11" s="141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</row>
    <row r="12" spans="1:29" ht="41.25" customHeight="1" thickBot="1" x14ac:dyDescent="0.3">
      <c r="A12" s="450"/>
      <c r="B12" s="450"/>
      <c r="C12" s="450"/>
      <c r="D12" s="450"/>
      <c r="E12" s="450"/>
      <c r="F12" s="450"/>
      <c r="G12" s="450"/>
      <c r="H12" s="450"/>
      <c r="I12" s="451"/>
      <c r="J12" s="136">
        <f>SUM(J9:J10)</f>
        <v>28291</v>
      </c>
      <c r="K12" s="136">
        <f>SUM(K9:K10)</f>
        <v>0</v>
      </c>
      <c r="L12" s="136">
        <f>SUM(L9:L10)</f>
        <v>28291</v>
      </c>
      <c r="M12" s="137">
        <f t="shared" ref="M12" si="1">SUM(M10:M11)</f>
        <v>0</v>
      </c>
      <c r="N12" s="137">
        <f t="shared" ref="N12:V12" si="2">SUM(N10:N11)</f>
        <v>16819.306666666664</v>
      </c>
      <c r="O12" s="137">
        <f t="shared" si="2"/>
        <v>15487.72</v>
      </c>
      <c r="P12" s="137">
        <f t="shared" si="2"/>
        <v>1331.5866666666643</v>
      </c>
      <c r="Q12" s="137">
        <f t="shared" si="2"/>
        <v>0.21360000000000001</v>
      </c>
      <c r="R12" s="137">
        <f t="shared" si="2"/>
        <v>284.4269119999995</v>
      </c>
      <c r="S12" s="137">
        <f t="shared" si="2"/>
        <v>1640.18</v>
      </c>
      <c r="T12" s="137">
        <f t="shared" si="2"/>
        <v>1924.6069119999995</v>
      </c>
      <c r="U12" s="137">
        <f t="shared" si="2"/>
        <v>0</v>
      </c>
      <c r="V12" s="137">
        <f t="shared" si="2"/>
        <v>949.64</v>
      </c>
      <c r="W12" s="136">
        <f>SUM(W9:W10)</f>
        <v>0</v>
      </c>
      <c r="X12" s="136">
        <f>SUM(X9:X10)</f>
        <v>4495.82</v>
      </c>
      <c r="Y12" s="136">
        <f>SUM(Y9:Y10)</f>
        <v>0</v>
      </c>
      <c r="Z12" s="136">
        <f>SUM(Z9:Z10)</f>
        <v>4495.82</v>
      </c>
      <c r="AA12" s="136">
        <f>SUM(AA9:AA10)</f>
        <v>23795.18</v>
      </c>
    </row>
    <row r="13" spans="1:29" ht="13.5" thickTop="1" x14ac:dyDescent="0.2"/>
    <row r="23" spans="3:28" ht="14.25" x14ac:dyDescent="0.2"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3:28" ht="15" x14ac:dyDescent="0.25">
      <c r="C24" s="94" t="s">
        <v>530</v>
      </c>
      <c r="D24" s="52"/>
      <c r="E24" s="52"/>
      <c r="F24" s="52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151</v>
      </c>
      <c r="Y24" s="91"/>
      <c r="Z24" s="91"/>
      <c r="AA24" s="91"/>
      <c r="AB24" s="91"/>
    </row>
    <row r="25" spans="3:28" ht="15" x14ac:dyDescent="0.25">
      <c r="C25" s="497" t="s">
        <v>551</v>
      </c>
      <c r="D25" s="498"/>
      <c r="E25" s="61"/>
      <c r="F25" s="61"/>
      <c r="G25" s="94"/>
      <c r="H25" s="94"/>
      <c r="I25" s="94"/>
      <c r="J25" s="94"/>
      <c r="K25" s="94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4" t="s">
        <v>220</v>
      </c>
      <c r="Y25" s="91"/>
      <c r="Z25" s="94"/>
      <c r="AA25" s="94"/>
      <c r="AB25" s="94"/>
    </row>
  </sheetData>
  <mergeCells count="8">
    <mergeCell ref="C25:D25"/>
    <mergeCell ref="A12:I12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2025-03-26T16:09:15Z</cp:lastPrinted>
  <dcterms:created xsi:type="dcterms:W3CDTF">2000-05-05T04:08:27Z</dcterms:created>
  <dcterms:modified xsi:type="dcterms:W3CDTF">2025-03-26T18:07:26Z</dcterms:modified>
</cp:coreProperties>
</file>