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NOMINAS ENE-DIC 2025\"/>
    </mc:Choice>
  </mc:AlternateContent>
  <xr:revisionPtr revIDLastSave="0" documentId="13_ncr:1_{E4EF5325-A05B-40E1-A92A-9000FBF25E2A}" xr6:coauthVersionLast="47" xr6:coauthVersionMax="47" xr10:uidLastSave="{00000000-0000-0000-0000-000000000000}"/>
  <bookViews>
    <workbookView xWindow="-120" yWindow="-120" windowWidth="29040" windowHeight="15720" tabRatio="772" firstSheet="1" activeTab="5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'!$1:$29</definedName>
    <definedName name="_xlnm.Print_Area" localSheetId="8">SINDICO!$1:$29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18" l="1"/>
  <c r="O12" i="118" s="1"/>
  <c r="M12" i="118"/>
  <c r="V12" i="118" l="1"/>
  <c r="T12" i="118"/>
  <c r="R12" i="118"/>
  <c r="P12" i="118"/>
  <c r="Q12" i="118" s="1"/>
  <c r="S12" i="118" s="1"/>
  <c r="U12" i="118" s="1"/>
  <c r="W12" i="118" s="1"/>
  <c r="Y12" i="118" l="1"/>
  <c r="AA12" i="118" s="1"/>
  <c r="X12" i="118"/>
  <c r="AB12" i="118" l="1"/>
  <c r="N11" i="118" l="1"/>
  <c r="O11" i="118" s="1"/>
  <c r="M11" i="118"/>
  <c r="J11" i="118"/>
  <c r="M13" i="135"/>
  <c r="M12" i="135"/>
  <c r="M14" i="135"/>
  <c r="M11" i="135"/>
  <c r="M10" i="135"/>
  <c r="N16" i="119"/>
  <c r="O16" i="119" s="1"/>
  <c r="M16" i="119"/>
  <c r="N29" i="135"/>
  <c r="O29" i="135" s="1"/>
  <c r="M29" i="135"/>
  <c r="J29" i="135"/>
  <c r="N16" i="135"/>
  <c r="O16" i="135" s="1"/>
  <c r="M16" i="135"/>
  <c r="J16" i="135"/>
  <c r="N36" i="135"/>
  <c r="O36" i="135" s="1"/>
  <c r="M36" i="135"/>
  <c r="J36" i="135"/>
  <c r="N13" i="135"/>
  <c r="O13" i="135" s="1"/>
  <c r="N12" i="135"/>
  <c r="O12" i="135" s="1"/>
  <c r="N11" i="135"/>
  <c r="O11" i="135" s="1"/>
  <c r="N10" i="135"/>
  <c r="O10" i="135" s="1"/>
  <c r="N9" i="135"/>
  <c r="O9" i="135" s="1"/>
  <c r="M9" i="135"/>
  <c r="N34" i="135"/>
  <c r="O34" i="135" s="1"/>
  <c r="M34" i="135"/>
  <c r="J34" i="135"/>
  <c r="N35" i="135"/>
  <c r="O35" i="135" s="1"/>
  <c r="M35" i="135"/>
  <c r="J35" i="135"/>
  <c r="N28" i="121"/>
  <c r="O28" i="121" s="1"/>
  <c r="M28" i="121"/>
  <c r="N35" i="121"/>
  <c r="O35" i="121" s="1"/>
  <c r="M35" i="121"/>
  <c r="J35" i="121"/>
  <c r="Z34" i="121"/>
  <c r="M34" i="121"/>
  <c r="L34" i="121"/>
  <c r="K34" i="121"/>
  <c r="N21" i="132"/>
  <c r="O21" i="132" s="1"/>
  <c r="M21" i="132"/>
  <c r="N12" i="132"/>
  <c r="O12" i="132" s="1"/>
  <c r="M12" i="132"/>
  <c r="Z11" i="123"/>
  <c r="L11" i="123"/>
  <c r="K11" i="123"/>
  <c r="Y13" i="123"/>
  <c r="AA13" i="123" s="1"/>
  <c r="N13" i="123"/>
  <c r="O13" i="123" s="1"/>
  <c r="M13" i="123"/>
  <c r="J13" i="123"/>
  <c r="V11" i="118" l="1"/>
  <c r="T11" i="118"/>
  <c r="R11" i="118"/>
  <c r="P11" i="118"/>
  <c r="Q11" i="118" s="1"/>
  <c r="S11" i="118" s="1"/>
  <c r="U11" i="118" s="1"/>
  <c r="W11" i="118" s="1"/>
  <c r="V16" i="119"/>
  <c r="T16" i="119"/>
  <c r="R16" i="119"/>
  <c r="P16" i="119"/>
  <c r="Q16" i="119" s="1"/>
  <c r="S16" i="119" s="1"/>
  <c r="U16" i="119" s="1"/>
  <c r="W16" i="119" s="1"/>
  <c r="V29" i="135"/>
  <c r="T29" i="135"/>
  <c r="R29" i="135"/>
  <c r="P29" i="135"/>
  <c r="Q29" i="135" s="1"/>
  <c r="S29" i="135" s="1"/>
  <c r="U29" i="135" s="1"/>
  <c r="W29" i="135" s="1"/>
  <c r="V16" i="135"/>
  <c r="T16" i="135"/>
  <c r="R16" i="135"/>
  <c r="P16" i="135"/>
  <c r="Q16" i="135" s="1"/>
  <c r="S16" i="135" s="1"/>
  <c r="V36" i="135"/>
  <c r="T36" i="135"/>
  <c r="R36" i="135"/>
  <c r="P36" i="135"/>
  <c r="Q36" i="135" s="1"/>
  <c r="S36" i="135" s="1"/>
  <c r="V13" i="135"/>
  <c r="T13" i="135"/>
  <c r="R13" i="135"/>
  <c r="P13" i="135"/>
  <c r="Q13" i="135" s="1"/>
  <c r="V12" i="135"/>
  <c r="T12" i="135"/>
  <c r="R12" i="135"/>
  <c r="P12" i="135"/>
  <c r="Q12" i="135" s="1"/>
  <c r="V11" i="135"/>
  <c r="T11" i="135"/>
  <c r="R11" i="135"/>
  <c r="P11" i="135"/>
  <c r="Q11" i="135" s="1"/>
  <c r="V10" i="135"/>
  <c r="T10" i="135"/>
  <c r="R10" i="135"/>
  <c r="P10" i="135"/>
  <c r="Q10" i="135" s="1"/>
  <c r="V9" i="135"/>
  <c r="T9" i="135"/>
  <c r="R9" i="135"/>
  <c r="P9" i="135"/>
  <c r="Q9" i="135" s="1"/>
  <c r="V34" i="135"/>
  <c r="T34" i="135"/>
  <c r="R34" i="135"/>
  <c r="P34" i="135"/>
  <c r="Q34" i="135" s="1"/>
  <c r="P35" i="135"/>
  <c r="Q35" i="135" s="1"/>
  <c r="V35" i="135"/>
  <c r="T35" i="135"/>
  <c r="R35" i="135"/>
  <c r="V28" i="121"/>
  <c r="T28" i="121"/>
  <c r="R28" i="121"/>
  <c r="P28" i="121"/>
  <c r="Q28" i="121" s="1"/>
  <c r="V35" i="121"/>
  <c r="T35" i="121"/>
  <c r="R35" i="121"/>
  <c r="P35" i="121"/>
  <c r="Q35" i="121" s="1"/>
  <c r="S35" i="121" s="1"/>
  <c r="V21" i="132"/>
  <c r="T21" i="132"/>
  <c r="R21" i="132"/>
  <c r="P21" i="132"/>
  <c r="Q21" i="132" s="1"/>
  <c r="V12" i="132"/>
  <c r="T12" i="132"/>
  <c r="R12" i="132"/>
  <c r="P12" i="132"/>
  <c r="Q12" i="132" s="1"/>
  <c r="S12" i="132" s="1"/>
  <c r="P13" i="123"/>
  <c r="Q13" i="123" s="1"/>
  <c r="V13" i="123"/>
  <c r="T13" i="123"/>
  <c r="R13" i="123"/>
  <c r="U35" i="121" l="1"/>
  <c r="W35" i="121" s="1"/>
  <c r="X35" i="121" s="1"/>
  <c r="S28" i="121"/>
  <c r="U28" i="121" s="1"/>
  <c r="W28" i="121" s="1"/>
  <c r="U16" i="135"/>
  <c r="W16" i="135" s="1"/>
  <c r="Y16" i="135" s="1"/>
  <c r="AA16" i="135" s="1"/>
  <c r="S9" i="135"/>
  <c r="Y11" i="118"/>
  <c r="AA11" i="118" s="1"/>
  <c r="X11" i="118"/>
  <c r="U12" i="132"/>
  <c r="W12" i="132" s="1"/>
  <c r="Y16" i="119"/>
  <c r="AA16" i="119" s="1"/>
  <c r="X16" i="119"/>
  <c r="S13" i="135"/>
  <c r="U13" i="135" s="1"/>
  <c r="W13" i="135" s="1"/>
  <c r="S34" i="135"/>
  <c r="U34" i="135" s="1"/>
  <c r="W34" i="135" s="1"/>
  <c r="X34" i="135" s="1"/>
  <c r="Y29" i="135"/>
  <c r="AA29" i="135" s="1"/>
  <c r="X29" i="135"/>
  <c r="U9" i="135"/>
  <c r="W9" i="135" s="1"/>
  <c r="X9" i="135" s="1"/>
  <c r="U36" i="135"/>
  <c r="W36" i="135" s="1"/>
  <c r="X36" i="135" s="1"/>
  <c r="S13" i="123"/>
  <c r="Y13" i="135"/>
  <c r="AA13" i="135" s="1"/>
  <c r="X13" i="135"/>
  <c r="S12" i="135"/>
  <c r="U12" i="135" s="1"/>
  <c r="W12" i="135" s="1"/>
  <c r="Y12" i="135" s="1"/>
  <c r="AA12" i="135" s="1"/>
  <c r="S11" i="135"/>
  <c r="U11" i="135" s="1"/>
  <c r="W11" i="135" s="1"/>
  <c r="S10" i="135"/>
  <c r="U10" i="135" s="1"/>
  <c r="W10" i="135" s="1"/>
  <c r="S21" i="132"/>
  <c r="U21" i="132" s="1"/>
  <c r="W21" i="132" s="1"/>
  <c r="Y21" i="132" s="1"/>
  <c r="AA21" i="132" s="1"/>
  <c r="S35" i="135"/>
  <c r="U35" i="135" s="1"/>
  <c r="W35" i="135" s="1"/>
  <c r="X12" i="132"/>
  <c r="Y12" i="132"/>
  <c r="AA12" i="132" s="1"/>
  <c r="U13" i="123"/>
  <c r="W13" i="123" s="1"/>
  <c r="X13" i="123" s="1"/>
  <c r="AB13" i="123" s="1"/>
  <c r="X28" i="121" l="1"/>
  <c r="Y28" i="121"/>
  <c r="AA28" i="121" s="1"/>
  <c r="Y35" i="121"/>
  <c r="X16" i="135"/>
  <c r="AB16" i="135" s="1"/>
  <c r="AB11" i="118"/>
  <c r="AB16" i="119"/>
  <c r="AB13" i="135"/>
  <c r="Y9" i="135"/>
  <c r="AA9" i="135" s="1"/>
  <c r="Y36" i="135"/>
  <c r="AA36" i="135" s="1"/>
  <c r="AB36" i="135" s="1"/>
  <c r="AB29" i="135"/>
  <c r="X12" i="135"/>
  <c r="AB12" i="135" s="1"/>
  <c r="AB28" i="121"/>
  <c r="Y11" i="135"/>
  <c r="AA11" i="135" s="1"/>
  <c r="X11" i="135"/>
  <c r="AB11" i="135" s="1"/>
  <c r="X10" i="135"/>
  <c r="Y10" i="135"/>
  <c r="AA10" i="135" s="1"/>
  <c r="X21" i="132"/>
  <c r="Y34" i="135"/>
  <c r="AA34" i="135" s="1"/>
  <c r="AB34" i="135" s="1"/>
  <c r="Y35" i="135"/>
  <c r="AA35" i="135" s="1"/>
  <c r="X35" i="135"/>
  <c r="X34" i="121"/>
  <c r="AA35" i="121"/>
  <c r="AA34" i="121" s="1"/>
  <c r="Y34" i="121"/>
  <c r="AB21" i="132"/>
  <c r="AB12" i="132"/>
  <c r="N9" i="132"/>
  <c r="O9" i="132" s="1"/>
  <c r="M9" i="132"/>
  <c r="AB10" i="135" l="1"/>
  <c r="AB35" i="135"/>
  <c r="AB35" i="121"/>
  <c r="AB34" i="121" s="1"/>
  <c r="V9" i="132"/>
  <c r="T9" i="132"/>
  <c r="R9" i="132"/>
  <c r="P9" i="132"/>
  <c r="Q9" i="132" s="1"/>
  <c r="S9" i="132" s="1"/>
  <c r="U9" i="132" s="1"/>
  <c r="W9" i="132" s="1"/>
  <c r="N10" i="133"/>
  <c r="O10" i="133" s="1"/>
  <c r="M10" i="133"/>
  <c r="J10" i="133"/>
  <c r="J23" i="135"/>
  <c r="M23" i="135"/>
  <c r="N23" i="135"/>
  <c r="O23" i="135" s="1"/>
  <c r="J12" i="135"/>
  <c r="N50" i="123"/>
  <c r="O50" i="123" s="1"/>
  <c r="M50" i="123"/>
  <c r="J50" i="123"/>
  <c r="N9" i="120"/>
  <c r="O9" i="120" s="1"/>
  <c r="M9" i="120"/>
  <c r="Y9" i="132" l="1"/>
  <c r="AA9" i="132" s="1"/>
  <c r="X9" i="132"/>
  <c r="AB9" i="132" s="1"/>
  <c r="V10" i="133"/>
  <c r="T10" i="133"/>
  <c r="R10" i="133"/>
  <c r="P10" i="133"/>
  <c r="Q10" i="133" s="1"/>
  <c r="P23" i="135"/>
  <c r="Q23" i="135" s="1"/>
  <c r="R23" i="135"/>
  <c r="T23" i="135"/>
  <c r="V23" i="135"/>
  <c r="V50" i="123"/>
  <c r="T50" i="123"/>
  <c r="R50" i="123"/>
  <c r="P50" i="123"/>
  <c r="Q50" i="123" s="1"/>
  <c r="V9" i="120"/>
  <c r="T9" i="120"/>
  <c r="R9" i="120"/>
  <c r="P9" i="120"/>
  <c r="Q9" i="120" s="1"/>
  <c r="N28" i="135"/>
  <c r="O28" i="135" s="1"/>
  <c r="M28" i="135"/>
  <c r="J28" i="135"/>
  <c r="N27" i="135"/>
  <c r="O27" i="135" s="1"/>
  <c r="M27" i="135"/>
  <c r="J27" i="135"/>
  <c r="N26" i="135"/>
  <c r="O26" i="135" s="1"/>
  <c r="M26" i="135"/>
  <c r="J26" i="135"/>
  <c r="N13" i="121"/>
  <c r="O13" i="121" s="1"/>
  <c r="M13" i="121"/>
  <c r="S50" i="123" l="1"/>
  <c r="S10" i="133"/>
  <c r="U10" i="133" s="1"/>
  <c r="W10" i="133" s="1"/>
  <c r="Y10" i="133" s="1"/>
  <c r="AA10" i="133" s="1"/>
  <c r="U50" i="123"/>
  <c r="W50" i="123" s="1"/>
  <c r="Y50" i="123" s="1"/>
  <c r="AA50" i="123" s="1"/>
  <c r="S23" i="135"/>
  <c r="U23" i="135" s="1"/>
  <c r="W23" i="135" s="1"/>
  <c r="S9" i="120"/>
  <c r="U9" i="120" s="1"/>
  <c r="W9" i="120" s="1"/>
  <c r="Y9" i="120" s="1"/>
  <c r="AA9" i="120" s="1"/>
  <c r="V26" i="135"/>
  <c r="T26" i="135"/>
  <c r="R26" i="135"/>
  <c r="P26" i="135"/>
  <c r="Q26" i="135" s="1"/>
  <c r="V27" i="135"/>
  <c r="T27" i="135"/>
  <c r="R27" i="135"/>
  <c r="P27" i="135"/>
  <c r="Q27" i="135" s="1"/>
  <c r="S27" i="135" s="1"/>
  <c r="V28" i="135"/>
  <c r="T28" i="135"/>
  <c r="R28" i="135"/>
  <c r="P28" i="135"/>
  <c r="Q28" i="135" s="1"/>
  <c r="V13" i="121"/>
  <c r="T13" i="121"/>
  <c r="R13" i="121"/>
  <c r="P13" i="121"/>
  <c r="Q13" i="121" s="1"/>
  <c r="X10" i="133" l="1"/>
  <c r="AB10" i="133" s="1"/>
  <c r="U27" i="135"/>
  <c r="W27" i="135" s="1"/>
  <c r="X50" i="123"/>
  <c r="AB50" i="123" s="1"/>
  <c r="X23" i="135"/>
  <c r="Y23" i="135"/>
  <c r="AA23" i="135" s="1"/>
  <c r="S26" i="135"/>
  <c r="U26" i="135" s="1"/>
  <c r="W26" i="135" s="1"/>
  <c r="S28" i="135"/>
  <c r="U28" i="135" s="1"/>
  <c r="W28" i="135" s="1"/>
  <c r="X28" i="135" s="1"/>
  <c r="X9" i="120"/>
  <c r="AB9" i="120"/>
  <c r="S13" i="121"/>
  <c r="U13" i="121" s="1"/>
  <c r="W13" i="121" s="1"/>
  <c r="Y27" i="135" l="1"/>
  <c r="AA27" i="135" s="1"/>
  <c r="X27" i="135"/>
  <c r="Y28" i="135"/>
  <c r="AA28" i="135" s="1"/>
  <c r="AB28" i="135" s="1"/>
  <c r="X13" i="121"/>
  <c r="Y13" i="121"/>
  <c r="AA13" i="121" s="1"/>
  <c r="AB13" i="121" s="1"/>
  <c r="AB23" i="135"/>
  <c r="Y26" i="135"/>
  <c r="AA26" i="135" s="1"/>
  <c r="X26" i="135"/>
  <c r="AB27" i="135"/>
  <c r="AB26" i="135" l="1"/>
  <c r="N31" i="120"/>
  <c r="O31" i="120" s="1"/>
  <c r="M31" i="120"/>
  <c r="J31" i="120"/>
  <c r="V31" i="120" l="1"/>
  <c r="T31" i="120"/>
  <c r="R31" i="120"/>
  <c r="P31" i="120"/>
  <c r="Q31" i="120" s="1"/>
  <c r="S31" i="120" l="1"/>
  <c r="U31" i="120" s="1"/>
  <c r="W31" i="120" s="1"/>
  <c r="Y31" i="120" l="1"/>
  <c r="AA31" i="120" s="1"/>
  <c r="X31" i="120"/>
  <c r="N13" i="133"/>
  <c r="O13" i="133" s="1"/>
  <c r="M13" i="133"/>
  <c r="J13" i="133"/>
  <c r="N51" i="123"/>
  <c r="O51" i="123" s="1"/>
  <c r="M51" i="123"/>
  <c r="J51" i="123"/>
  <c r="N49" i="123"/>
  <c r="O49" i="123" s="1"/>
  <c r="M49" i="123"/>
  <c r="J49" i="123"/>
  <c r="M27" i="121"/>
  <c r="J28" i="121"/>
  <c r="Z27" i="121"/>
  <c r="L27" i="121"/>
  <c r="K27" i="121"/>
  <c r="N35" i="120"/>
  <c r="O35" i="120" s="1"/>
  <c r="M35" i="120"/>
  <c r="J35" i="120"/>
  <c r="N34" i="120"/>
  <c r="O34" i="120" s="1"/>
  <c r="M34" i="120"/>
  <c r="J34" i="120"/>
  <c r="N33" i="120"/>
  <c r="O33" i="120" s="1"/>
  <c r="M33" i="120"/>
  <c r="J33" i="120"/>
  <c r="N32" i="120"/>
  <c r="O32" i="120" s="1"/>
  <c r="M32" i="120"/>
  <c r="J32" i="120"/>
  <c r="N25" i="120"/>
  <c r="O25" i="120" s="1"/>
  <c r="M25" i="120"/>
  <c r="J25" i="120"/>
  <c r="N24" i="120"/>
  <c r="O24" i="120" s="1"/>
  <c r="M24" i="120"/>
  <c r="J24" i="120"/>
  <c r="AB31" i="120" l="1"/>
  <c r="V13" i="133"/>
  <c r="T13" i="133"/>
  <c r="R13" i="133"/>
  <c r="P13" i="133"/>
  <c r="Q13" i="133" s="1"/>
  <c r="V51" i="123"/>
  <c r="T51" i="123"/>
  <c r="R51" i="123"/>
  <c r="P51" i="123"/>
  <c r="Q51" i="123" s="1"/>
  <c r="V49" i="123"/>
  <c r="T49" i="123"/>
  <c r="R49" i="123"/>
  <c r="P49" i="123"/>
  <c r="Q49" i="123" s="1"/>
  <c r="S49" i="123" s="1"/>
  <c r="V35" i="120"/>
  <c r="T35" i="120"/>
  <c r="R35" i="120"/>
  <c r="P35" i="120"/>
  <c r="Q35" i="120" s="1"/>
  <c r="S35" i="120" s="1"/>
  <c r="R32" i="120"/>
  <c r="P32" i="120"/>
  <c r="Q32" i="120" s="1"/>
  <c r="V32" i="120"/>
  <c r="T32" i="120"/>
  <c r="R33" i="120"/>
  <c r="P33" i="120"/>
  <c r="Q33" i="120" s="1"/>
  <c r="V33" i="120"/>
  <c r="T33" i="120"/>
  <c r="R34" i="120"/>
  <c r="P34" i="120"/>
  <c r="Q34" i="120" s="1"/>
  <c r="V34" i="120"/>
  <c r="T34" i="120"/>
  <c r="V25" i="120"/>
  <c r="T25" i="120"/>
  <c r="R25" i="120"/>
  <c r="P25" i="120"/>
  <c r="Q25" i="120" s="1"/>
  <c r="V24" i="120"/>
  <c r="T24" i="120"/>
  <c r="R24" i="120"/>
  <c r="P24" i="120"/>
  <c r="Q24" i="120" s="1"/>
  <c r="N40" i="123"/>
  <c r="O40" i="123" s="1"/>
  <c r="M40" i="123"/>
  <c r="J40" i="123"/>
  <c r="N37" i="135"/>
  <c r="O37" i="135" s="1"/>
  <c r="M37" i="135"/>
  <c r="J37" i="135"/>
  <c r="J21" i="132"/>
  <c r="N10" i="132"/>
  <c r="O10" i="132" s="1"/>
  <c r="M10" i="132"/>
  <c r="N36" i="123"/>
  <c r="O36" i="123" s="1"/>
  <c r="M36" i="123"/>
  <c r="N25" i="135"/>
  <c r="O25" i="135" s="1"/>
  <c r="M25" i="135"/>
  <c r="J25" i="135"/>
  <c r="N24" i="135"/>
  <c r="O24" i="135" s="1"/>
  <c r="M24" i="135"/>
  <c r="J24" i="135"/>
  <c r="N22" i="135"/>
  <c r="O22" i="135" s="1"/>
  <c r="M22" i="135"/>
  <c r="J22" i="135"/>
  <c r="N15" i="135"/>
  <c r="O15" i="135" s="1"/>
  <c r="M15" i="135"/>
  <c r="J15" i="135"/>
  <c r="B20" i="135"/>
  <c r="B32" i="135" s="1"/>
  <c r="B3" i="135"/>
  <c r="K14" i="134"/>
  <c r="L14" i="134"/>
  <c r="M14" i="134"/>
  <c r="X14" i="134"/>
  <c r="Y14" i="134"/>
  <c r="Z14" i="134"/>
  <c r="AA14" i="134"/>
  <c r="AB14" i="134"/>
  <c r="N15" i="123"/>
  <c r="O15" i="123" s="1"/>
  <c r="M15" i="123"/>
  <c r="J15" i="123"/>
  <c r="N41" i="123"/>
  <c r="O41" i="123" s="1"/>
  <c r="M41" i="123"/>
  <c r="J41" i="123"/>
  <c r="N29" i="123"/>
  <c r="O29" i="123" s="1"/>
  <c r="M29" i="123"/>
  <c r="M28" i="123" s="1"/>
  <c r="J29" i="123"/>
  <c r="Z28" i="123"/>
  <c r="L28" i="123"/>
  <c r="K28" i="123"/>
  <c r="N26" i="121"/>
  <c r="O26" i="121" s="1"/>
  <c r="M26" i="121"/>
  <c r="J26" i="121"/>
  <c r="S51" i="123" l="1"/>
  <c r="U51" i="123" s="1"/>
  <c r="W51" i="123"/>
  <c r="X51" i="123" s="1"/>
  <c r="S33" i="120"/>
  <c r="S24" i="120"/>
  <c r="U24" i="120" s="1"/>
  <c r="W24" i="120" s="1"/>
  <c r="U35" i="120"/>
  <c r="W35" i="120" s="1"/>
  <c r="S13" i="133"/>
  <c r="U13" i="133" s="1"/>
  <c r="W13" i="133" s="1"/>
  <c r="Y13" i="133" s="1"/>
  <c r="AA13" i="133" s="1"/>
  <c r="S34" i="120"/>
  <c r="U49" i="123"/>
  <c r="W49" i="123" s="1"/>
  <c r="S25" i="120"/>
  <c r="U25" i="120" s="1"/>
  <c r="W25" i="120" s="1"/>
  <c r="S32" i="120"/>
  <c r="U32" i="120" s="1"/>
  <c r="W32" i="120" s="1"/>
  <c r="Y49" i="123"/>
  <c r="AA49" i="123" s="1"/>
  <c r="X49" i="123"/>
  <c r="U34" i="120"/>
  <c r="W34" i="120" s="1"/>
  <c r="X34" i="120" s="1"/>
  <c r="U33" i="120"/>
  <c r="W33" i="120" s="1"/>
  <c r="X33" i="120" s="1"/>
  <c r="Y33" i="120"/>
  <c r="AA33" i="120" s="1"/>
  <c r="X35" i="120"/>
  <c r="Y35" i="120"/>
  <c r="AA35" i="120" s="1"/>
  <c r="Y25" i="120"/>
  <c r="AA25" i="120" s="1"/>
  <c r="X25" i="120"/>
  <c r="Y24" i="120"/>
  <c r="AA24" i="120" s="1"/>
  <c r="X24" i="120"/>
  <c r="V40" i="123"/>
  <c r="T40" i="123"/>
  <c r="R40" i="123"/>
  <c r="P40" i="123"/>
  <c r="Q40" i="123" s="1"/>
  <c r="V37" i="135"/>
  <c r="T37" i="135"/>
  <c r="R37" i="135"/>
  <c r="P37" i="135"/>
  <c r="Q37" i="135" s="1"/>
  <c r="V10" i="132"/>
  <c r="T10" i="132"/>
  <c r="R10" i="132"/>
  <c r="P10" i="132"/>
  <c r="Q10" i="132" s="1"/>
  <c r="V36" i="123"/>
  <c r="T36" i="123"/>
  <c r="R36" i="123"/>
  <c r="P36" i="123"/>
  <c r="Q36" i="123" s="1"/>
  <c r="V25" i="135"/>
  <c r="T25" i="135"/>
  <c r="R25" i="135"/>
  <c r="P25" i="135"/>
  <c r="Q25" i="135" s="1"/>
  <c r="V22" i="135"/>
  <c r="T22" i="135"/>
  <c r="R22" i="135"/>
  <c r="P22" i="135"/>
  <c r="Q22" i="135" s="1"/>
  <c r="V24" i="135"/>
  <c r="T24" i="135"/>
  <c r="R24" i="135"/>
  <c r="P24" i="135"/>
  <c r="Q24" i="135" s="1"/>
  <c r="V15" i="135"/>
  <c r="T15" i="135"/>
  <c r="R15" i="135"/>
  <c r="P15" i="135"/>
  <c r="Q15" i="135" s="1"/>
  <c r="V15" i="123"/>
  <c r="T15" i="123"/>
  <c r="R15" i="123"/>
  <c r="P15" i="123"/>
  <c r="Q15" i="123" s="1"/>
  <c r="V41" i="123"/>
  <c r="T41" i="123"/>
  <c r="R41" i="123"/>
  <c r="P41" i="123"/>
  <c r="Q41" i="123" s="1"/>
  <c r="T29" i="123"/>
  <c r="R29" i="123"/>
  <c r="P29" i="123"/>
  <c r="Q29" i="123" s="1"/>
  <c r="V29" i="123"/>
  <c r="V26" i="121"/>
  <c r="T26" i="121"/>
  <c r="R26" i="121"/>
  <c r="P26" i="121"/>
  <c r="Q26" i="121" s="1"/>
  <c r="S41" i="123" l="1"/>
  <c r="Y51" i="123"/>
  <c r="AA51" i="123" s="1"/>
  <c r="Y34" i="120"/>
  <c r="AA34" i="120" s="1"/>
  <c r="X13" i="133"/>
  <c r="U41" i="123"/>
  <c r="AB49" i="123"/>
  <c r="S15" i="123"/>
  <c r="U15" i="123" s="1"/>
  <c r="W15" i="123" s="1"/>
  <c r="Y15" i="123" s="1"/>
  <c r="AA15" i="123" s="1"/>
  <c r="S24" i="135"/>
  <c r="U24" i="135" s="1"/>
  <c r="W24" i="135" s="1"/>
  <c r="Y24" i="135" s="1"/>
  <c r="AA24" i="135" s="1"/>
  <c r="S15" i="135"/>
  <c r="U15" i="135" s="1"/>
  <c r="W15" i="135" s="1"/>
  <c r="Y15" i="135" s="1"/>
  <c r="AA15" i="135" s="1"/>
  <c r="S37" i="135"/>
  <c r="U37" i="135" s="1"/>
  <c r="W37" i="135" s="1"/>
  <c r="S25" i="135"/>
  <c r="U25" i="135" s="1"/>
  <c r="W25" i="135" s="1"/>
  <c r="Y25" i="135" s="1"/>
  <c r="AA25" i="135" s="1"/>
  <c r="Y32" i="120"/>
  <c r="AA32" i="120" s="1"/>
  <c r="X32" i="120"/>
  <c r="AB25" i="120"/>
  <c r="AB13" i="133"/>
  <c r="AB51" i="123"/>
  <c r="S40" i="123"/>
  <c r="S26" i="121"/>
  <c r="U26" i="121" s="1"/>
  <c r="W26" i="121" s="1"/>
  <c r="X27" i="121"/>
  <c r="AA27" i="121"/>
  <c r="Y27" i="121"/>
  <c r="AB24" i="120"/>
  <c r="AB33" i="120"/>
  <c r="AB35" i="120"/>
  <c r="AB34" i="120"/>
  <c r="U40" i="123"/>
  <c r="W40" i="123" s="1"/>
  <c r="Y40" i="123" s="1"/>
  <c r="AA40" i="123" s="1"/>
  <c r="Y37" i="135"/>
  <c r="AA37" i="135" s="1"/>
  <c r="X37" i="135"/>
  <c r="S36" i="123"/>
  <c r="U36" i="123" s="1"/>
  <c r="W36" i="123" s="1"/>
  <c r="X36" i="123" s="1"/>
  <c r="S29" i="123"/>
  <c r="U29" i="123" s="1"/>
  <c r="W29" i="123" s="1"/>
  <c r="X29" i="123" s="1"/>
  <c r="S10" i="132"/>
  <c r="U10" i="132" s="1"/>
  <c r="W10" i="132" s="1"/>
  <c r="Y10" i="132" s="1"/>
  <c r="AA10" i="132" s="1"/>
  <c r="S22" i="135"/>
  <c r="U22" i="135" s="1"/>
  <c r="W22" i="135" s="1"/>
  <c r="X22" i="135" s="1"/>
  <c r="W41" i="123"/>
  <c r="X41" i="123" s="1"/>
  <c r="X24" i="135" l="1"/>
  <c r="X15" i="135"/>
  <c r="AB15" i="135" s="1"/>
  <c r="X25" i="135"/>
  <c r="X40" i="123"/>
  <c r="Y41" i="123"/>
  <c r="AA41" i="123" s="1"/>
  <c r="AB25" i="135"/>
  <c r="AB32" i="120"/>
  <c r="X15" i="123"/>
  <c r="Y36" i="123"/>
  <c r="AA36" i="123" s="1"/>
  <c r="AB36" i="123" s="1"/>
  <c r="X26" i="121"/>
  <c r="Y26" i="121"/>
  <c r="AA26" i="121" s="1"/>
  <c r="AB26" i="121" s="1"/>
  <c r="AB27" i="121"/>
  <c r="Y22" i="135"/>
  <c r="AA22" i="135" s="1"/>
  <c r="AB22" i="135" s="1"/>
  <c r="AB24" i="135"/>
  <c r="AB40" i="123"/>
  <c r="AB37" i="135"/>
  <c r="X10" i="132"/>
  <c r="AB10" i="132"/>
  <c r="AB15" i="123"/>
  <c r="AB41" i="123"/>
  <c r="Y29" i="123"/>
  <c r="Y28" i="123" s="1"/>
  <c r="X28" i="123"/>
  <c r="AA29" i="123" l="1"/>
  <c r="N48" i="123"/>
  <c r="O48" i="123" s="1"/>
  <c r="M48" i="123"/>
  <c r="J48" i="123"/>
  <c r="N46" i="123"/>
  <c r="O46" i="123" s="1"/>
  <c r="M46" i="123"/>
  <c r="J46" i="123"/>
  <c r="N47" i="123"/>
  <c r="O47" i="123" s="1"/>
  <c r="M47" i="123"/>
  <c r="J47" i="123"/>
  <c r="B44" i="123"/>
  <c r="M9" i="134"/>
  <c r="N9" i="134"/>
  <c r="O9" i="134"/>
  <c r="P9" i="134"/>
  <c r="Q9" i="134"/>
  <c r="R9" i="134"/>
  <c r="S9" i="134"/>
  <c r="T9" i="134"/>
  <c r="U9" i="134"/>
  <c r="V9" i="134"/>
  <c r="W9" i="134"/>
  <c r="X9" i="134"/>
  <c r="Y9" i="134"/>
  <c r="AA9" i="134"/>
  <c r="AB9" i="134"/>
  <c r="J9" i="134"/>
  <c r="AB8" i="134"/>
  <c r="AA8" i="134"/>
  <c r="Z8" i="134"/>
  <c r="Y8" i="134"/>
  <c r="X8" i="134"/>
  <c r="M8" i="134"/>
  <c r="L8" i="134"/>
  <c r="K8" i="134"/>
  <c r="M39" i="123"/>
  <c r="N39" i="123"/>
  <c r="O39" i="123" s="1"/>
  <c r="M37" i="123"/>
  <c r="N37" i="123"/>
  <c r="O37" i="123" s="1"/>
  <c r="M38" i="123"/>
  <c r="N38" i="123"/>
  <c r="O38" i="123" s="1"/>
  <c r="P38" i="123" s="1"/>
  <c r="Z35" i="123"/>
  <c r="L35" i="123"/>
  <c r="K35" i="123"/>
  <c r="J39" i="123"/>
  <c r="M23" i="120"/>
  <c r="N23" i="120"/>
  <c r="O23" i="120" s="1"/>
  <c r="J23" i="120"/>
  <c r="M22" i="120"/>
  <c r="N22" i="120"/>
  <c r="O22" i="120" s="1"/>
  <c r="J22" i="120"/>
  <c r="M21" i="120"/>
  <c r="N21" i="120"/>
  <c r="O21" i="120" s="1"/>
  <c r="J21" i="120"/>
  <c r="M20" i="120"/>
  <c r="N20" i="120"/>
  <c r="O20" i="120" s="1"/>
  <c r="J20" i="120"/>
  <c r="M14" i="120"/>
  <c r="N14" i="120"/>
  <c r="O14" i="120" s="1"/>
  <c r="P14" i="120" s="1"/>
  <c r="J14" i="120"/>
  <c r="J38" i="123"/>
  <c r="J37" i="123"/>
  <c r="Y16" i="123"/>
  <c r="AA16" i="123" s="1"/>
  <c r="N16" i="123"/>
  <c r="O16" i="123" s="1"/>
  <c r="M16" i="123"/>
  <c r="J16" i="123"/>
  <c r="N13" i="120"/>
  <c r="O13" i="120" s="1"/>
  <c r="M13" i="120"/>
  <c r="J13" i="120"/>
  <c r="M11" i="134"/>
  <c r="N11" i="134"/>
  <c r="O11" i="134"/>
  <c r="P11" i="134"/>
  <c r="Q11" i="134"/>
  <c r="R11" i="134"/>
  <c r="S11" i="134"/>
  <c r="T11" i="134"/>
  <c r="U11" i="134"/>
  <c r="V11" i="134"/>
  <c r="W11" i="134"/>
  <c r="X11" i="134"/>
  <c r="Y11" i="134"/>
  <c r="AA11" i="134"/>
  <c r="AB11" i="134"/>
  <c r="AB10" i="134"/>
  <c r="M13" i="134"/>
  <c r="N13" i="134"/>
  <c r="O13" i="134"/>
  <c r="P13" i="134"/>
  <c r="Q13" i="134"/>
  <c r="R13" i="134"/>
  <c r="S13" i="134"/>
  <c r="T13" i="134"/>
  <c r="U13" i="134"/>
  <c r="V13" i="134"/>
  <c r="W13" i="134"/>
  <c r="X13" i="134"/>
  <c r="Y13" i="134"/>
  <c r="AA13" i="134"/>
  <c r="AB13" i="134"/>
  <c r="AB12" i="134"/>
  <c r="AA10" i="134"/>
  <c r="AA12" i="134"/>
  <c r="Z10" i="134"/>
  <c r="Z12" i="134"/>
  <c r="Y10" i="134"/>
  <c r="Y12" i="134"/>
  <c r="X10" i="134"/>
  <c r="X12" i="134"/>
  <c r="M10" i="134"/>
  <c r="M12" i="134"/>
  <c r="L10" i="134"/>
  <c r="L12" i="134"/>
  <c r="K10" i="134"/>
  <c r="K12" i="134"/>
  <c r="Y16" i="133"/>
  <c r="AA16" i="133" s="1"/>
  <c r="N16" i="133"/>
  <c r="O16" i="133" s="1"/>
  <c r="M16" i="133"/>
  <c r="N18" i="119"/>
  <c r="O18" i="119" s="1"/>
  <c r="M18" i="119"/>
  <c r="M17" i="119"/>
  <c r="Z17" i="119"/>
  <c r="L17" i="119"/>
  <c r="K17" i="119"/>
  <c r="N15" i="133"/>
  <c r="O15" i="133" s="1"/>
  <c r="M15" i="133"/>
  <c r="J15" i="133"/>
  <c r="Z8" i="121"/>
  <c r="L8" i="121"/>
  <c r="K8" i="121"/>
  <c r="N25" i="121"/>
  <c r="O25" i="121" s="1"/>
  <c r="M25" i="121"/>
  <c r="J25" i="121"/>
  <c r="N9" i="133"/>
  <c r="O9" i="133" s="1"/>
  <c r="M9" i="133"/>
  <c r="J9" i="133"/>
  <c r="N11" i="133"/>
  <c r="O11" i="133" s="1"/>
  <c r="M11" i="133"/>
  <c r="J11" i="133"/>
  <c r="J12" i="133"/>
  <c r="M12" i="133"/>
  <c r="N12" i="133"/>
  <c r="O12" i="133" s="1"/>
  <c r="J14" i="133"/>
  <c r="M14" i="133"/>
  <c r="N14" i="133"/>
  <c r="O14" i="133" s="1"/>
  <c r="J16" i="133"/>
  <c r="N14" i="135"/>
  <c r="O14" i="135" s="1"/>
  <c r="V14" i="135" s="1"/>
  <c r="J14" i="135"/>
  <c r="J13" i="135"/>
  <c r="J11" i="135"/>
  <c r="J10" i="135"/>
  <c r="J9" i="135"/>
  <c r="J22" i="132"/>
  <c r="J20" i="132"/>
  <c r="J13" i="132"/>
  <c r="J12" i="132"/>
  <c r="J11" i="132"/>
  <c r="J10" i="132"/>
  <c r="J9" i="132"/>
  <c r="N22" i="132"/>
  <c r="O22" i="132" s="1"/>
  <c r="N20" i="132"/>
  <c r="O20" i="132" s="1"/>
  <c r="N13" i="132"/>
  <c r="O13" i="132" s="1"/>
  <c r="N11" i="132"/>
  <c r="O11" i="132" s="1"/>
  <c r="M9" i="136"/>
  <c r="N9" i="136"/>
  <c r="N22" i="131"/>
  <c r="O22" i="131"/>
  <c r="N21" i="131"/>
  <c r="O21" i="131" s="1"/>
  <c r="N20" i="131"/>
  <c r="O20" i="131" s="1"/>
  <c r="N19" i="131"/>
  <c r="O19" i="131" s="1"/>
  <c r="N13" i="131"/>
  <c r="O13" i="131" s="1"/>
  <c r="N12" i="131"/>
  <c r="O12" i="131" s="1"/>
  <c r="N11" i="131"/>
  <c r="O11" i="131" s="1"/>
  <c r="N10" i="131"/>
  <c r="O10" i="131"/>
  <c r="V10" i="131"/>
  <c r="N9" i="131"/>
  <c r="N24" i="131" s="1"/>
  <c r="O9" i="131"/>
  <c r="P9" i="131" s="1"/>
  <c r="J22" i="131"/>
  <c r="J21" i="131"/>
  <c r="J20" i="131"/>
  <c r="J19" i="131"/>
  <c r="J13" i="131"/>
  <c r="J12" i="131"/>
  <c r="J11" i="131"/>
  <c r="J10" i="131"/>
  <c r="J9" i="131"/>
  <c r="N10" i="118"/>
  <c r="O10" i="118" s="1"/>
  <c r="J10" i="118"/>
  <c r="N27" i="123"/>
  <c r="O27" i="123" s="1"/>
  <c r="R27" i="123" s="1"/>
  <c r="N25" i="123"/>
  <c r="O25" i="123" s="1"/>
  <c r="N24" i="123"/>
  <c r="O24" i="123" s="1"/>
  <c r="T24" i="123" s="1"/>
  <c r="N22" i="123"/>
  <c r="O22" i="123" s="1"/>
  <c r="P22" i="123" s="1"/>
  <c r="N12" i="123"/>
  <c r="O12" i="123" s="1"/>
  <c r="V12" i="123" s="1"/>
  <c r="N10" i="123"/>
  <c r="O10" i="123" s="1"/>
  <c r="N9" i="123"/>
  <c r="J36" i="123"/>
  <c r="J27" i="123"/>
  <c r="J25" i="123"/>
  <c r="J24" i="123"/>
  <c r="J22" i="123"/>
  <c r="J12" i="123"/>
  <c r="J10" i="123"/>
  <c r="J9" i="123"/>
  <c r="N40" i="121"/>
  <c r="O40" i="121" s="1"/>
  <c r="V40" i="121" s="1"/>
  <c r="N38" i="121"/>
  <c r="O38" i="121" s="1"/>
  <c r="N37" i="121"/>
  <c r="O37" i="121" s="1"/>
  <c r="P37" i="121" s="1"/>
  <c r="J40" i="121"/>
  <c r="J38" i="121"/>
  <c r="J37" i="121"/>
  <c r="J24" i="121"/>
  <c r="J23" i="121"/>
  <c r="J22" i="121"/>
  <c r="J21" i="121"/>
  <c r="N24" i="121"/>
  <c r="O24" i="121" s="1"/>
  <c r="P24" i="121" s="1"/>
  <c r="N23" i="121"/>
  <c r="O23" i="121" s="1"/>
  <c r="N22" i="121"/>
  <c r="O22" i="121" s="1"/>
  <c r="N21" i="121"/>
  <c r="O21" i="121" s="1"/>
  <c r="N12" i="121"/>
  <c r="O12" i="121" s="1"/>
  <c r="N11" i="121"/>
  <c r="O11" i="121" s="1"/>
  <c r="P11" i="121" s="1"/>
  <c r="N10" i="121"/>
  <c r="O10" i="121" s="1"/>
  <c r="V10" i="121" s="1"/>
  <c r="N9" i="121"/>
  <c r="O9" i="121" s="1"/>
  <c r="J13" i="121"/>
  <c r="J12" i="121"/>
  <c r="J11" i="121"/>
  <c r="J10" i="121"/>
  <c r="J9" i="121"/>
  <c r="N12" i="120"/>
  <c r="O12" i="120" s="1"/>
  <c r="N11" i="120"/>
  <c r="O11" i="120" s="1"/>
  <c r="N10" i="120"/>
  <c r="O10" i="120" s="1"/>
  <c r="J12" i="120"/>
  <c r="J11" i="120"/>
  <c r="J10" i="120"/>
  <c r="J9" i="120"/>
  <c r="J11" i="134"/>
  <c r="J13" i="134"/>
  <c r="N20" i="119"/>
  <c r="O20" i="119" s="1"/>
  <c r="N15" i="119"/>
  <c r="O15" i="119" s="1"/>
  <c r="R15" i="119" s="1"/>
  <c r="N13" i="119"/>
  <c r="O13" i="119" s="1"/>
  <c r="T13" i="119" s="1"/>
  <c r="N11" i="119"/>
  <c r="O11" i="119" s="1"/>
  <c r="N10" i="119"/>
  <c r="O10" i="119" s="1"/>
  <c r="N9" i="119"/>
  <c r="O9" i="119" s="1"/>
  <c r="U11" i="136"/>
  <c r="O11" i="136"/>
  <c r="S11" i="136"/>
  <c r="Q11" i="136"/>
  <c r="N11" i="136"/>
  <c r="U9" i="136"/>
  <c r="S9" i="136"/>
  <c r="Q9" i="136"/>
  <c r="O9" i="136"/>
  <c r="P9" i="136"/>
  <c r="R9" i="136"/>
  <c r="T9" i="136"/>
  <c r="V9" i="136"/>
  <c r="V9" i="131"/>
  <c r="T9" i="131"/>
  <c r="P10" i="131"/>
  <c r="Q10" i="131" s="1"/>
  <c r="S10" i="131" s="1"/>
  <c r="U10" i="131" s="1"/>
  <c r="W10" i="131" s="1"/>
  <c r="R10" i="131"/>
  <c r="T10" i="131"/>
  <c r="Z19" i="119"/>
  <c r="X19" i="119"/>
  <c r="L19" i="119"/>
  <c r="K19" i="119"/>
  <c r="M15" i="119"/>
  <c r="M14" i="119" s="1"/>
  <c r="Z14" i="119"/>
  <c r="L14" i="119"/>
  <c r="K14" i="119"/>
  <c r="B17" i="131"/>
  <c r="M27" i="123"/>
  <c r="M26" i="123" s="1"/>
  <c r="Z26" i="123"/>
  <c r="L26" i="123"/>
  <c r="K26" i="123"/>
  <c r="B33" i="123"/>
  <c r="B20" i="123"/>
  <c r="Z36" i="121"/>
  <c r="L36" i="121"/>
  <c r="K36" i="121"/>
  <c r="B32" i="121"/>
  <c r="M37" i="121"/>
  <c r="B29" i="120"/>
  <c r="B18" i="120"/>
  <c r="K36" i="120"/>
  <c r="Z38" i="135"/>
  <c r="L38" i="135"/>
  <c r="Z24" i="132"/>
  <c r="L24" i="132"/>
  <c r="Y11" i="136"/>
  <c r="K11" i="136"/>
  <c r="Z24" i="131"/>
  <c r="Z23" i="123"/>
  <c r="L23" i="123"/>
  <c r="K23" i="123"/>
  <c r="Z14" i="123"/>
  <c r="L14" i="123"/>
  <c r="K14" i="123"/>
  <c r="Z8" i="123"/>
  <c r="L8" i="123"/>
  <c r="Z36" i="120"/>
  <c r="L36" i="120"/>
  <c r="M22" i="121"/>
  <c r="M10" i="121"/>
  <c r="X9" i="136"/>
  <c r="W9" i="136"/>
  <c r="P11" i="136"/>
  <c r="Z9" i="136"/>
  <c r="R11" i="136"/>
  <c r="T11" i="136"/>
  <c r="W11" i="136"/>
  <c r="V11" i="136"/>
  <c r="Z12" i="119"/>
  <c r="L12" i="119"/>
  <c r="K12" i="119"/>
  <c r="Z17" i="133"/>
  <c r="L17" i="133"/>
  <c r="K17" i="133"/>
  <c r="J11" i="136"/>
  <c r="Z8" i="119"/>
  <c r="L8" i="119"/>
  <c r="M21" i="121"/>
  <c r="M12" i="121"/>
  <c r="B19" i="121"/>
  <c r="M22" i="123"/>
  <c r="M22" i="132"/>
  <c r="M20" i="132"/>
  <c r="Z11" i="136"/>
  <c r="X11" i="136"/>
  <c r="Y22" i="132"/>
  <c r="AA22" i="132" s="1"/>
  <c r="M13" i="132"/>
  <c r="L9" i="136"/>
  <c r="I9" i="136"/>
  <c r="M10" i="120"/>
  <c r="L11" i="136"/>
  <c r="AA9" i="136"/>
  <c r="AA11" i="136"/>
  <c r="M40" i="121"/>
  <c r="M24" i="121"/>
  <c r="Y24" i="121"/>
  <c r="AA24" i="121" s="1"/>
  <c r="A3" i="136"/>
  <c r="Y20" i="119"/>
  <c r="Y19" i="119" s="1"/>
  <c r="M20" i="119"/>
  <c r="M19" i="119"/>
  <c r="A3" i="132"/>
  <c r="A3" i="133" s="1"/>
  <c r="A3" i="131"/>
  <c r="A3" i="118"/>
  <c r="A3" i="123"/>
  <c r="A3" i="121"/>
  <c r="A3" i="120"/>
  <c r="B3" i="134"/>
  <c r="M25" i="123"/>
  <c r="M23" i="121"/>
  <c r="K8" i="123"/>
  <c r="Y25" i="123"/>
  <c r="AA25" i="123" s="1"/>
  <c r="M38" i="121"/>
  <c r="M11" i="120"/>
  <c r="M24" i="123"/>
  <c r="M11" i="121"/>
  <c r="M9" i="121"/>
  <c r="M11" i="132"/>
  <c r="M10" i="118"/>
  <c r="M10" i="119"/>
  <c r="M12" i="123"/>
  <c r="M11" i="123" s="1"/>
  <c r="M13" i="119"/>
  <c r="M12" i="119"/>
  <c r="M10" i="123"/>
  <c r="K38" i="135"/>
  <c r="M12" i="120"/>
  <c r="M9" i="123"/>
  <c r="M11" i="136"/>
  <c r="M12" i="131"/>
  <c r="M9" i="119"/>
  <c r="M13" i="131"/>
  <c r="M22" i="131"/>
  <c r="M21" i="131"/>
  <c r="M20" i="131"/>
  <c r="M19" i="131"/>
  <c r="M11" i="131"/>
  <c r="M10" i="131"/>
  <c r="M9" i="131"/>
  <c r="T14" i="134"/>
  <c r="P14" i="134"/>
  <c r="N14" i="134"/>
  <c r="O14" i="134"/>
  <c r="R14" i="134"/>
  <c r="Q14" i="134"/>
  <c r="Z39" i="121"/>
  <c r="L39" i="121"/>
  <c r="S14" i="134"/>
  <c r="U14" i="134"/>
  <c r="K39" i="121"/>
  <c r="Z14" i="118"/>
  <c r="L14" i="118"/>
  <c r="K8" i="119"/>
  <c r="M11" i="119"/>
  <c r="K24" i="132"/>
  <c r="K24" i="131"/>
  <c r="M14" i="118"/>
  <c r="K14" i="118"/>
  <c r="V14" i="134"/>
  <c r="W14" i="134"/>
  <c r="K22" i="119" l="1"/>
  <c r="K42" i="121"/>
  <c r="R21" i="131"/>
  <c r="T21" i="131"/>
  <c r="V21" i="131"/>
  <c r="P21" i="131"/>
  <c r="Q21" i="131" s="1"/>
  <c r="S21" i="131" s="1"/>
  <c r="U21" i="131" s="1"/>
  <c r="W21" i="131" s="1"/>
  <c r="Q9" i="131"/>
  <c r="R11" i="131"/>
  <c r="V11" i="131"/>
  <c r="V24" i="131" s="1"/>
  <c r="P11" i="131"/>
  <c r="P24" i="131" s="1"/>
  <c r="T11" i="131"/>
  <c r="P12" i="131"/>
  <c r="Q12" i="131"/>
  <c r="T12" i="131"/>
  <c r="V12" i="131"/>
  <c r="R12" i="131"/>
  <c r="Y10" i="131"/>
  <c r="AA10" i="131" s="1"/>
  <c r="X10" i="131"/>
  <c r="AB10" i="131" s="1"/>
  <c r="V13" i="131"/>
  <c r="P13" i="131"/>
  <c r="Q13" i="131"/>
  <c r="S13" i="131" s="1"/>
  <c r="U13" i="131" s="1"/>
  <c r="W13" i="131" s="1"/>
  <c r="R13" i="131"/>
  <c r="T13" i="131"/>
  <c r="T24" i="131" s="1"/>
  <c r="T19" i="131"/>
  <c r="P19" i="131"/>
  <c r="R19" i="131"/>
  <c r="Q19" i="131"/>
  <c r="S19" i="131" s="1"/>
  <c r="U19" i="131" s="1"/>
  <c r="V19" i="131"/>
  <c r="V20" i="131"/>
  <c r="R20" i="131"/>
  <c r="P20" i="131"/>
  <c r="Q20" i="131" s="1"/>
  <c r="S20" i="131" s="1"/>
  <c r="U20" i="131" s="1"/>
  <c r="W20" i="131" s="1"/>
  <c r="T20" i="131"/>
  <c r="R9" i="131"/>
  <c r="O24" i="131"/>
  <c r="R22" i="131"/>
  <c r="V22" i="131"/>
  <c r="P22" i="131"/>
  <c r="Q22" i="131" s="1"/>
  <c r="S22" i="131" s="1"/>
  <c r="U22" i="131" s="1"/>
  <c r="W22" i="131" s="1"/>
  <c r="T22" i="131"/>
  <c r="M24" i="131"/>
  <c r="M8" i="119"/>
  <c r="L42" i="121"/>
  <c r="P11" i="119"/>
  <c r="Q11" i="119" s="1"/>
  <c r="R11" i="119"/>
  <c r="T11" i="119"/>
  <c r="T18" i="119"/>
  <c r="R18" i="119"/>
  <c r="V18" i="119"/>
  <c r="R20" i="119"/>
  <c r="V20" i="119"/>
  <c r="T20" i="119"/>
  <c r="AA20" i="119"/>
  <c r="AA19" i="119" s="1"/>
  <c r="AB20" i="119"/>
  <c r="AB19" i="119" s="1"/>
  <c r="M22" i="119"/>
  <c r="L22" i="119"/>
  <c r="Z22" i="119"/>
  <c r="Z42" i="121"/>
  <c r="M24" i="132"/>
  <c r="N8" i="123"/>
  <c r="R10" i="118"/>
  <c r="P10" i="118"/>
  <c r="V10" i="118"/>
  <c r="T10" i="118"/>
  <c r="O14" i="118"/>
  <c r="N14" i="118"/>
  <c r="P12" i="133"/>
  <c r="Q12" i="133" s="1"/>
  <c r="R12" i="133"/>
  <c r="T10" i="119"/>
  <c r="V10" i="119"/>
  <c r="R10" i="119"/>
  <c r="P10" i="119"/>
  <c r="Q10" i="119" s="1"/>
  <c r="S10" i="119" s="1"/>
  <c r="O22" i="119"/>
  <c r="P9" i="119"/>
  <c r="Q9" i="119"/>
  <c r="V9" i="119"/>
  <c r="T9" i="119"/>
  <c r="R9" i="119"/>
  <c r="V15" i="119"/>
  <c r="P20" i="119"/>
  <c r="Q20" i="119" s="1"/>
  <c r="S20" i="119" s="1"/>
  <c r="P18" i="119"/>
  <c r="Q18" i="119" s="1"/>
  <c r="S18" i="119" s="1"/>
  <c r="U18" i="119" s="1"/>
  <c r="W18" i="119" s="1"/>
  <c r="V13" i="119"/>
  <c r="T15" i="119"/>
  <c r="V11" i="119"/>
  <c r="N22" i="119"/>
  <c r="P13" i="119"/>
  <c r="Q13" i="119" s="1"/>
  <c r="R13" i="119"/>
  <c r="P15" i="119"/>
  <c r="Q15" i="119" s="1"/>
  <c r="S15" i="119" s="1"/>
  <c r="R11" i="133"/>
  <c r="T11" i="133"/>
  <c r="V11" i="133"/>
  <c r="R16" i="133"/>
  <c r="T16" i="133"/>
  <c r="P16" i="133"/>
  <c r="Q16" i="133" s="1"/>
  <c r="V16" i="133"/>
  <c r="T12" i="133"/>
  <c r="V12" i="133"/>
  <c r="P11" i="133"/>
  <c r="Q11" i="133" s="1"/>
  <c r="R15" i="133"/>
  <c r="V15" i="133"/>
  <c r="T15" i="133"/>
  <c r="P15" i="133"/>
  <c r="Q15" i="133" s="1"/>
  <c r="K53" i="123"/>
  <c r="Z53" i="123"/>
  <c r="L53" i="123"/>
  <c r="O24" i="132"/>
  <c r="T9" i="133"/>
  <c r="V9" i="133"/>
  <c r="M17" i="133"/>
  <c r="P14" i="135"/>
  <c r="Q14" i="135" s="1"/>
  <c r="R14" i="135"/>
  <c r="T14" i="135"/>
  <c r="P13" i="120"/>
  <c r="Q13" i="120" s="1"/>
  <c r="T13" i="120"/>
  <c r="R13" i="120"/>
  <c r="V13" i="120"/>
  <c r="V10" i="120"/>
  <c r="R10" i="120"/>
  <c r="T10" i="120"/>
  <c r="P10" i="120"/>
  <c r="Q10" i="120" s="1"/>
  <c r="P12" i="120"/>
  <c r="Q12" i="120" s="1"/>
  <c r="T12" i="120"/>
  <c r="V12" i="120"/>
  <c r="R12" i="120"/>
  <c r="P23" i="120"/>
  <c r="Q23" i="120" s="1"/>
  <c r="R23" i="120"/>
  <c r="T23" i="120"/>
  <c r="V23" i="120"/>
  <c r="R11" i="120"/>
  <c r="V11" i="120"/>
  <c r="P11" i="120"/>
  <c r="Q11" i="120" s="1"/>
  <c r="S11" i="120" s="1"/>
  <c r="T11" i="120"/>
  <c r="V20" i="120"/>
  <c r="P20" i="120"/>
  <c r="Q20" i="120" s="1"/>
  <c r="R20" i="120"/>
  <c r="T20" i="120"/>
  <c r="P22" i="120"/>
  <c r="Q22" i="120" s="1"/>
  <c r="R22" i="120"/>
  <c r="T22" i="120"/>
  <c r="V22" i="120"/>
  <c r="R24" i="121"/>
  <c r="V24" i="121"/>
  <c r="T24" i="121"/>
  <c r="N17" i="133"/>
  <c r="N24" i="132"/>
  <c r="R11" i="132"/>
  <c r="T11" i="132"/>
  <c r="V11" i="132"/>
  <c r="P11" i="132"/>
  <c r="Q11" i="132" s="1"/>
  <c r="S11" i="132" s="1"/>
  <c r="U11" i="132" s="1"/>
  <c r="W11" i="132" s="1"/>
  <c r="V13" i="132"/>
  <c r="P13" i="132"/>
  <c r="Q13" i="132" s="1"/>
  <c r="R13" i="132"/>
  <c r="T13" i="132"/>
  <c r="P20" i="132"/>
  <c r="Q20" i="132" s="1"/>
  <c r="V20" i="132"/>
  <c r="R20" i="132"/>
  <c r="T20" i="132"/>
  <c r="T22" i="132"/>
  <c r="V22" i="132"/>
  <c r="R22" i="132"/>
  <c r="P22" i="132"/>
  <c r="Q22" i="132" s="1"/>
  <c r="S22" i="132" s="1"/>
  <c r="U22" i="132" s="1"/>
  <c r="R11" i="121"/>
  <c r="T21" i="120"/>
  <c r="P21" i="120"/>
  <c r="Q21" i="120" s="1"/>
  <c r="N38" i="135"/>
  <c r="O38" i="135"/>
  <c r="M38" i="135"/>
  <c r="AA28" i="123"/>
  <c r="AB29" i="123"/>
  <c r="AB28" i="123" s="1"/>
  <c r="M8" i="123"/>
  <c r="R21" i="120"/>
  <c r="V21" i="120"/>
  <c r="O17" i="133"/>
  <c r="R14" i="133"/>
  <c r="P14" i="133"/>
  <c r="Q14" i="133" s="1"/>
  <c r="T14" i="133"/>
  <c r="V14" i="133"/>
  <c r="P9" i="133"/>
  <c r="R9" i="133"/>
  <c r="V11" i="121"/>
  <c r="R38" i="121"/>
  <c r="T38" i="121"/>
  <c r="P38" i="121"/>
  <c r="Q38" i="121" s="1"/>
  <c r="V38" i="121"/>
  <c r="T11" i="121"/>
  <c r="M8" i="121"/>
  <c r="Q24" i="121"/>
  <c r="T10" i="121"/>
  <c r="R10" i="121"/>
  <c r="P10" i="121"/>
  <c r="Q10" i="121" s="1"/>
  <c r="P25" i="121"/>
  <c r="Q25" i="121" s="1"/>
  <c r="T25" i="121"/>
  <c r="V25" i="121"/>
  <c r="R25" i="121"/>
  <c r="T21" i="121"/>
  <c r="R21" i="121"/>
  <c r="P21" i="121"/>
  <c r="Q21" i="121"/>
  <c r="V21" i="121"/>
  <c r="T22" i="121"/>
  <c r="V22" i="121"/>
  <c r="R22" i="121"/>
  <c r="P22" i="121"/>
  <c r="Q22" i="121" s="1"/>
  <c r="P12" i="121"/>
  <c r="Q12" i="121" s="1"/>
  <c r="T12" i="121"/>
  <c r="V12" i="121"/>
  <c r="M36" i="121"/>
  <c r="V37" i="121"/>
  <c r="M39" i="121"/>
  <c r="Q37" i="121"/>
  <c r="T23" i="121"/>
  <c r="T37" i="121"/>
  <c r="R40" i="121"/>
  <c r="R37" i="121"/>
  <c r="P40" i="121"/>
  <c r="Q40" i="121" s="1"/>
  <c r="V23" i="121"/>
  <c r="T40" i="121"/>
  <c r="P23" i="121"/>
  <c r="Q23" i="121" s="1"/>
  <c r="Q11" i="121"/>
  <c r="R23" i="121"/>
  <c r="V14" i="120"/>
  <c r="T14" i="120"/>
  <c r="R14" i="120"/>
  <c r="Q14" i="120"/>
  <c r="M36" i="120"/>
  <c r="R12" i="121"/>
  <c r="O42" i="121"/>
  <c r="V9" i="121"/>
  <c r="P9" i="121"/>
  <c r="T9" i="121"/>
  <c r="R9" i="121"/>
  <c r="N42" i="121"/>
  <c r="B18" i="132"/>
  <c r="O36" i="120"/>
  <c r="N36" i="120"/>
  <c r="R48" i="123"/>
  <c r="P48" i="123"/>
  <c r="Q48" i="123" s="1"/>
  <c r="V48" i="123"/>
  <c r="T48" i="123"/>
  <c r="N23" i="123"/>
  <c r="M14" i="123"/>
  <c r="V46" i="123"/>
  <c r="T46" i="123"/>
  <c r="R46" i="123"/>
  <c r="P46" i="123"/>
  <c r="Q46" i="123" s="1"/>
  <c r="V47" i="123"/>
  <c r="T47" i="123"/>
  <c r="R47" i="123"/>
  <c r="P47" i="123"/>
  <c r="Q47" i="123" s="1"/>
  <c r="O9" i="123"/>
  <c r="V9" i="123" s="1"/>
  <c r="V16" i="123"/>
  <c r="V14" i="123" s="1"/>
  <c r="O14" i="123"/>
  <c r="T37" i="123"/>
  <c r="P37" i="123"/>
  <c r="Q37" i="123" s="1"/>
  <c r="R37" i="123"/>
  <c r="V22" i="123"/>
  <c r="M23" i="123"/>
  <c r="R12" i="123"/>
  <c r="R22" i="123"/>
  <c r="N14" i="123"/>
  <c r="M35" i="123"/>
  <c r="T22" i="123"/>
  <c r="V37" i="123"/>
  <c r="Q22" i="123"/>
  <c r="P10" i="123"/>
  <c r="T10" i="123"/>
  <c r="V10" i="123"/>
  <c r="R10" i="123"/>
  <c r="V25" i="123"/>
  <c r="P25" i="123"/>
  <c r="Q25" i="123" s="1"/>
  <c r="T25" i="123"/>
  <c r="R25" i="123"/>
  <c r="T39" i="123"/>
  <c r="P39" i="123"/>
  <c r="Q39" i="123" s="1"/>
  <c r="V39" i="123"/>
  <c r="R39" i="123"/>
  <c r="R24" i="123"/>
  <c r="P24" i="123"/>
  <c r="Q24" i="123" s="1"/>
  <c r="V38" i="123"/>
  <c r="V27" i="123"/>
  <c r="T12" i="123"/>
  <c r="P16" i="123"/>
  <c r="P14" i="123" s="1"/>
  <c r="T38" i="123"/>
  <c r="T16" i="123"/>
  <c r="T14" i="123" s="1"/>
  <c r="R38" i="123"/>
  <c r="V24" i="123"/>
  <c r="R16" i="123"/>
  <c r="R14" i="123" s="1"/>
  <c r="P12" i="123"/>
  <c r="Q12" i="123" s="1"/>
  <c r="P27" i="123"/>
  <c r="Q27" i="123" s="1"/>
  <c r="S27" i="123" s="1"/>
  <c r="Q38" i="123"/>
  <c r="T27" i="123"/>
  <c r="O23" i="123"/>
  <c r="X22" i="131" l="1"/>
  <c r="Y22" i="131"/>
  <c r="AA22" i="131" s="1"/>
  <c r="X21" i="131"/>
  <c r="Y21" i="131"/>
  <c r="AA21" i="131" s="1"/>
  <c r="Y20" i="131"/>
  <c r="AA20" i="131" s="1"/>
  <c r="X20" i="131"/>
  <c r="Y13" i="131"/>
  <c r="AA13" i="131" s="1"/>
  <c r="X13" i="131"/>
  <c r="AB13" i="131" s="1"/>
  <c r="S9" i="131"/>
  <c r="S12" i="131"/>
  <c r="U12" i="131" s="1"/>
  <c r="W12" i="131" s="1"/>
  <c r="Q11" i="131"/>
  <c r="S11" i="131" s="1"/>
  <c r="U11" i="131" s="1"/>
  <c r="W11" i="131" s="1"/>
  <c r="R24" i="131"/>
  <c r="W19" i="131"/>
  <c r="U20" i="119"/>
  <c r="W20" i="119" s="1"/>
  <c r="S11" i="119"/>
  <c r="U11" i="119" s="1"/>
  <c r="U10" i="119"/>
  <c r="W10" i="119" s="1"/>
  <c r="P14" i="118"/>
  <c r="T14" i="118"/>
  <c r="S13" i="119"/>
  <c r="U13" i="119" s="1"/>
  <c r="W13" i="119" s="1"/>
  <c r="X13" i="119" s="1"/>
  <c r="U15" i="119"/>
  <c r="W15" i="119" s="1"/>
  <c r="X15" i="119" s="1"/>
  <c r="S10" i="120"/>
  <c r="U10" i="120" s="1"/>
  <c r="W10" i="120" s="1"/>
  <c r="U11" i="120"/>
  <c r="W11" i="120" s="1"/>
  <c r="S22" i="121"/>
  <c r="U22" i="121" s="1"/>
  <c r="W22" i="121" s="1"/>
  <c r="Y22" i="121" s="1"/>
  <c r="AA22" i="121" s="1"/>
  <c r="M42" i="121"/>
  <c r="S40" i="121"/>
  <c r="U40" i="121" s="1"/>
  <c r="W40" i="121" s="1"/>
  <c r="X40" i="121" s="1"/>
  <c r="S15" i="133"/>
  <c r="S12" i="133"/>
  <c r="U12" i="133" s="1"/>
  <c r="W12" i="133" s="1"/>
  <c r="X12" i="133" s="1"/>
  <c r="S47" i="123"/>
  <c r="Q10" i="118"/>
  <c r="V14" i="118"/>
  <c r="R14" i="118"/>
  <c r="S14" i="133"/>
  <c r="U14" i="133" s="1"/>
  <c r="W14" i="133" s="1"/>
  <c r="S11" i="133"/>
  <c r="U11" i="133" s="1"/>
  <c r="W11" i="133" s="1"/>
  <c r="Y11" i="133" s="1"/>
  <c r="AA11" i="133" s="1"/>
  <c r="S16" i="133"/>
  <c r="U16" i="133" s="1"/>
  <c r="W16" i="133" s="1"/>
  <c r="X16" i="133" s="1"/>
  <c r="AB16" i="133" s="1"/>
  <c r="X18" i="119"/>
  <c r="Y18" i="119"/>
  <c r="T22" i="119"/>
  <c r="S9" i="119"/>
  <c r="Q22" i="119"/>
  <c r="R22" i="119"/>
  <c r="V22" i="119"/>
  <c r="P22" i="119"/>
  <c r="Y10" i="119"/>
  <c r="AA10" i="119" s="1"/>
  <c r="X10" i="119"/>
  <c r="W11" i="119"/>
  <c r="S38" i="121"/>
  <c r="U38" i="121" s="1"/>
  <c r="W38" i="121" s="1"/>
  <c r="S21" i="121"/>
  <c r="U21" i="121" s="1"/>
  <c r="W21" i="121" s="1"/>
  <c r="Y21" i="121" s="1"/>
  <c r="AA21" i="121" s="1"/>
  <c r="S24" i="121"/>
  <c r="U24" i="121" s="1"/>
  <c r="W24" i="121" s="1"/>
  <c r="X24" i="121" s="1"/>
  <c r="AB24" i="121" s="1"/>
  <c r="S21" i="120"/>
  <c r="U21" i="120" s="1"/>
  <c r="W22" i="132"/>
  <c r="X22" i="132" s="1"/>
  <c r="AB22" i="132" s="1"/>
  <c r="S13" i="132"/>
  <c r="U13" i="132" s="1"/>
  <c r="W13" i="132" s="1"/>
  <c r="U15" i="133"/>
  <c r="W15" i="133" s="1"/>
  <c r="X15" i="133" s="1"/>
  <c r="S14" i="135"/>
  <c r="S11" i="121"/>
  <c r="U11" i="121" s="1"/>
  <c r="W11" i="121" s="1"/>
  <c r="S23" i="120"/>
  <c r="U23" i="120" s="1"/>
  <c r="W23" i="120" s="1"/>
  <c r="T17" i="133"/>
  <c r="V17" i="133"/>
  <c r="P38" i="135"/>
  <c r="V38" i="135"/>
  <c r="R38" i="135"/>
  <c r="T38" i="135"/>
  <c r="U14" i="135"/>
  <c r="W14" i="135" s="1"/>
  <c r="S20" i="120"/>
  <c r="U20" i="120" s="1"/>
  <c r="W20" i="120" s="1"/>
  <c r="X20" i="120" s="1"/>
  <c r="S13" i="120"/>
  <c r="U13" i="120" s="1"/>
  <c r="W13" i="120" s="1"/>
  <c r="X13" i="120" s="1"/>
  <c r="X10" i="120"/>
  <c r="Y10" i="120"/>
  <c r="AA10" i="120" s="1"/>
  <c r="X11" i="120"/>
  <c r="Y11" i="120"/>
  <c r="AA11" i="120" s="1"/>
  <c r="S22" i="120"/>
  <c r="U22" i="120" s="1"/>
  <c r="W22" i="120" s="1"/>
  <c r="S12" i="120"/>
  <c r="U12" i="120" s="1"/>
  <c r="W12" i="120" s="1"/>
  <c r="P17" i="133"/>
  <c r="R17" i="133"/>
  <c r="M53" i="123"/>
  <c r="P24" i="132"/>
  <c r="P36" i="120"/>
  <c r="Y13" i="132"/>
  <c r="AA13" i="132" s="1"/>
  <c r="X13" i="132"/>
  <c r="X11" i="132"/>
  <c r="Y11" i="132"/>
  <c r="AA11" i="132" s="1"/>
  <c r="S20" i="132"/>
  <c r="U20" i="132" s="1"/>
  <c r="W20" i="132" s="1"/>
  <c r="V24" i="132"/>
  <c r="T24" i="132"/>
  <c r="R24" i="132"/>
  <c r="W21" i="120"/>
  <c r="Y21" i="120" s="1"/>
  <c r="AA21" i="120" s="1"/>
  <c r="R9" i="123"/>
  <c r="R8" i="123" s="1"/>
  <c r="S48" i="123"/>
  <c r="U48" i="123" s="1"/>
  <c r="W48" i="123" s="1"/>
  <c r="Y48" i="123" s="1"/>
  <c r="AA48" i="123" s="1"/>
  <c r="S24" i="123"/>
  <c r="U24" i="123" s="1"/>
  <c r="W24" i="123" s="1"/>
  <c r="X24" i="123" s="1"/>
  <c r="S46" i="123"/>
  <c r="U46" i="123" s="1"/>
  <c r="W46" i="123" s="1"/>
  <c r="O8" i="123"/>
  <c r="O53" i="123" s="1"/>
  <c r="N53" i="123"/>
  <c r="P9" i="123"/>
  <c r="Q9" i="123" s="1"/>
  <c r="V8" i="123"/>
  <c r="Q10" i="123"/>
  <c r="S10" i="123" s="1"/>
  <c r="U10" i="123" s="1"/>
  <c r="W10" i="123" s="1"/>
  <c r="Q9" i="133"/>
  <c r="S12" i="121"/>
  <c r="U12" i="121" s="1"/>
  <c r="W12" i="121" s="1"/>
  <c r="Y12" i="121" s="1"/>
  <c r="AA12" i="121" s="1"/>
  <c r="S23" i="121"/>
  <c r="U23" i="121" s="1"/>
  <c r="W23" i="121" s="1"/>
  <c r="X23" i="121" s="1"/>
  <c r="S25" i="121"/>
  <c r="U25" i="121" s="1"/>
  <c r="W25" i="121" s="1"/>
  <c r="Y25" i="121" s="1"/>
  <c r="AA25" i="121" s="1"/>
  <c r="S10" i="121"/>
  <c r="U10" i="121" s="1"/>
  <c r="W10" i="121" s="1"/>
  <c r="T42" i="121"/>
  <c r="S37" i="121"/>
  <c r="U37" i="121" s="1"/>
  <c r="W37" i="121" s="1"/>
  <c r="R42" i="121"/>
  <c r="V42" i="121"/>
  <c r="P42" i="121"/>
  <c r="R36" i="120"/>
  <c r="V36" i="120"/>
  <c r="T36" i="120"/>
  <c r="S14" i="120"/>
  <c r="U14" i="120" s="1"/>
  <c r="W14" i="120" s="1"/>
  <c r="X14" i="120" s="1"/>
  <c r="Q9" i="121"/>
  <c r="U47" i="123"/>
  <c r="W47" i="123" s="1"/>
  <c r="Y47" i="123" s="1"/>
  <c r="AA47" i="123" s="1"/>
  <c r="T9" i="123"/>
  <c r="T8" i="123" s="1"/>
  <c r="S12" i="123"/>
  <c r="U12" i="123" s="1"/>
  <c r="W12" i="123" s="1"/>
  <c r="U27" i="123"/>
  <c r="W27" i="123" s="1"/>
  <c r="X27" i="123" s="1"/>
  <c r="S37" i="123"/>
  <c r="U37" i="123" s="1"/>
  <c r="W37" i="123" s="1"/>
  <c r="S22" i="123"/>
  <c r="U22" i="123" s="1"/>
  <c r="W22" i="123" s="1"/>
  <c r="S38" i="123"/>
  <c r="U38" i="123" s="1"/>
  <c r="W38" i="123" s="1"/>
  <c r="S39" i="123"/>
  <c r="U39" i="123" s="1"/>
  <c r="W39" i="123" s="1"/>
  <c r="Y39" i="123" s="1"/>
  <c r="AA39" i="123" s="1"/>
  <c r="S25" i="123"/>
  <c r="U25" i="123" s="1"/>
  <c r="W25" i="123" s="1"/>
  <c r="X25" i="123" s="1"/>
  <c r="AB25" i="123" s="1"/>
  <c r="V23" i="123"/>
  <c r="Q23" i="123"/>
  <c r="Q16" i="123"/>
  <c r="T23" i="123"/>
  <c r="R23" i="123"/>
  <c r="P23" i="123"/>
  <c r="Y13" i="119" l="1"/>
  <c r="Y15" i="119"/>
  <c r="X22" i="121"/>
  <c r="X11" i="131"/>
  <c r="Y11" i="131"/>
  <c r="AA11" i="131" s="1"/>
  <c r="Q24" i="131"/>
  <c r="X12" i="131"/>
  <c r="Y12" i="131"/>
  <c r="AA12" i="131" s="1"/>
  <c r="X19" i="131"/>
  <c r="Y19" i="131"/>
  <c r="AA19" i="131" s="1"/>
  <c r="AB20" i="131"/>
  <c r="U9" i="131"/>
  <c r="S24" i="131"/>
  <c r="AB21" i="131"/>
  <c r="AB22" i="131"/>
  <c r="Y12" i="133"/>
  <c r="AA12" i="133" s="1"/>
  <c r="AB12" i="133" s="1"/>
  <c r="AB10" i="119"/>
  <c r="X11" i="133"/>
  <c r="S9" i="123"/>
  <c r="U9" i="123" s="1"/>
  <c r="W9" i="123" s="1"/>
  <c r="Q14" i="118"/>
  <c r="S10" i="118"/>
  <c r="Y13" i="120"/>
  <c r="AA13" i="120" s="1"/>
  <c r="AA15" i="119"/>
  <c r="AA14" i="119" s="1"/>
  <c r="Y14" i="119"/>
  <c r="Y11" i="119"/>
  <c r="AA11" i="119" s="1"/>
  <c r="X11" i="119"/>
  <c r="U9" i="119"/>
  <c r="S22" i="119"/>
  <c r="Y17" i="119"/>
  <c r="AA18" i="119"/>
  <c r="AA17" i="119" s="1"/>
  <c r="X14" i="119"/>
  <c r="X12" i="119"/>
  <c r="AA13" i="119"/>
  <c r="AA12" i="119" s="1"/>
  <c r="Y12" i="119"/>
  <c r="X17" i="119"/>
  <c r="AB18" i="119"/>
  <c r="AB17" i="119" s="1"/>
  <c r="X12" i="121"/>
  <c r="AB12" i="121" s="1"/>
  <c r="Y40" i="121"/>
  <c r="AA40" i="121" s="1"/>
  <c r="Y23" i="121"/>
  <c r="AA23" i="121" s="1"/>
  <c r="AB23" i="121" s="1"/>
  <c r="X21" i="121"/>
  <c r="AB21" i="121" s="1"/>
  <c r="Y15" i="133"/>
  <c r="AA15" i="133" s="1"/>
  <c r="AB15" i="133" s="1"/>
  <c r="AB11" i="133"/>
  <c r="X47" i="123"/>
  <c r="AB47" i="123" s="1"/>
  <c r="Y11" i="121"/>
  <c r="AA11" i="121" s="1"/>
  <c r="X11" i="121"/>
  <c r="X25" i="121"/>
  <c r="AB25" i="121" s="1"/>
  <c r="X14" i="135"/>
  <c r="Y14" i="135"/>
  <c r="AA14" i="135" s="1"/>
  <c r="Y20" i="120"/>
  <c r="AA20" i="120" s="1"/>
  <c r="AB20" i="120" s="1"/>
  <c r="X21" i="120"/>
  <c r="AB21" i="120" s="1"/>
  <c r="X22" i="120"/>
  <c r="Y22" i="120"/>
  <c r="AA22" i="120" s="1"/>
  <c r="AB13" i="120"/>
  <c r="Y12" i="120"/>
  <c r="AA12" i="120" s="1"/>
  <c r="X12" i="120"/>
  <c r="X23" i="120"/>
  <c r="Y23" i="120"/>
  <c r="AA23" i="120" s="1"/>
  <c r="AB11" i="120"/>
  <c r="AB10" i="120"/>
  <c r="Q8" i="123"/>
  <c r="AB13" i="132"/>
  <c r="Q24" i="132"/>
  <c r="X20" i="132"/>
  <c r="Y20" i="132"/>
  <c r="AA20" i="132" s="1"/>
  <c r="AB11" i="132"/>
  <c r="Q38" i="135"/>
  <c r="R53" i="123"/>
  <c r="S8" i="123"/>
  <c r="X48" i="123"/>
  <c r="AB48" i="123" s="1"/>
  <c r="P8" i="123"/>
  <c r="P53" i="123" s="1"/>
  <c r="V53" i="123"/>
  <c r="Y14" i="120"/>
  <c r="AA14" i="120" s="1"/>
  <c r="AB14" i="120" s="1"/>
  <c r="Y14" i="133"/>
  <c r="AA14" i="133" s="1"/>
  <c r="X14" i="133"/>
  <c r="Q17" i="133"/>
  <c r="S9" i="133"/>
  <c r="AB22" i="121"/>
  <c r="X10" i="121"/>
  <c r="Y10" i="121"/>
  <c r="AA10" i="121" s="1"/>
  <c r="Y38" i="121"/>
  <c r="AA38" i="121" s="1"/>
  <c r="X38" i="121"/>
  <c r="Y37" i="121"/>
  <c r="X37" i="121"/>
  <c r="X39" i="121"/>
  <c r="Q42" i="121"/>
  <c r="S9" i="121"/>
  <c r="Q36" i="120"/>
  <c r="Y24" i="123"/>
  <c r="AA24" i="123" s="1"/>
  <c r="AB24" i="123" s="1"/>
  <c r="Y27" i="123"/>
  <c r="Y26" i="123" s="1"/>
  <c r="Y46" i="123"/>
  <c r="AA46" i="123" s="1"/>
  <c r="X46" i="123"/>
  <c r="X39" i="123"/>
  <c r="AB39" i="123" s="1"/>
  <c r="X22" i="123"/>
  <c r="Y22" i="123"/>
  <c r="T53" i="123"/>
  <c r="Y37" i="123"/>
  <c r="AA37" i="123" s="1"/>
  <c r="X37" i="123"/>
  <c r="U8" i="123"/>
  <c r="X10" i="123"/>
  <c r="Y10" i="123"/>
  <c r="AA10" i="123" s="1"/>
  <c r="Q14" i="123"/>
  <c r="S16" i="123"/>
  <c r="S23" i="123"/>
  <c r="X38" i="123"/>
  <c r="Y38" i="123"/>
  <c r="AA38" i="123" s="1"/>
  <c r="X12" i="123"/>
  <c r="X11" i="123" s="1"/>
  <c r="Y12" i="123"/>
  <c r="Y11" i="123" s="1"/>
  <c r="X26" i="123"/>
  <c r="AB15" i="119" l="1"/>
  <c r="AB19" i="131"/>
  <c r="W9" i="131"/>
  <c r="U24" i="131"/>
  <c r="AB12" i="131"/>
  <c r="AB11" i="131"/>
  <c r="AB14" i="119"/>
  <c r="AB11" i="119"/>
  <c r="AB11" i="121"/>
  <c r="AA39" i="121"/>
  <c r="AB40" i="121"/>
  <c r="AB39" i="121" s="1"/>
  <c r="Y39" i="121"/>
  <c r="U10" i="118"/>
  <c r="S14" i="118"/>
  <c r="AB13" i="119"/>
  <c r="AB12" i="119" s="1"/>
  <c r="W9" i="119"/>
  <c r="U22" i="119"/>
  <c r="Q53" i="123"/>
  <c r="AB38" i="121"/>
  <c r="AB14" i="135"/>
  <c r="AB12" i="120"/>
  <c r="AB23" i="120"/>
  <c r="AB22" i="120"/>
  <c r="S24" i="132"/>
  <c r="AB20" i="132"/>
  <c r="S38" i="135"/>
  <c r="AB46" i="123"/>
  <c r="AB37" i="123"/>
  <c r="AA27" i="123"/>
  <c r="AA26" i="123" s="1"/>
  <c r="AB14" i="133"/>
  <c r="S17" i="133"/>
  <c r="U9" i="133"/>
  <c r="AB10" i="121"/>
  <c r="X36" i="121"/>
  <c r="AA37" i="121"/>
  <c r="AA36" i="121" s="1"/>
  <c r="Y36" i="121"/>
  <c r="U9" i="121"/>
  <c r="S42" i="121"/>
  <c r="S36" i="120"/>
  <c r="AA22" i="123"/>
  <c r="AA14" i="123" s="1"/>
  <c r="Y14" i="123"/>
  <c r="AA12" i="123"/>
  <c r="AA11" i="123" s="1"/>
  <c r="AB38" i="123"/>
  <c r="U23" i="123"/>
  <c r="AA35" i="123"/>
  <c r="Y35" i="123"/>
  <c r="Y9" i="123"/>
  <c r="X9" i="123"/>
  <c r="W8" i="123"/>
  <c r="S14" i="123"/>
  <c r="S53" i="123" s="1"/>
  <c r="U16" i="123"/>
  <c r="X35" i="123"/>
  <c r="AB10" i="123"/>
  <c r="X9" i="131" l="1"/>
  <c r="W24" i="131"/>
  <c r="Y9" i="131"/>
  <c r="AB27" i="123"/>
  <c r="AB26" i="123" s="1"/>
  <c r="U14" i="118"/>
  <c r="W10" i="118"/>
  <c r="W22" i="119"/>
  <c r="X9" i="119"/>
  <c r="Y9" i="119"/>
  <c r="AB12" i="123"/>
  <c r="AB11" i="123" s="1"/>
  <c r="U24" i="132"/>
  <c r="U38" i="135"/>
  <c r="AB35" i="123"/>
  <c r="U17" i="133"/>
  <c r="W9" i="133"/>
  <c r="AB37" i="121"/>
  <c r="AB36" i="121" s="1"/>
  <c r="U42" i="121"/>
  <c r="W9" i="121"/>
  <c r="U36" i="120"/>
  <c r="AB22" i="123"/>
  <c r="X8" i="123"/>
  <c r="W16" i="123"/>
  <c r="U14" i="123"/>
  <c r="U53" i="123" s="1"/>
  <c r="Y8" i="123"/>
  <c r="AA9" i="123"/>
  <c r="AA8" i="123" s="1"/>
  <c r="W23" i="123"/>
  <c r="Y24" i="131" l="1"/>
  <c r="AA9" i="131"/>
  <c r="AA24" i="131" s="1"/>
  <c r="X24" i="131"/>
  <c r="AB9" i="131"/>
  <c r="AB24" i="131" s="1"/>
  <c r="W14" i="118"/>
  <c r="X10" i="118"/>
  <c r="Y10" i="118"/>
  <c r="AA9" i="119"/>
  <c r="AA8" i="119" s="1"/>
  <c r="AA22" i="119" s="1"/>
  <c r="Y8" i="119"/>
  <c r="Y22" i="119" s="1"/>
  <c r="X8" i="119"/>
  <c r="X22" i="119" s="1"/>
  <c r="W24" i="132"/>
  <c r="W38" i="135"/>
  <c r="X9" i="133"/>
  <c r="Y9" i="133"/>
  <c r="W17" i="133"/>
  <c r="Y9" i="121"/>
  <c r="W42" i="121"/>
  <c r="X9" i="121"/>
  <c r="W36" i="120"/>
  <c r="X23" i="123"/>
  <c r="Y23" i="123"/>
  <c r="Y53" i="123" s="1"/>
  <c r="AA23" i="123"/>
  <c r="AA53" i="123" s="1"/>
  <c r="X16" i="123"/>
  <c r="W14" i="123"/>
  <c r="W53" i="123" s="1"/>
  <c r="AB9" i="123"/>
  <c r="AB8" i="123" s="1"/>
  <c r="AB9" i="119" l="1"/>
  <c r="AB8" i="119" s="1"/>
  <c r="AB22" i="119" s="1"/>
  <c r="AA10" i="118"/>
  <c r="AA14" i="118" s="1"/>
  <c r="Y14" i="118"/>
  <c r="X14" i="118"/>
  <c r="AB10" i="118"/>
  <c r="AB14" i="118" s="1"/>
  <c r="X24" i="132"/>
  <c r="Y24" i="132"/>
  <c r="AA24" i="132"/>
  <c r="X38" i="135"/>
  <c r="AB9" i="135"/>
  <c r="AB38" i="135" s="1"/>
  <c r="AA38" i="135"/>
  <c r="Y38" i="135"/>
  <c r="Y17" i="133"/>
  <c r="AA9" i="133"/>
  <c r="AA17" i="133" s="1"/>
  <c r="X17" i="133"/>
  <c r="X8" i="121"/>
  <c r="X42" i="121" s="1"/>
  <c r="Y8" i="121"/>
  <c r="Y42" i="121" s="1"/>
  <c r="AA9" i="121"/>
  <c r="AA8" i="121" s="1"/>
  <c r="AA42" i="121" s="1"/>
  <c r="Y36" i="120"/>
  <c r="AA36" i="120"/>
  <c r="X36" i="120"/>
  <c r="X14" i="123"/>
  <c r="X53" i="123" s="1"/>
  <c r="AB16" i="123"/>
  <c r="AB14" i="123" s="1"/>
  <c r="AB23" i="123"/>
  <c r="AB53" i="123" l="1"/>
  <c r="AB9" i="133"/>
  <c r="AB17" i="133" s="1"/>
  <c r="AB24" i="132"/>
  <c r="AB9" i="121"/>
  <c r="AB8" i="121" s="1"/>
  <c r="AB42" i="121" s="1"/>
  <c r="AB36" i="120"/>
</calcChain>
</file>

<file path=xl/sharedStrings.xml><?xml version="1.0" encoding="utf-8"?>
<sst xmlns="http://schemas.openxmlformats.org/spreadsheetml/2006/main" count="1574" uniqueCount="659">
  <si>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</si>
  <si>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</si>
  <si>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</si>
  <si>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</si>
  <si>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</si>
  <si>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</si>
  <si>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</si>
  <si>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</si>
  <si>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</si>
  <si>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</si>
  <si>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</si>
  <si>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</si>
  <si>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</si>
  <si>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</si>
  <si>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</si>
  <si>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</si>
  <si>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</si>
  <si>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</si>
  <si>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</si>
  <si>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</si>
  <si>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</si>
  <si>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</si>
  <si>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</si>
  <si>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</si>
  <si>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</si>
  <si>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</si>
  <si>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</si>
  <si>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</si>
  <si>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</si>
  <si>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</si>
  <si>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</si>
  <si>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</si>
  <si>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</si>
  <si>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</si>
  <si>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</si>
  <si>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</si>
  <si>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</si>
  <si>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</si>
  <si>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</si>
  <si>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</si>
  <si>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</si>
  <si>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</si>
  <si>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</si>
  <si>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</si>
  <si>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</si>
  <si>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</si>
  <si>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</si>
  <si>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</si>
  <si>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</si>
  <si>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</si>
  <si>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</si>
  <si>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</si>
  <si>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</si>
  <si>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</si>
  <si>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</si>
  <si>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</si>
  <si>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</si>
  <si>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</si>
  <si>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</si>
  <si>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</si>
  <si>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</si>
  <si>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</si>
  <si>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</si>
  <si>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</si>
  <si>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</si>
  <si>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</si>
  <si>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</si>
  <si>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</si>
  <si>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</si>
  <si>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</si>
  <si>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</si>
  <si>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</si>
  <si>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</si>
  <si>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</si>
  <si>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</si>
  <si>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</si>
  <si>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</si>
  <si>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</si>
  <si>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</si>
  <si>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</si>
  <si>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</si>
  <si>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</si>
  <si>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</si>
  <si>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</si>
  <si>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</si>
  <si>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</si>
  <si>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</si>
  <si>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</si>
  <si>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</si>
  <si>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</si>
  <si>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</si>
  <si>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</si>
  <si>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</si>
  <si>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</si>
  <si>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</si>
  <si>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</si>
  <si>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</si>
  <si>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</si>
  <si>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</si>
  <si>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</si>
  <si>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ROAE8305268D9</t>
  </si>
  <si>
    <t>088</t>
  </si>
  <si>
    <t>N°</t>
  </si>
  <si>
    <t>007</t>
  </si>
  <si>
    <t>PELG8902233V7</t>
  </si>
  <si>
    <t>CACG8412204R1</t>
  </si>
  <si>
    <t>102</t>
  </si>
  <si>
    <t>LAMC910610LB9</t>
  </si>
  <si>
    <t>PECI880515LKA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</si>
  <si>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</si>
  <si>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</si>
  <si>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</si>
  <si>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</si>
  <si>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</si>
  <si>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</si>
  <si>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</si>
  <si>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</si>
  <si>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</si>
  <si>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</si>
  <si>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</si>
  <si>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</si>
  <si>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</si>
  <si>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</si>
  <si>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</si>
  <si>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</si>
  <si>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</si>
  <si>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</si>
  <si>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</si>
  <si>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</si>
  <si>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</si>
  <si>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</si>
  <si>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</si>
  <si>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</si>
  <si>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</si>
  <si>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</si>
  <si>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</si>
  <si>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</si>
  <si>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</si>
  <si>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</si>
  <si>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</si>
  <si>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</si>
  <si>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</si>
  <si>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</si>
  <si>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 xml:space="preserve">                   L.C.P. CESAR JÉSUS LANDEROS MORA</t>
  </si>
  <si>
    <t xml:space="preserve">                               L.C.P. CESAR JÉSUS LANDEROS MORA</t>
  </si>
  <si>
    <t xml:space="preserve">                              L.C.P. CESAR JÉSUS LANDEROS MORA</t>
  </si>
  <si>
    <t xml:space="preserve">                         L.C.P. CESAR JÉSUS LANDEROS MORA</t>
  </si>
  <si>
    <t xml:space="preserve">                      L.C.P. CESAR JÉSUS LANDEROS MORA</t>
  </si>
  <si>
    <t xml:space="preserve">                          L.C.P. CESAR JÉSUS LANDEROS MORA</t>
  </si>
  <si>
    <t xml:space="preserve">                        L.C.P. CESAR JÉSUS LANDEROS MORA</t>
  </si>
  <si>
    <t>VICF940917FW7</t>
  </si>
  <si>
    <t>CAAM750115HV3</t>
  </si>
  <si>
    <t>CASE8710163P8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</si>
  <si>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</si>
  <si>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</si>
  <si>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</si>
  <si>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</si>
  <si>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</si>
  <si>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</si>
  <si>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</si>
  <si>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</si>
  <si>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</si>
  <si>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</si>
  <si>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</si>
  <si>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</si>
  <si>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</si>
  <si>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</si>
  <si>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</si>
  <si>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</si>
  <si>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</si>
  <si>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</si>
  <si>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</si>
  <si>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</si>
  <si>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</si>
  <si>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</si>
  <si>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</si>
  <si>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</si>
  <si>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</si>
  <si>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</si>
  <si>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</si>
  <si>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</si>
  <si>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</si>
  <si>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</si>
  <si>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</si>
  <si>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</si>
  <si>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</si>
  <si>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</si>
  <si>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</si>
  <si>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</si>
  <si>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</si>
  <si>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</si>
  <si>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</si>
  <si>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</si>
  <si>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</si>
  <si>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</si>
  <si>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</si>
  <si>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</si>
  <si>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</si>
  <si>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</si>
  <si>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</si>
  <si>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</si>
  <si>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</si>
  <si>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</si>
  <si>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</si>
  <si>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</si>
  <si>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</si>
  <si>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</si>
  <si>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</si>
  <si>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</si>
  <si>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</si>
  <si>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</si>
  <si>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</si>
  <si>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</si>
  <si>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</si>
  <si>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</si>
  <si>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</si>
  <si>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</si>
  <si>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</si>
  <si>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</si>
  <si>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</si>
  <si>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</si>
  <si>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PECI880515MJCRSS02</t>
  </si>
  <si>
    <t>PELG890223MJCRLD06</t>
  </si>
  <si>
    <t>CACG841220MJCSSD03</t>
  </si>
  <si>
    <t>ROAE830526HJCDRV07</t>
  </si>
  <si>
    <t>FOVL710308HHGLZR08</t>
  </si>
  <si>
    <t>LAMC910610HJCNRS00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</si>
  <si>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</si>
  <si>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</si>
  <si>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</si>
  <si>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</si>
  <si>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</si>
  <si>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</si>
  <si>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</si>
  <si>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</si>
  <si>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</si>
  <si>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</si>
  <si>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</si>
  <si>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</si>
  <si>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</si>
  <si>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</si>
  <si>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</si>
  <si>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</si>
  <si>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</si>
  <si>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</si>
  <si>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</si>
  <si>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</si>
  <si>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</si>
  <si>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</si>
  <si>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</si>
  <si>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</si>
  <si>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</si>
  <si>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</si>
  <si>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</si>
  <si>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</si>
  <si>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</si>
  <si>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</si>
  <si>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</si>
  <si>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</si>
  <si>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</si>
  <si>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</si>
  <si>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</si>
  <si>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</si>
  <si>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CASA730128UJ7</t>
  </si>
  <si>
    <t>CASA730128HJCSLN01</t>
  </si>
  <si>
    <t>CULTURA</t>
  </si>
  <si>
    <t>ISR Salarios</t>
  </si>
  <si>
    <t>ALICIA CASTRO CASTRO</t>
  </si>
  <si>
    <t>CACX031118NV2</t>
  </si>
  <si>
    <t>CXCA031118MJCSSLA</t>
  </si>
  <si>
    <t>307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</si>
  <si>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</si>
  <si>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</si>
  <si>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</si>
  <si>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</si>
  <si>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</si>
  <si>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</si>
  <si>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CESAR ALBERTO GUZMAN LOPEZ</t>
  </si>
  <si>
    <t>GULC030602HJCZPSA4</t>
  </si>
  <si>
    <t>315</t>
  </si>
  <si>
    <t>GULC030602IR2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</si>
  <si>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</si>
  <si>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</si>
  <si>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</si>
  <si>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</si>
  <si>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</si>
  <si>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</si>
  <si>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</si>
  <si>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</si>
  <si>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</si>
  <si>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</si>
  <si>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</si>
  <si>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</si>
  <si>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</si>
  <si>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</si>
  <si>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</si>
  <si>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</si>
  <si>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DIRECTORA MEDIOS AUDIOVISUALES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</si>
  <si>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</si>
  <si>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</si>
  <si>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</si>
  <si>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</si>
  <si>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</si>
  <si>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</si>
  <si>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</si>
  <si>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SECRETARIA DE OBRAS PÚBLICAS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</si>
  <si>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</si>
  <si>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</si>
  <si>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</si>
  <si>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</si>
  <si>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</si>
  <si>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</si>
  <si>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</si>
  <si>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</si>
  <si>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</si>
  <si>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</si>
  <si>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AFANADORA CASA CULTURA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</si>
  <si>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</si>
  <si>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</si>
  <si>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</si>
  <si>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</si>
  <si>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</si>
  <si>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</si>
  <si>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</si>
  <si>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AUXILIAR MEDIOS AUDIOVISUALES</t>
  </si>
  <si>
    <t>DIRECTORA DE PROYECTOS PRODUCTIVOS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</si>
  <si>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</si>
  <si>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</si>
  <si>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</si>
  <si>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</si>
  <si>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</si>
  <si>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</si>
  <si>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</si>
  <si>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</si>
  <si>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</si>
  <si>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</si>
  <si>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</si>
  <si>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</si>
  <si>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</si>
  <si>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</si>
  <si>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</si>
  <si>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</si>
  <si>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</si>
  <si>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</si>
  <si>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</si>
  <si>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</si>
  <si>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</si>
  <si>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</si>
  <si>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</si>
  <si>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</si>
  <si>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</si>
  <si>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</si>
  <si>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</si>
  <si>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</si>
  <si>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</si>
  <si>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</si>
  <si>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</si>
  <si>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</si>
  <si>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</si>
  <si>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</si>
  <si>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</si>
  <si>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</si>
  <si>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</si>
  <si>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</si>
  <si>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</si>
  <si>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</si>
  <si>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</si>
  <si>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</si>
  <si>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</si>
  <si>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</si>
  <si>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</si>
  <si>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</si>
  <si>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</si>
  <si>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</si>
  <si>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</si>
  <si>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</si>
  <si>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</si>
  <si>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</si>
  <si>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</si>
  <si>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</si>
  <si>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</si>
  <si>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</si>
  <si>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</si>
  <si>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</si>
  <si>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</si>
  <si>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</si>
  <si>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</si>
  <si>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</si>
  <si>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</si>
  <si>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</si>
  <si>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</si>
  <si>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</si>
  <si>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</si>
  <si>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</si>
  <si>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</si>
  <si>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</si>
  <si>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</si>
  <si>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</si>
  <si>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</si>
  <si>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IORI MANUEL CASTILLO ALVAREZ</t>
  </si>
  <si>
    <t>CAAI971103HJCSLR03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</si>
  <si>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</si>
  <si>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</si>
  <si>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</si>
  <si>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</si>
  <si>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</si>
  <si>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</si>
  <si>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</si>
  <si>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</si>
  <si>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</si>
  <si>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</si>
  <si>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</si>
  <si>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</si>
  <si>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</si>
  <si>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</si>
  <si>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</si>
  <si>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</si>
  <si>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</si>
  <si>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</si>
  <si>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</si>
  <si>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</si>
  <si>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</si>
  <si>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</si>
  <si>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</si>
  <si>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</si>
  <si>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</si>
  <si>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</si>
  <si>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</si>
  <si>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DIRECTOR DE DEPORTE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</si>
  <si>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</si>
  <si>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</si>
  <si>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</si>
  <si>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</si>
  <si>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</si>
  <si>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</si>
  <si>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</si>
  <si>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</si>
  <si>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</si>
  <si>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</si>
  <si>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</si>
  <si>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</si>
  <si>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</si>
  <si>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</si>
  <si>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</si>
  <si>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</si>
  <si>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</si>
  <si>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</si>
  <si>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</si>
  <si>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</si>
  <si>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</si>
  <si>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</si>
  <si>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</si>
  <si>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</si>
  <si>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</si>
  <si>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</si>
  <si>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</si>
  <si>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</si>
  <si>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</si>
  <si>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</si>
  <si>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</si>
  <si>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</si>
  <si>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</si>
  <si>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</si>
  <si>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</si>
  <si>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</si>
  <si>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</si>
  <si>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</si>
  <si>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</si>
  <si>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</si>
  <si>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</si>
  <si>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</si>
  <si>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</si>
  <si>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</si>
  <si>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</si>
  <si>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</si>
  <si>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</si>
  <si>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</si>
  <si>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</si>
  <si>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</si>
  <si>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</si>
  <si>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</si>
  <si>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</si>
  <si>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MÉDICO MUNICIPAL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</si>
  <si>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</si>
  <si>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</si>
  <si>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</si>
  <si>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</si>
  <si>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</si>
  <si>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</si>
  <si>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</si>
  <si>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</si>
  <si>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</si>
  <si>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</si>
  <si>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</si>
  <si>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</si>
  <si>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</si>
  <si>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</si>
  <si>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AVELAR FRIAS</t>
  </si>
  <si>
    <t>AEFJ640826BG5</t>
  </si>
  <si>
    <t>AEFJ640826HJCVRS09</t>
  </si>
  <si>
    <t>SACA8104131B5</t>
  </si>
  <si>
    <t>ARACELI AVELAR VALDEZ</t>
  </si>
  <si>
    <t>AEVA930930QJ2</t>
  </si>
  <si>
    <t>AEVA930930MJCVLR07</t>
  </si>
  <si>
    <t>EDUCACIÓN</t>
  </si>
  <si>
    <t>HERIBERTO PEREZ CRUZ</t>
  </si>
  <si>
    <t>DIRECTOR GENERAL DE INFRAESTRUCTURA Y DESARROLLO SOCIAL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</si>
  <si>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</si>
  <si>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</si>
  <si>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</si>
  <si>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</si>
  <si>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</si>
  <si>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</si>
  <si>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</si>
  <si>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</si>
  <si>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</si>
  <si>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</si>
  <si>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</si>
  <si>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</si>
  <si>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IABS8806152F3</t>
  </si>
  <si>
    <t>IABS880615MJCBNN01</t>
  </si>
  <si>
    <t>191</t>
  </si>
  <si>
    <t>401</t>
  </si>
  <si>
    <t>402</t>
  </si>
  <si>
    <t>403</t>
  </si>
  <si>
    <t>MARIO ERNESTO AVILA HERRERA</t>
  </si>
  <si>
    <t>AIHM9301091E4</t>
  </si>
  <si>
    <t>AIHM930109HJCVRR08</t>
  </si>
  <si>
    <t>ALEJANDRO RAMIREZ AVILA</t>
  </si>
  <si>
    <t>RAAA060412HJCMVLA4</t>
  </si>
  <si>
    <t>RAAA060412RD2</t>
  </si>
  <si>
    <t>IMELDA AVELAR GARCIA</t>
  </si>
  <si>
    <t>AEIG730513K85</t>
  </si>
  <si>
    <t>AEGI730513MJCVRM08</t>
  </si>
  <si>
    <t>AFANADORA</t>
  </si>
  <si>
    <t>TRANSPARENCIA</t>
  </si>
  <si>
    <t>JOSE FRANCISCO CHAVEZ NEVAREZ</t>
  </si>
  <si>
    <t>CANF001004UK1</t>
  </si>
  <si>
    <t>CANF001004HJCHVRA5</t>
  </si>
  <si>
    <t xml:space="preserve">DIRECTOR DE TRANSPARENCIA </t>
  </si>
  <si>
    <t>JUAN JOSE GONZALEZ GONZALEZ</t>
  </si>
  <si>
    <t>GOGJ950930TI9</t>
  </si>
  <si>
    <t>GOGJ950930HJCNNN09</t>
  </si>
  <si>
    <t>CIPRIANO JOSE DE JESUS BALADRAN ALVARADO</t>
  </si>
  <si>
    <t>BAAC950909HZSLLP10</t>
  </si>
  <si>
    <t>ALEJANDRO LOPEZ AVILA</t>
  </si>
  <si>
    <t>LOAA8106039Y4</t>
  </si>
  <si>
    <t>LOAA810603HJCPVL15</t>
  </si>
  <si>
    <t>404</t>
  </si>
  <si>
    <t>405</t>
  </si>
  <si>
    <t>407</t>
  </si>
  <si>
    <t>408</t>
  </si>
  <si>
    <t xml:space="preserve">SECRETARIA HACIENDA MUNICIPAL </t>
  </si>
  <si>
    <t>MECG030503QW9</t>
  </si>
  <si>
    <t>MECG030503HJCNRLA2</t>
  </si>
  <si>
    <t>410</t>
  </si>
  <si>
    <t>GUILLEN DE LAMPORT MENDOZA CRUZ</t>
  </si>
  <si>
    <t>BAAC95090985A</t>
  </si>
  <si>
    <t>412</t>
  </si>
  <si>
    <t>413</t>
  </si>
  <si>
    <t>MARIA LETICIA SANDOVAL SOTO</t>
  </si>
  <si>
    <t>SASL921030NT2</t>
  </si>
  <si>
    <t>SASL921030MJCNTT09</t>
  </si>
  <si>
    <t>ESTEBAN AGUAYO CASTRO</t>
  </si>
  <si>
    <t>AUCE9304272R9</t>
  </si>
  <si>
    <t>AUCE930427HJCGSS05</t>
  </si>
  <si>
    <t>CONTRALOR MUNICIPAL</t>
  </si>
  <si>
    <t>415</t>
  </si>
  <si>
    <t>PRUDENCIO BALTIERRA ESPINOZA</t>
  </si>
  <si>
    <t>BAEP730428LL0</t>
  </si>
  <si>
    <t>BAEP730428HJCLSR09</t>
  </si>
  <si>
    <t>416</t>
  </si>
  <si>
    <t>DAVID GALVEZ ALVARADO</t>
  </si>
  <si>
    <t>GAAD7002191Y2</t>
  </si>
  <si>
    <t>GAAD700219HJCLLV00</t>
  </si>
  <si>
    <t>417</t>
  </si>
  <si>
    <t>418</t>
  </si>
  <si>
    <t>419</t>
  </si>
  <si>
    <t>ALENJANDRO CASTRO PEREZ</t>
  </si>
  <si>
    <t>CAPA890501LI7</t>
  </si>
  <si>
    <t>CAPA890501HJCSRL04</t>
  </si>
  <si>
    <t>LUIS GERARDO GONZALEZ JIMENEZ</t>
  </si>
  <si>
    <t>GOJL960401MD1</t>
  </si>
  <si>
    <t>GOJL960401HJCNMS00</t>
  </si>
  <si>
    <t>CARLOS ANTONIO CASTRO PEREZ</t>
  </si>
  <si>
    <t>CAPC981029TP1</t>
  </si>
  <si>
    <t>CAPC981029HJCSRR03</t>
  </si>
  <si>
    <t>420</t>
  </si>
  <si>
    <t>FELIPE IBARRA CASTRO</t>
  </si>
  <si>
    <t>IACF7405269Q4</t>
  </si>
  <si>
    <t>IACF740526HJCBSL05</t>
  </si>
  <si>
    <t>272</t>
  </si>
  <si>
    <t>EFRAIN ROBLES FLORES</t>
  </si>
  <si>
    <t>ROFE870509J60</t>
  </si>
  <si>
    <t>ROFE870509HDGBLF05</t>
  </si>
  <si>
    <t>DIRECTORA DE TURISMO, CULTURA Y FOMENTO ARTESANAL</t>
  </si>
  <si>
    <t>MARIA GUADALUPE BAÑUELOS RAMIREZ</t>
  </si>
  <si>
    <t>421</t>
  </si>
  <si>
    <t>BARG880329217</t>
  </si>
  <si>
    <t>BARG880329MJCXMD06</t>
  </si>
  <si>
    <t>RICARDO MARIZCAL REYNOSO</t>
  </si>
  <si>
    <t>MARR820114HJCRYC04</t>
  </si>
  <si>
    <t>MARR820114RC4</t>
  </si>
  <si>
    <t>424</t>
  </si>
  <si>
    <t>JOSE ALFREDO CASTRO BALTIERRA</t>
  </si>
  <si>
    <t>CABA940905AQ2</t>
  </si>
  <si>
    <t>CABA940905HJCSLL03</t>
  </si>
  <si>
    <t>425</t>
  </si>
  <si>
    <t>CRISTIAN ALEJANDRO PEREZ RAMIREZ</t>
  </si>
  <si>
    <t>PERC9302173N5</t>
  </si>
  <si>
    <t>PERC930217HJCRMR03</t>
  </si>
  <si>
    <t>316</t>
  </si>
  <si>
    <t>JAIME BALTIERRA SILVA</t>
  </si>
  <si>
    <t>BASJ750313467</t>
  </si>
  <si>
    <t>BASJ750313HJCLLM04</t>
  </si>
  <si>
    <t>OPERADOR MOTOCONFORMADORA</t>
  </si>
  <si>
    <t>426</t>
  </si>
  <si>
    <t>LUIS CESAR GOMEZ CASTRO</t>
  </si>
  <si>
    <t>GOCL070702QI5</t>
  </si>
  <si>
    <t>GOCL070702HJCMSSA0</t>
  </si>
  <si>
    <t>MATANCERO</t>
  </si>
  <si>
    <t>CONTRALORIA MUNICIPAL</t>
  </si>
  <si>
    <t>428</t>
  </si>
  <si>
    <t>BRAULIO ANTONIO DE LEON BAÑUELOS</t>
  </si>
  <si>
    <t>LEBB040506JMA</t>
  </si>
  <si>
    <t>LEBB040506HJCNXRA6</t>
  </si>
  <si>
    <t>427</t>
  </si>
  <si>
    <t>JULIAN EDUARDO ESQUIVEL CASTRO</t>
  </si>
  <si>
    <t>EUCJ010524SV9</t>
  </si>
  <si>
    <t>EUCJ010524HJCSSLA5</t>
  </si>
  <si>
    <t>429</t>
  </si>
  <si>
    <t>VAVA990314UL5</t>
  </si>
  <si>
    <t>VAVA990314HJCZGN06</t>
  </si>
  <si>
    <t>395</t>
  </si>
  <si>
    <t>JOSE RIVERA FLORES</t>
  </si>
  <si>
    <t>RIFJ771230D57</t>
  </si>
  <si>
    <t>RIFJ771230HJCVLS00</t>
  </si>
  <si>
    <t>FRANCISCO JAVIER CASTRO ULLOA</t>
  </si>
  <si>
    <t>CAUF070427CV5</t>
  </si>
  <si>
    <t>CAUF070427HJCSLRA1</t>
  </si>
  <si>
    <t>ANTONIO DE JESUS VAZQUEZ VEGA</t>
  </si>
  <si>
    <t>430</t>
  </si>
  <si>
    <t>431</t>
  </si>
  <si>
    <t>LUIS DANIEL RESENDEZ SALAZAR</t>
  </si>
  <si>
    <t>RESL930622D49</t>
  </si>
  <si>
    <t>RESL930622HZSSLS02</t>
  </si>
  <si>
    <t>432</t>
  </si>
  <si>
    <t>JANETH DEL CARMEN VALENZUELA MONTOYA</t>
  </si>
  <si>
    <t>VAMJ870716MJCLNN06</t>
  </si>
  <si>
    <t>VAMJ870716KV7</t>
  </si>
  <si>
    <t>433</t>
  </si>
  <si>
    <t>MYRIAM ALONDRA MURILLO RAMIREZ</t>
  </si>
  <si>
    <t>MURM981221VC3</t>
  </si>
  <si>
    <t>MURM951221MJCRMY01</t>
  </si>
  <si>
    <t>MÉDICO VETERINARIO ZOOTECNISTA</t>
  </si>
  <si>
    <t>COORDINADOR DE MAQUINARIA Y ALMACEN MUNICIPAL</t>
  </si>
  <si>
    <t xml:space="preserve">DIRECTOR DE CATASTRO </t>
  </si>
  <si>
    <t>AUXILIAR ADMINISTRATIVO HACIENDA MUNICIPAL</t>
  </si>
  <si>
    <t>SUELDO  DEL 01 AL 15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</si>
</sst>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0"/>
      <color rgb="FF000099"/>
      <name val="Arial"/>
      <family val="2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b/>
      <sz val="16"/>
      <color theme="3" tint="-0.249977111117893"/>
      <name val="Arial"/>
      <family val="2"/>
    </font>
    <font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513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166" fontId="29" fillId="0" borderId="0" xfId="2" applyNumberFormat="1" applyFont="1" applyBorder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33" fillId="5" borderId="0" xfId="0" applyNumberFormat="1" applyFont="1" applyFill="1" applyAlignment="1">
      <alignment wrapText="1"/>
    </xf>
    <xf numFmtId="0" fontId="29" fillId="5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1" fillId="0" borderId="8" xfId="2" applyNumberFormat="1" applyFont="1" applyBorder="1" applyAlignment="1" applyProtection="1">
      <alignment horizontal="right"/>
    </xf>
    <xf numFmtId="165" fontId="41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41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1" fillId="4" borderId="4" xfId="0" applyFont="1" applyFill="1" applyBorder="1" applyAlignment="1">
      <alignment horizontal="center" wrapText="1"/>
    </xf>
    <xf numFmtId="0" fontId="41" fillId="4" borderId="4" xfId="0" applyFont="1" applyFill="1" applyBorder="1" applyAlignment="1">
      <alignment horizontal="center"/>
    </xf>
    <xf numFmtId="165" fontId="41" fillId="4" borderId="4" xfId="0" applyNumberFormat="1" applyFont="1" applyFill="1" applyBorder="1" applyAlignment="1">
      <alignment horizontal="center"/>
    </xf>
    <xf numFmtId="0" fontId="41" fillId="7" borderId="4" xfId="0" applyFont="1" applyFill="1" applyBorder="1" applyAlignment="1">
      <alignment horizontal="center"/>
    </xf>
    <xf numFmtId="0" fontId="41" fillId="4" borderId="2" xfId="0" applyFont="1" applyFill="1" applyBorder="1" applyAlignment="1">
      <alignment horizontal="center" wrapText="1"/>
    </xf>
    <xf numFmtId="0" fontId="41" fillId="4" borderId="2" xfId="0" applyFont="1" applyFill="1" applyBorder="1" applyAlignment="1">
      <alignment horizontal="center"/>
    </xf>
    <xf numFmtId="165" fontId="41" fillId="4" borderId="2" xfId="0" applyNumberFormat="1" applyFont="1" applyFill="1" applyBorder="1" applyAlignment="1">
      <alignment horizontal="center"/>
    </xf>
    <xf numFmtId="0" fontId="41" fillId="7" borderId="2" xfId="0" applyFont="1" applyFill="1" applyBorder="1" applyAlignment="1">
      <alignment horizontal="center"/>
    </xf>
    <xf numFmtId="165" fontId="41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1" fillId="4" borderId="3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 wrapText="1"/>
    </xf>
    <xf numFmtId="0" fontId="41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0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0" fillId="5" borderId="2" xfId="5" applyNumberFormat="1" applyFont="1" applyFill="1" applyBorder="1" applyAlignment="1" applyProtection="1">
      <alignment vertical="center" wrapText="1"/>
      <protection locked="0"/>
    </xf>
    <xf numFmtId="49" fontId="40" fillId="5" borderId="14" xfId="5" applyNumberFormat="1" applyFont="1" applyFill="1" applyBorder="1" applyAlignment="1" applyProtection="1">
      <alignment vertical="center" wrapText="1"/>
      <protection locked="0"/>
    </xf>
    <xf numFmtId="49" fontId="40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0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0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0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0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9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0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0" fillId="5" borderId="4" xfId="0" applyNumberFormat="1" applyFont="1" applyFill="1" applyBorder="1" applyAlignment="1">
      <alignment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33" fillId="5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/>
    </xf>
    <xf numFmtId="0" fontId="40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left" vertical="center"/>
      <protection locked="0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0" fontId="29" fillId="0" borderId="0" xfId="0" applyFont="1" applyBorder="1" applyAlignment="1">
      <alignment vertical="center"/>
    </xf>
    <xf numFmtId="49" fontId="1" fillId="0" borderId="1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5" borderId="0" xfId="0" applyFont="1" applyFill="1" applyBorder="1" applyAlignment="1" applyProtection="1">
      <alignment horizontal="left" vertical="center"/>
      <protection locked="0"/>
    </xf>
    <xf numFmtId="14" fontId="33" fillId="5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29" fillId="5" borderId="0" xfId="0" applyFont="1" applyFill="1" applyBorder="1" applyAlignment="1">
      <alignment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Fill="1" applyBorder="1" applyAlignment="1">
      <alignment horizontal="center" vertical="center"/>
    </xf>
    <xf numFmtId="49" fontId="33" fillId="0" borderId="4" xfId="0" applyNumberFormat="1" applyFont="1" applyFill="1" applyBorder="1" applyAlignment="1">
      <alignment horizontal="center" vertical="center"/>
    </xf>
    <xf numFmtId="49" fontId="40" fillId="0" borderId="4" xfId="5" applyNumberFormat="1" applyFont="1" applyFill="1" applyBorder="1" applyAlignment="1" applyProtection="1">
      <alignment vertical="center" wrapText="1"/>
      <protection locked="0"/>
    </xf>
    <xf numFmtId="49" fontId="29" fillId="0" borderId="4" xfId="5" applyNumberFormat="1" applyFont="1" applyFill="1" applyBorder="1" applyAlignment="1" applyProtection="1">
      <alignment vertical="center" wrapText="1"/>
      <protection locked="0"/>
    </xf>
    <xf numFmtId="49" fontId="44" fillId="0" borderId="4" xfId="5" applyNumberFormat="1" applyFont="1" applyFill="1" applyBorder="1" applyAlignment="1" applyProtection="1">
      <alignment vertical="center" wrapText="1"/>
      <protection locked="0"/>
    </xf>
    <xf numFmtId="49" fontId="40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 applyProtection="1">
      <alignment horizontal="center" vertical="center"/>
      <protection locked="0"/>
    </xf>
    <xf numFmtId="165" fontId="29" fillId="2" borderId="3" xfId="2" applyNumberFormat="1" applyFont="1" applyFill="1" applyBorder="1" applyAlignment="1" applyProtection="1">
      <alignment horizontal="right" vertical="center"/>
    </xf>
    <xf numFmtId="165" fontId="27" fillId="2" borderId="3" xfId="2" applyNumberFormat="1" applyFont="1" applyFill="1" applyBorder="1" applyAlignment="1" applyProtection="1">
      <alignment horizontal="right" vertical="center"/>
    </xf>
    <xf numFmtId="10" fontId="29" fillId="2" borderId="3" xfId="3" applyNumberFormat="1" applyFont="1" applyFill="1" applyBorder="1" applyAlignment="1" applyProtection="1">
      <alignment horizontal="right" vertical="center"/>
    </xf>
    <xf numFmtId="165" fontId="29" fillId="7" borderId="3" xfId="2" applyNumberFormat="1" applyFont="1" applyFill="1" applyBorder="1" applyAlignment="1" applyProtection="1">
      <alignment horizontal="right" vertical="center"/>
    </xf>
    <xf numFmtId="49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vertic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42" fillId="0" borderId="0" xfId="2" applyNumberFormat="1" applyFont="1" applyFill="1" applyBorder="1" applyAlignment="1" applyProtection="1">
      <alignment horizontal="center"/>
    </xf>
    <xf numFmtId="165" fontId="42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42" fillId="0" borderId="0" xfId="0" applyFont="1" applyAlignment="1" applyProtection="1">
      <alignment horizontal="center" wrapText="1"/>
      <protection locked="0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3" fillId="0" borderId="0" xfId="2" applyNumberFormat="1" applyFont="1" applyFill="1" applyBorder="1" applyAlignment="1" applyProtection="1">
      <alignment horizontal="center" vertical="center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1" fillId="4" borderId="15" xfId="0" applyFont="1" applyFill="1" applyBorder="1" applyAlignment="1">
      <alignment horizontal="center"/>
    </xf>
    <xf numFmtId="0" fontId="41" fillId="4" borderId="16" xfId="0" applyFont="1" applyFill="1" applyBorder="1" applyAlignment="1">
      <alignment horizontal="center"/>
    </xf>
    <xf numFmtId="0" fontId="41" fillId="4" borderId="17" xfId="0" applyFont="1" applyFill="1" applyBorder="1" applyAlignment="1">
      <alignment horizont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17</xdr:row>
      <xdr:rowOff>70039</xdr:rowOff>
    </xdr:from>
    <xdr:to>
      <xdr:col>3</xdr:col>
      <xdr:colOff>1804066</xdr:colOff>
      <xdr:row>20</xdr:row>
      <xdr:rowOff>36253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840441</xdr:colOff>
      <xdr:row>29</xdr:row>
      <xdr:rowOff>364191</xdr:rowOff>
    </xdr:from>
    <xdr:to>
      <xdr:col>3</xdr:col>
      <xdr:colOff>1986162</xdr:colOff>
      <xdr:row>32</xdr:row>
      <xdr:rowOff>50258</xdr:rowOff>
    </xdr:to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01B5E9A1-D106-4995-BD89-9251CE9F7D4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4461341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15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26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16</xdr:row>
      <xdr:rowOff>317501</xdr:rowOff>
    </xdr:from>
    <xdr:to>
      <xdr:col>3</xdr:col>
      <xdr:colOff>1435612</xdr:colOff>
      <xdr:row>19</xdr:row>
      <xdr:rowOff>186882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29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17</xdr:row>
      <xdr:rowOff>242454</xdr:rowOff>
    </xdr:from>
    <xdr:to>
      <xdr:col>3</xdr:col>
      <xdr:colOff>851312</xdr:colOff>
      <xdr:row>19</xdr:row>
      <xdr:rowOff>281252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346363</xdr:colOff>
      <xdr:row>30</xdr:row>
      <xdr:rowOff>190500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9191045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623455</xdr:colOff>
      <xdr:row>41</xdr:row>
      <xdr:rowOff>121227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7182" y="61011954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14</xdr:row>
      <xdr:rowOff>131379</xdr:rowOff>
    </xdr:from>
    <xdr:to>
      <xdr:col>3</xdr:col>
      <xdr:colOff>1226207</xdr:colOff>
      <xdr:row>17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3</xdr:col>
      <xdr:colOff>1774520</xdr:colOff>
      <xdr:row>18</xdr:row>
      <xdr:rowOff>143527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187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278.8</v>
      </c>
    </row>
    <row r="4" spans="1:9" x14ac:dyDescent="0.2">
      <c r="B4" s="19" t="s">
        <v>515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39" t="s">
        <v>10</v>
      </c>
      <c r="C7" s="439"/>
      <c r="D7" s="439"/>
      <c r="E7" s="7"/>
      <c r="F7" s="432" t="s">
        <v>48</v>
      </c>
      <c r="G7" s="433"/>
      <c r="I7" s="110" t="s">
        <v>188</v>
      </c>
    </row>
    <row r="8" spans="1:9" ht="14.25" customHeight="1" x14ac:dyDescent="0.2">
      <c r="B8" s="436" t="s">
        <v>9</v>
      </c>
      <c r="C8" s="436"/>
      <c r="D8" s="436"/>
      <c r="E8" s="7"/>
      <c r="F8" s="437" t="s">
        <v>49</v>
      </c>
      <c r="G8" s="438"/>
      <c r="I8" s="109">
        <v>113.14</v>
      </c>
    </row>
    <row r="9" spans="1:9" ht="8.25" customHeight="1" x14ac:dyDescent="0.2">
      <c r="B9" s="440"/>
      <c r="C9" s="440"/>
      <c r="D9" s="440"/>
      <c r="E9" s="7"/>
      <c r="F9" s="434"/>
      <c r="G9" s="435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517</v>
      </c>
      <c r="C28" s="7"/>
      <c r="D28" s="7"/>
    </row>
    <row r="29" spans="1:8" x14ac:dyDescent="0.2">
      <c r="B29" s="32" t="s">
        <v>516</v>
      </c>
      <c r="C29" s="7"/>
      <c r="D29" s="7"/>
    </row>
    <row r="30" spans="1:8" x14ac:dyDescent="0.2">
      <c r="B30" s="198" t="s">
        <v>356</v>
      </c>
      <c r="C30" s="197"/>
      <c r="D30" s="197"/>
      <c r="E30" s="197"/>
      <c r="F30" s="197"/>
      <c r="G30" s="197"/>
      <c r="H30" s="197"/>
    </row>
    <row r="32" spans="1:8" ht="17.25" customHeight="1" x14ac:dyDescent="0.2">
      <c r="B32" s="5" t="s">
        <v>45</v>
      </c>
      <c r="E32" s="7"/>
      <c r="F32" s="432" t="s">
        <v>53</v>
      </c>
      <c r="G32" s="433"/>
    </row>
    <row r="33" spans="2:7" x14ac:dyDescent="0.2">
      <c r="E33" s="7"/>
      <c r="F33" s="437" t="s">
        <v>54</v>
      </c>
      <c r="G33" s="438"/>
    </row>
    <row r="34" spans="2:7" ht="5.25" customHeight="1" x14ac:dyDescent="0.2">
      <c r="E34" s="7"/>
      <c r="F34" s="434"/>
      <c r="G34" s="435"/>
    </row>
    <row r="35" spans="2:7" x14ac:dyDescent="0.2">
      <c r="B35" s="439" t="s">
        <v>10</v>
      </c>
      <c r="C35" s="439"/>
      <c r="D35" s="439"/>
      <c r="E35" s="7"/>
      <c r="F35" s="9" t="s">
        <v>16</v>
      </c>
      <c r="G35" s="9" t="s">
        <v>17</v>
      </c>
    </row>
    <row r="36" spans="2:7" x14ac:dyDescent="0.2">
      <c r="B36" s="436" t="s">
        <v>9</v>
      </c>
      <c r="C36" s="436"/>
      <c r="D36" s="436"/>
      <c r="E36" s="7"/>
      <c r="F36" s="9"/>
      <c r="G36" s="9" t="s">
        <v>18</v>
      </c>
    </row>
    <row r="37" spans="2:7" x14ac:dyDescent="0.2">
      <c r="B37" s="440"/>
      <c r="C37" s="440"/>
      <c r="D37" s="440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41"/>
  <sheetViews>
    <sheetView topLeftCell="B1" zoomScale="73" zoomScaleNormal="73" workbookViewId="0">
      <selection activeCell="L22" sqref="L22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23.5703125" customWidth="1"/>
    <col min="6" max="6" width="34" customWidth="1"/>
    <col min="7" max="7" width="17.7109375" customWidth="1"/>
    <col min="8" max="8" width="18.85546875" customWidth="1"/>
    <col min="9" max="9" width="8.28515625" hidden="1" customWidth="1"/>
    <col min="10" max="10" width="11.5703125" hidden="1" customWidth="1"/>
    <col min="11" max="11" width="17.7109375" customWidth="1"/>
    <col min="12" max="12" width="13.5703125" customWidth="1"/>
    <col min="13" max="13" width="16.85546875" customWidth="1"/>
    <col min="14" max="14" width="11.42578125" hidden="1" customWidth="1"/>
    <col min="15" max="17" width="16" hidden="1" customWidth="1"/>
    <col min="18" max="22" width="11.42578125" hidden="1" customWidth="1"/>
    <col min="23" max="23" width="12" hidden="1" customWidth="1"/>
    <col min="24" max="24" width="9" customWidth="1"/>
    <col min="25" max="26" width="14.42578125" customWidth="1"/>
    <col min="27" max="27" width="14.5703125" bestFit="1" customWidth="1"/>
    <col min="28" max="28" width="16.85546875" customWidth="1"/>
    <col min="29" max="29" width="71.5703125" customWidth="1"/>
  </cols>
  <sheetData>
    <row r="1" spans="1:30" ht="18" x14ac:dyDescent="0.25">
      <c r="A1" s="455" t="s">
        <v>77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</row>
    <row r="2" spans="1:30" ht="18" x14ac:dyDescent="0.25">
      <c r="A2" s="455" t="s">
        <v>64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</row>
    <row r="3" spans="1:30" ht="19.5" x14ac:dyDescent="0.25">
      <c r="A3" s="445" t="str">
        <f>PRESIDENCIA!A3</f>
        <v>SUELDO  DEL 01 AL 15 DE DICIEMBRE DE 2025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445"/>
      <c r="T3" s="445"/>
      <c r="U3" s="445"/>
      <c r="V3" s="445"/>
      <c r="W3" s="445"/>
      <c r="X3" s="445"/>
      <c r="Y3" s="445"/>
      <c r="Z3" s="445"/>
      <c r="AA3" s="445"/>
      <c r="AB3" s="445"/>
      <c r="AC3" s="445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492" t="s">
        <v>95</v>
      </c>
      <c r="C5" s="492" t="s">
        <v>115</v>
      </c>
      <c r="D5" s="22"/>
      <c r="E5" s="22"/>
      <c r="F5" s="22"/>
      <c r="G5" s="22"/>
      <c r="H5" s="22"/>
      <c r="I5" s="23" t="s">
        <v>22</v>
      </c>
      <c r="J5" s="23" t="s">
        <v>5</v>
      </c>
      <c r="K5" s="456" t="s">
        <v>1</v>
      </c>
      <c r="L5" s="457"/>
      <c r="M5" s="458"/>
      <c r="N5" s="24" t="s">
        <v>25</v>
      </c>
      <c r="O5" s="25"/>
      <c r="P5" s="459" t="s">
        <v>8</v>
      </c>
      <c r="Q5" s="460"/>
      <c r="R5" s="460"/>
      <c r="S5" s="460"/>
      <c r="T5" s="460"/>
      <c r="U5" s="461"/>
      <c r="V5" s="24" t="s">
        <v>29</v>
      </c>
      <c r="W5" s="24" t="s">
        <v>9</v>
      </c>
      <c r="X5" s="23" t="s">
        <v>52</v>
      </c>
      <c r="Y5" s="462" t="s">
        <v>2</v>
      </c>
      <c r="Z5" s="463"/>
      <c r="AA5" s="464"/>
      <c r="AB5" s="23" t="s">
        <v>0</v>
      </c>
      <c r="AC5" s="33"/>
    </row>
    <row r="6" spans="1:30" ht="12.75" customHeight="1" x14ac:dyDescent="0.2">
      <c r="A6" s="26" t="s">
        <v>20</v>
      </c>
      <c r="B6" s="493"/>
      <c r="C6" s="493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266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494"/>
      <c r="C7" s="494"/>
      <c r="D7" s="29"/>
      <c r="E7" s="29"/>
      <c r="F7" s="29"/>
      <c r="G7" s="29"/>
      <c r="H7" s="29"/>
      <c r="I7" s="29"/>
      <c r="J7" s="29"/>
      <c r="K7" s="29" t="s">
        <v>46</v>
      </c>
      <c r="L7" s="29" t="s">
        <v>59</v>
      </c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 t="s">
        <v>190</v>
      </c>
      <c r="AA7" s="29" t="s">
        <v>43</v>
      </c>
      <c r="AB7" s="29" t="s">
        <v>4</v>
      </c>
      <c r="AC7" s="34"/>
    </row>
    <row r="8" spans="1:30" ht="42" customHeight="1" x14ac:dyDescent="0.3">
      <c r="A8" s="127"/>
      <c r="B8" s="240"/>
      <c r="C8" s="228"/>
      <c r="D8" s="227" t="s">
        <v>504</v>
      </c>
      <c r="E8" s="228" t="s">
        <v>96</v>
      </c>
      <c r="F8" s="228" t="s">
        <v>220</v>
      </c>
      <c r="G8" s="227" t="s">
        <v>272</v>
      </c>
      <c r="H8" s="238" t="s">
        <v>61</v>
      </c>
      <c r="I8" s="238"/>
      <c r="J8" s="238"/>
      <c r="K8" s="238"/>
      <c r="L8" s="238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40"/>
    </row>
    <row r="9" spans="1:30" s="280" customFormat="1" ht="230.25" customHeight="1" x14ac:dyDescent="0.2">
      <c r="A9" s="265" t="s">
        <v>84</v>
      </c>
      <c r="B9" s="289" t="s">
        <v>157</v>
      </c>
      <c r="C9" s="370" t="s">
        <v>114</v>
      </c>
      <c r="D9" s="263" t="s">
        <v>142</v>
      </c>
      <c r="E9" s="145" t="s">
        <v>153</v>
      </c>
      <c r="F9" s="145" t="s">
        <v>235</v>
      </c>
      <c r="G9" s="241">
        <v>43374</v>
      </c>
      <c r="H9" s="320" t="s">
        <v>116</v>
      </c>
      <c r="I9" s="272">
        <v>15</v>
      </c>
      <c r="J9" s="273">
        <f>K9/I9</f>
        <v>373.2</v>
      </c>
      <c r="K9" s="274">
        <v>5598</v>
      </c>
      <c r="L9" s="275">
        <v>0</v>
      </c>
      <c r="M9" s="276">
        <f t="shared" ref="M9" si="0">SUM(K9:L9)</f>
        <v>5598</v>
      </c>
      <c r="N9" s="298">
        <f t="shared" ref="N9" si="1">IF(K9/15&lt;=SMG,0,L9/2)</f>
        <v>0</v>
      </c>
      <c r="O9" s="314">
        <f t="shared" ref="O9" si="2">(K9+N9)/I9*30.4</f>
        <v>11345.279999999999</v>
      </c>
      <c r="P9" s="314">
        <f t="shared" ref="P9" si="3">VLOOKUP(O9,Tarifa,1)</f>
        <v>11128.02</v>
      </c>
      <c r="Q9" s="298">
        <f t="shared" ref="Q9" si="4">O9-P9</f>
        <v>217.2599999999984</v>
      </c>
      <c r="R9" s="299">
        <f t="shared" ref="R9" si="5">VLOOKUP(O9,Tarifa,3)</f>
        <v>0.16</v>
      </c>
      <c r="S9" s="298">
        <f t="shared" ref="S9" si="6">Q9*R9</f>
        <v>34.761599999999746</v>
      </c>
      <c r="T9" s="300">
        <f t="shared" ref="T9" si="7">VLOOKUP(O9,Tarifa,2)</f>
        <v>893.63</v>
      </c>
      <c r="U9" s="298">
        <f t="shared" ref="U9" si="8">S9+T9</f>
        <v>928.3915999999997</v>
      </c>
      <c r="V9" s="298">
        <f t="shared" ref="V9" si="9">VLOOKUP(O9,Credito,2)</f>
        <v>0</v>
      </c>
      <c r="W9" s="298">
        <f t="shared" ref="W9" si="10">ROUND((U9-V9)/30.4*I9,2)</f>
        <v>458.09</v>
      </c>
      <c r="X9" s="276">
        <f t="shared" ref="X9" si="11">-IF(W9&gt;0,0,0)</f>
        <v>0</v>
      </c>
      <c r="Y9" s="276">
        <f t="shared" ref="Y9" si="12">IF(K9/15&lt;=SMG,0,IF(W9&lt;0,0,W9))</f>
        <v>458.09</v>
      </c>
      <c r="Z9" s="277">
        <v>0</v>
      </c>
      <c r="AA9" s="276">
        <f t="shared" ref="AA9" si="13">SUM(Y9:Z9)</f>
        <v>458.09</v>
      </c>
      <c r="AB9" s="276">
        <f t="shared" ref="AB9" si="14">M9+X9-AA9</f>
        <v>5139.91</v>
      </c>
      <c r="AC9" s="288"/>
    </row>
    <row r="10" spans="1:30" s="280" customFormat="1" ht="230.25" customHeight="1" x14ac:dyDescent="0.2">
      <c r="A10" s="306"/>
      <c r="B10" s="282">
        <v>188</v>
      </c>
      <c r="C10" s="370" t="s">
        <v>114</v>
      </c>
      <c r="D10" s="284" t="s">
        <v>158</v>
      </c>
      <c r="E10" s="285" t="s">
        <v>159</v>
      </c>
      <c r="F10" s="285" t="s">
        <v>236</v>
      </c>
      <c r="G10" s="371">
        <v>43389</v>
      </c>
      <c r="H10" s="271" t="s">
        <v>219</v>
      </c>
      <c r="I10" s="272">
        <v>15</v>
      </c>
      <c r="J10" s="273">
        <f>K10/I10</f>
        <v>482.44466666666665</v>
      </c>
      <c r="K10" s="274">
        <v>7236.67</v>
      </c>
      <c r="L10" s="275">
        <v>0</v>
      </c>
      <c r="M10" s="276">
        <f>SUM(K10:L10)</f>
        <v>7236.67</v>
      </c>
      <c r="N10" s="298">
        <f>IF(K10/15&lt;=SMG,0,L10/2)</f>
        <v>0</v>
      </c>
      <c r="O10" s="314">
        <f>(K10+N10)/I10*30.4</f>
        <v>14666.317866666666</v>
      </c>
      <c r="P10" s="314">
        <f>VLOOKUP(O10,Tarifa,1)</f>
        <v>12935.83</v>
      </c>
      <c r="Q10" s="298">
        <f>O10-P10</f>
        <v>1730.4878666666664</v>
      </c>
      <c r="R10" s="299">
        <f>VLOOKUP(O10,Tarifa,3)</f>
        <v>0.1792</v>
      </c>
      <c r="S10" s="298">
        <f>Q10*R10</f>
        <v>310.1034257066666</v>
      </c>
      <c r="T10" s="300">
        <f>VLOOKUP(O10,Tarifa,2)</f>
        <v>1182.8800000000001</v>
      </c>
      <c r="U10" s="298">
        <f>S10+T10</f>
        <v>1492.9834257066668</v>
      </c>
      <c r="V10" s="298">
        <f>VLOOKUP(O10,Credito,2)</f>
        <v>0</v>
      </c>
      <c r="W10" s="298">
        <f>ROUND((U10-V10)/30.4*I10,2)</f>
        <v>736.67</v>
      </c>
      <c r="X10" s="276">
        <f>-IF(W10&gt;0,0,0)</f>
        <v>0</v>
      </c>
      <c r="Y10" s="276">
        <f>IF(K10/15&lt;=SMG,0,IF(W10&lt;0,0,W10))</f>
        <v>736.67</v>
      </c>
      <c r="Z10" s="277">
        <v>0</v>
      </c>
      <c r="AA10" s="276">
        <f>SUM(Y10:Z10)</f>
        <v>736.67</v>
      </c>
      <c r="AB10" s="276">
        <f>M10+X10-AA10</f>
        <v>6500</v>
      </c>
      <c r="AC10" s="288"/>
    </row>
    <row r="11" spans="1:30" s="280" customFormat="1" ht="230.25" customHeight="1" x14ac:dyDescent="0.2">
      <c r="A11" s="372"/>
      <c r="B11" s="283" t="s">
        <v>206</v>
      </c>
      <c r="C11" s="283" t="s">
        <v>114</v>
      </c>
      <c r="D11" s="328" t="s">
        <v>207</v>
      </c>
      <c r="E11" s="134" t="s">
        <v>208</v>
      </c>
      <c r="F11" s="134" t="s">
        <v>238</v>
      </c>
      <c r="G11" s="210">
        <v>43512</v>
      </c>
      <c r="H11" s="320" t="s">
        <v>116</v>
      </c>
      <c r="I11" s="272">
        <v>15</v>
      </c>
      <c r="J11" s="273">
        <f>K11/I11</f>
        <v>309.60000000000002</v>
      </c>
      <c r="K11" s="274">
        <v>4644</v>
      </c>
      <c r="L11" s="275">
        <v>0</v>
      </c>
      <c r="M11" s="276">
        <f>SUM(K11:L11)</f>
        <v>4644</v>
      </c>
      <c r="N11" s="298">
        <f>IF(K11/15&lt;=SMG,0,L11/2)</f>
        <v>0</v>
      </c>
      <c r="O11" s="314">
        <f>(K11+N11)/I11*30.4</f>
        <v>9411.84</v>
      </c>
      <c r="P11" s="314">
        <f>VLOOKUP(O11,Tarifa,1)</f>
        <v>6332.06</v>
      </c>
      <c r="Q11" s="298">
        <f>O11-P11</f>
        <v>3079.7799999999997</v>
      </c>
      <c r="R11" s="299">
        <f>VLOOKUP(O11,Tarifa,3)</f>
        <v>0.10879999999999999</v>
      </c>
      <c r="S11" s="298">
        <f>Q11*R11</f>
        <v>335.08006399999994</v>
      </c>
      <c r="T11" s="300">
        <f>VLOOKUP(O11,Tarifa,2)</f>
        <v>371.83</v>
      </c>
      <c r="U11" s="298">
        <f>S11+T11</f>
        <v>706.91006399999992</v>
      </c>
      <c r="V11" s="298">
        <f>VLOOKUP(O11,Credito,2)</f>
        <v>475</v>
      </c>
      <c r="W11" s="298">
        <f>ROUND((U11-V11)/30.4*I11,2)</f>
        <v>114.43</v>
      </c>
      <c r="X11" s="276">
        <f>-IF(W11&gt;0,0,0)</f>
        <v>0</v>
      </c>
      <c r="Y11" s="276">
        <f t="shared" ref="Y11:Y12" si="15">IF(K11/15&lt;=SMG,0,IF(W11&lt;0,0,W11))</f>
        <v>114.43</v>
      </c>
      <c r="Z11" s="277">
        <v>0</v>
      </c>
      <c r="AA11" s="276">
        <f t="shared" ref="AA11" si="16">SUM(Y11:Z11)</f>
        <v>114.43</v>
      </c>
      <c r="AB11" s="276">
        <f>M11+X11-AA11</f>
        <v>4529.57</v>
      </c>
      <c r="AC11" s="288"/>
    </row>
    <row r="12" spans="1:30" s="280" customFormat="1" ht="230.25" customHeight="1" x14ac:dyDescent="0.2">
      <c r="A12" s="372"/>
      <c r="B12" s="282">
        <v>317</v>
      </c>
      <c r="C12" s="283" t="s">
        <v>114</v>
      </c>
      <c r="D12" s="262" t="s">
        <v>281</v>
      </c>
      <c r="E12" s="145" t="s">
        <v>282</v>
      </c>
      <c r="F12" s="145" t="s">
        <v>283</v>
      </c>
      <c r="G12" s="241">
        <v>45078</v>
      </c>
      <c r="H12" s="320" t="s">
        <v>116</v>
      </c>
      <c r="I12" s="272">
        <v>15</v>
      </c>
      <c r="J12" s="273">
        <f>K12/I12</f>
        <v>373.2</v>
      </c>
      <c r="K12" s="274">
        <v>5598</v>
      </c>
      <c r="L12" s="275">
        <v>0</v>
      </c>
      <c r="M12" s="276">
        <f t="shared" ref="M12" si="17">SUM(K12:L12)</f>
        <v>5598</v>
      </c>
      <c r="N12" s="298">
        <f t="shared" ref="N12" si="18">IF(K12/15&lt;=SMG,0,L12/2)</f>
        <v>0</v>
      </c>
      <c r="O12" s="314">
        <f t="shared" ref="O12" si="19">(K12+N12)/I12*30.4</f>
        <v>11345.279999999999</v>
      </c>
      <c r="P12" s="314">
        <f t="shared" ref="P12" si="20">VLOOKUP(O12,Tarifa,1)</f>
        <v>11128.02</v>
      </c>
      <c r="Q12" s="298">
        <f t="shared" ref="Q12" si="21">O12-P12</f>
        <v>217.2599999999984</v>
      </c>
      <c r="R12" s="299">
        <f t="shared" ref="R12" si="22">VLOOKUP(O12,Tarifa,3)</f>
        <v>0.16</v>
      </c>
      <c r="S12" s="298">
        <f t="shared" ref="S12" si="23">Q12*R12</f>
        <v>34.761599999999746</v>
      </c>
      <c r="T12" s="300">
        <f t="shared" ref="T12" si="24">VLOOKUP(O12,Tarifa,2)</f>
        <v>893.63</v>
      </c>
      <c r="U12" s="298">
        <f t="shared" ref="U12" si="25">S12+T12</f>
        <v>928.3915999999997</v>
      </c>
      <c r="V12" s="298">
        <f t="shared" ref="V12" si="26">VLOOKUP(O12,Credito,2)</f>
        <v>0</v>
      </c>
      <c r="W12" s="298">
        <f t="shared" ref="W12" si="27">ROUND((U12-V12)/30.4*I12,2)</f>
        <v>458.09</v>
      </c>
      <c r="X12" s="276">
        <f t="shared" ref="X12" si="28">-IF(W12&gt;0,0,0)</f>
        <v>0</v>
      </c>
      <c r="Y12" s="276">
        <f t="shared" si="15"/>
        <v>458.09</v>
      </c>
      <c r="Z12" s="277">
        <v>0</v>
      </c>
      <c r="AA12" s="276">
        <f t="shared" ref="AA12" si="29">SUM(Y12:Z12)</f>
        <v>458.09</v>
      </c>
      <c r="AB12" s="276">
        <f t="shared" ref="AB12" si="30">M12+X12-AA12</f>
        <v>5139.91</v>
      </c>
      <c r="AC12" s="288"/>
    </row>
    <row r="13" spans="1:30" s="280" customFormat="1" ht="230.25" customHeight="1" x14ac:dyDescent="0.2">
      <c r="A13" s="372"/>
      <c r="B13" s="319">
        <v>353</v>
      </c>
      <c r="C13" s="283" t="s">
        <v>114</v>
      </c>
      <c r="D13" s="264" t="s">
        <v>353</v>
      </c>
      <c r="E13" s="135" t="s">
        <v>354</v>
      </c>
      <c r="F13" s="135" t="s">
        <v>355</v>
      </c>
      <c r="G13" s="261">
        <v>45391</v>
      </c>
      <c r="H13" s="320" t="s">
        <v>116</v>
      </c>
      <c r="I13" s="272">
        <v>15</v>
      </c>
      <c r="J13" s="273">
        <f>K13/I13</f>
        <v>309.60000000000002</v>
      </c>
      <c r="K13" s="274">
        <v>4644</v>
      </c>
      <c r="L13" s="275">
        <v>0</v>
      </c>
      <c r="M13" s="276">
        <f>SUM(K13:L13)</f>
        <v>4644</v>
      </c>
      <c r="N13" s="298">
        <f>IF(K13/15&lt;=SMG,0,L13/2)</f>
        <v>0</v>
      </c>
      <c r="O13" s="314">
        <f>(K13+N13)/I13*30.4</f>
        <v>9411.84</v>
      </c>
      <c r="P13" s="314">
        <f>VLOOKUP(O13,Tarifa,1)</f>
        <v>6332.06</v>
      </c>
      <c r="Q13" s="298">
        <f>O13-P13</f>
        <v>3079.7799999999997</v>
      </c>
      <c r="R13" s="299">
        <f>VLOOKUP(O13,Tarifa,3)</f>
        <v>0.10879999999999999</v>
      </c>
      <c r="S13" s="298">
        <f>Q13*R13</f>
        <v>335.08006399999994</v>
      </c>
      <c r="T13" s="300">
        <f>VLOOKUP(O13,Tarifa,2)</f>
        <v>371.83</v>
      </c>
      <c r="U13" s="298">
        <f>S13+T13</f>
        <v>706.91006399999992</v>
      </c>
      <c r="V13" s="298">
        <f>VLOOKUP(O13,Credito,2)</f>
        <v>475</v>
      </c>
      <c r="W13" s="298">
        <f>ROUND((U13-V13)/30.4*I13,2)</f>
        <v>114.43</v>
      </c>
      <c r="X13" s="276">
        <f t="shared" ref="X13:X22" si="31">-IF(W13&gt;0,0,0)</f>
        <v>0</v>
      </c>
      <c r="Y13" s="276">
        <f t="shared" ref="Y13:Y22" si="32">IF(K13/15&lt;=SMG,0,IF(W13&lt;0,0,W13))</f>
        <v>114.43</v>
      </c>
      <c r="Z13" s="277">
        <v>0</v>
      </c>
      <c r="AA13" s="276">
        <f t="shared" ref="AA13:AA20" si="33">SUM(Y13:Z13)</f>
        <v>114.43</v>
      </c>
      <c r="AB13" s="276">
        <f>M13+X13-AA13</f>
        <v>4529.57</v>
      </c>
      <c r="AC13" s="288"/>
    </row>
    <row r="14" spans="1:30" s="91" customFormat="1" ht="36.75" customHeight="1" x14ac:dyDescent="0.3">
      <c r="A14" s="146"/>
      <c r="B14" s="256"/>
      <c r="C14" s="214"/>
      <c r="D14" s="257"/>
      <c r="E14" s="258"/>
      <c r="F14" s="258"/>
      <c r="G14" s="259"/>
      <c r="H14" s="260"/>
      <c r="I14" s="218"/>
      <c r="J14" s="219"/>
      <c r="K14" s="220"/>
      <c r="L14" s="221"/>
      <c r="M14" s="222"/>
      <c r="N14" s="223"/>
      <c r="O14" s="223"/>
      <c r="P14" s="223"/>
      <c r="Q14" s="223"/>
      <c r="R14" s="224"/>
      <c r="S14" s="223"/>
      <c r="T14" s="225"/>
      <c r="U14" s="223"/>
      <c r="V14" s="223"/>
      <c r="W14" s="223"/>
      <c r="X14" s="222"/>
      <c r="Y14" s="222"/>
      <c r="Z14" s="226"/>
      <c r="AA14" s="222"/>
      <c r="AB14" s="222"/>
    </row>
    <row r="15" spans="1:30" s="91" customFormat="1" ht="23.25" customHeight="1" x14ac:dyDescent="0.3">
      <c r="A15" s="146"/>
      <c r="B15" s="256"/>
      <c r="C15" s="214"/>
      <c r="D15" s="257"/>
      <c r="E15" s="258"/>
      <c r="F15" s="258"/>
      <c r="G15" s="259"/>
      <c r="H15" s="260"/>
      <c r="I15" s="218"/>
      <c r="J15" s="219"/>
      <c r="K15" s="220"/>
      <c r="L15" s="221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</row>
    <row r="16" spans="1:30" s="91" customFormat="1" ht="31.5" customHeight="1" x14ac:dyDescent="0.25">
      <c r="A16" s="146"/>
      <c r="B16" s="455" t="s">
        <v>77</v>
      </c>
      <c r="C16" s="455"/>
      <c r="D16" s="455"/>
      <c r="E16" s="455"/>
      <c r="F16" s="455"/>
      <c r="G16" s="455"/>
      <c r="H16" s="455"/>
      <c r="I16" s="455"/>
      <c r="J16" s="455"/>
      <c r="K16" s="455"/>
      <c r="L16" s="455"/>
      <c r="M16" s="455"/>
      <c r="N16" s="455"/>
      <c r="O16" s="455"/>
      <c r="P16" s="455"/>
      <c r="Q16" s="455"/>
      <c r="R16" s="455"/>
      <c r="S16" s="455"/>
      <c r="T16" s="455"/>
      <c r="U16" s="455"/>
      <c r="V16" s="455"/>
      <c r="W16" s="455"/>
      <c r="X16" s="455"/>
      <c r="Y16" s="455"/>
      <c r="Z16" s="455"/>
      <c r="AA16" s="455"/>
      <c r="AB16" s="455"/>
      <c r="AC16" s="455"/>
      <c r="AD16" s="455"/>
    </row>
    <row r="17" spans="1:30" s="91" customFormat="1" ht="26.25" customHeight="1" x14ac:dyDescent="0.25">
      <c r="A17" s="146"/>
      <c r="B17" s="455" t="s">
        <v>64</v>
      </c>
      <c r="C17" s="455"/>
      <c r="D17" s="455"/>
      <c r="E17" s="455"/>
      <c r="F17" s="455"/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55"/>
      <c r="R17" s="455"/>
      <c r="S17" s="455"/>
      <c r="T17" s="455"/>
      <c r="U17" s="455"/>
      <c r="V17" s="455"/>
      <c r="W17" s="455"/>
      <c r="X17" s="455"/>
      <c r="Y17" s="455"/>
      <c r="Z17" s="455"/>
      <c r="AA17" s="455"/>
      <c r="AB17" s="455"/>
      <c r="AC17" s="455"/>
      <c r="AD17" s="455"/>
    </row>
    <row r="18" spans="1:30" s="91" customFormat="1" ht="27.75" customHeight="1" x14ac:dyDescent="0.25">
      <c r="A18" s="146"/>
      <c r="B18" s="445" t="str">
        <f>A3</f>
        <v>SUELDO  DEL 01 AL 15 DE DICIEMBRE DE 2025</v>
      </c>
      <c r="C18" s="445"/>
      <c r="D18" s="445"/>
      <c r="E18" s="445"/>
      <c r="F18" s="445"/>
      <c r="G18" s="445"/>
      <c r="H18" s="445"/>
      <c r="I18" s="445"/>
      <c r="J18" s="445"/>
      <c r="K18" s="445"/>
      <c r="L18" s="445"/>
      <c r="M18" s="445"/>
      <c r="N18" s="445"/>
      <c r="O18" s="445"/>
      <c r="P18" s="445"/>
      <c r="Q18" s="445"/>
      <c r="R18" s="445"/>
      <c r="S18" s="445"/>
      <c r="T18" s="445"/>
      <c r="U18" s="445"/>
      <c r="V18" s="445"/>
      <c r="W18" s="445"/>
      <c r="X18" s="445"/>
      <c r="Y18" s="445"/>
      <c r="Z18" s="445"/>
      <c r="AA18" s="445"/>
      <c r="AB18" s="445"/>
      <c r="AC18" s="445"/>
      <c r="AD18" s="445"/>
    </row>
    <row r="19" spans="1:30" s="91" customFormat="1" ht="26.25" customHeight="1" x14ac:dyDescent="0.3">
      <c r="A19" s="146"/>
      <c r="B19" s="256"/>
      <c r="C19" s="214"/>
      <c r="D19" s="257"/>
      <c r="E19" s="258"/>
      <c r="F19" s="258"/>
      <c r="G19" s="259"/>
      <c r="H19" s="260"/>
      <c r="I19" s="218"/>
      <c r="J19" s="219"/>
      <c r="K19" s="220"/>
      <c r="L19" s="221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</row>
    <row r="20" spans="1:30" s="280" customFormat="1" ht="216.75" customHeight="1" x14ac:dyDescent="0.2">
      <c r="A20" s="372"/>
      <c r="B20" s="319">
        <v>398</v>
      </c>
      <c r="C20" s="283" t="s">
        <v>114</v>
      </c>
      <c r="D20" s="264" t="s">
        <v>497</v>
      </c>
      <c r="E20" s="135" t="s">
        <v>498</v>
      </c>
      <c r="F20" s="135" t="s">
        <v>499</v>
      </c>
      <c r="G20" s="261">
        <v>45597</v>
      </c>
      <c r="H20" s="320" t="s">
        <v>116</v>
      </c>
      <c r="I20" s="272">
        <v>15</v>
      </c>
      <c r="J20" s="273">
        <f>K20/I20</f>
        <v>309.60000000000002</v>
      </c>
      <c r="K20" s="274">
        <v>4644</v>
      </c>
      <c r="L20" s="275">
        <v>0</v>
      </c>
      <c r="M20" s="276">
        <f>SUM(K20:L20)</f>
        <v>4644</v>
      </c>
      <c r="N20" s="298">
        <f>IF(K20/15&lt;=SMG,0,L20/2)</f>
        <v>0</v>
      </c>
      <c r="O20" s="314">
        <f>(K20+N20)/I20*30.4</f>
        <v>9411.84</v>
      </c>
      <c r="P20" s="314">
        <f>VLOOKUP(O20,Tarifa,1)</f>
        <v>6332.06</v>
      </c>
      <c r="Q20" s="298">
        <f>O20-P20</f>
        <v>3079.7799999999997</v>
      </c>
      <c r="R20" s="299">
        <f>VLOOKUP(O20,Tarifa,3)</f>
        <v>0.10879999999999999</v>
      </c>
      <c r="S20" s="298">
        <f>Q20*R20</f>
        <v>335.08006399999994</v>
      </c>
      <c r="T20" s="300">
        <f>VLOOKUP(O20,Tarifa,2)</f>
        <v>371.83</v>
      </c>
      <c r="U20" s="298">
        <f>S20+T20</f>
        <v>706.91006399999992</v>
      </c>
      <c r="V20" s="298">
        <f>VLOOKUP(O20,Credito,2)</f>
        <v>475</v>
      </c>
      <c r="W20" s="298">
        <f>ROUND((U20-V20)/30.4*I20,2)</f>
        <v>114.43</v>
      </c>
      <c r="X20" s="276">
        <f t="shared" si="31"/>
        <v>0</v>
      </c>
      <c r="Y20" s="276">
        <f t="shared" si="32"/>
        <v>114.43</v>
      </c>
      <c r="Z20" s="277">
        <v>0</v>
      </c>
      <c r="AA20" s="276">
        <f t="shared" si="33"/>
        <v>114.43</v>
      </c>
      <c r="AB20" s="276">
        <f>M20+X20-AA20</f>
        <v>4529.57</v>
      </c>
      <c r="AC20" s="288"/>
    </row>
    <row r="21" spans="1:30" s="280" customFormat="1" ht="216.75" customHeight="1" x14ac:dyDescent="0.2">
      <c r="A21" s="372"/>
      <c r="B21" s="414">
        <v>422</v>
      </c>
      <c r="C21" s="415" t="s">
        <v>114</v>
      </c>
      <c r="D21" s="416" t="s">
        <v>600</v>
      </c>
      <c r="E21" s="418" t="s">
        <v>602</v>
      </c>
      <c r="F21" s="417" t="s">
        <v>601</v>
      </c>
      <c r="G21" s="261">
        <v>45809</v>
      </c>
      <c r="H21" s="320" t="s">
        <v>116</v>
      </c>
      <c r="I21" s="272">
        <v>15</v>
      </c>
      <c r="J21" s="273">
        <f>K21/I21</f>
        <v>373.2</v>
      </c>
      <c r="K21" s="274">
        <v>5598</v>
      </c>
      <c r="L21" s="275">
        <v>0</v>
      </c>
      <c r="M21" s="276">
        <f t="shared" ref="M21" si="34">SUM(K21:L21)</f>
        <v>5598</v>
      </c>
      <c r="N21" s="298">
        <f t="shared" ref="N21" si="35">IF(K21/15&lt;=SMG,0,L21/2)</f>
        <v>0</v>
      </c>
      <c r="O21" s="314">
        <f t="shared" ref="O21" si="36">(K21+N21)/I21*30.4</f>
        <v>11345.279999999999</v>
      </c>
      <c r="P21" s="314">
        <f t="shared" ref="P21" si="37">VLOOKUP(O21,Tarifa,1)</f>
        <v>11128.02</v>
      </c>
      <c r="Q21" s="298">
        <f t="shared" ref="Q21" si="38">O21-P21</f>
        <v>217.2599999999984</v>
      </c>
      <c r="R21" s="299">
        <f t="shared" ref="R21" si="39">VLOOKUP(O21,Tarifa,3)</f>
        <v>0.16</v>
      </c>
      <c r="S21" s="298">
        <f t="shared" ref="S21" si="40">Q21*R21</f>
        <v>34.761599999999746</v>
      </c>
      <c r="T21" s="300">
        <f t="shared" ref="T21" si="41">VLOOKUP(O21,Tarifa,2)</f>
        <v>893.63</v>
      </c>
      <c r="U21" s="298">
        <f t="shared" ref="U21" si="42">S21+T21</f>
        <v>928.3915999999997</v>
      </c>
      <c r="V21" s="298">
        <f t="shared" ref="V21" si="43">VLOOKUP(O21,Credito,2)</f>
        <v>0</v>
      </c>
      <c r="W21" s="298">
        <f t="shared" ref="W21" si="44">ROUND((U21-V21)/30.4*I21,2)</f>
        <v>458.09</v>
      </c>
      <c r="X21" s="276">
        <f t="shared" si="31"/>
        <v>0</v>
      </c>
      <c r="Y21" s="276">
        <f t="shared" si="32"/>
        <v>458.09</v>
      </c>
      <c r="Z21" s="277">
        <v>0</v>
      </c>
      <c r="AA21" s="276">
        <f t="shared" ref="AA21" si="45">SUM(Y21:Z21)</f>
        <v>458.09</v>
      </c>
      <c r="AB21" s="276">
        <f t="shared" ref="AB21" si="46">M21+X21-AA21</f>
        <v>5139.91</v>
      </c>
      <c r="AC21" s="288"/>
    </row>
    <row r="22" spans="1:30" s="280" customFormat="1" ht="216.75" customHeight="1" x14ac:dyDescent="0.2">
      <c r="A22" s="372"/>
      <c r="B22" s="289" t="s">
        <v>180</v>
      </c>
      <c r="C22" s="283" t="s">
        <v>114</v>
      </c>
      <c r="D22" s="268" t="s">
        <v>80</v>
      </c>
      <c r="E22" s="269" t="s">
        <v>105</v>
      </c>
      <c r="F22" s="269" t="s">
        <v>223</v>
      </c>
      <c r="G22" s="270">
        <v>41410</v>
      </c>
      <c r="H22" s="271" t="s">
        <v>173</v>
      </c>
      <c r="I22" s="272">
        <v>15</v>
      </c>
      <c r="J22" s="273">
        <f>K22/I22</f>
        <v>253.33333333333334</v>
      </c>
      <c r="K22" s="274">
        <v>3800</v>
      </c>
      <c r="L22" s="275">
        <v>0</v>
      </c>
      <c r="M22" s="276">
        <f>SUM(K22:L22)</f>
        <v>3800</v>
      </c>
      <c r="N22" s="298">
        <f>IF(K22/15&lt;=SMG,0,L22/2)</f>
        <v>0</v>
      </c>
      <c r="O22" s="314">
        <f>(K22+N22)/I22*30.4</f>
        <v>7701.333333333333</v>
      </c>
      <c r="P22" s="314">
        <f>VLOOKUP(O22,Tarifa,1)</f>
        <v>6332.06</v>
      </c>
      <c r="Q22" s="298">
        <f>O22-P22</f>
        <v>1369.2733333333326</v>
      </c>
      <c r="R22" s="299">
        <f>VLOOKUP(O22,Tarifa,3)</f>
        <v>0.10879999999999999</v>
      </c>
      <c r="S22" s="298">
        <f>Q22*R22</f>
        <v>148.97693866666657</v>
      </c>
      <c r="T22" s="300">
        <f>VLOOKUP(O22,Tarifa,2)</f>
        <v>371.83</v>
      </c>
      <c r="U22" s="298">
        <f>S22+T22</f>
        <v>520.80693866666661</v>
      </c>
      <c r="V22" s="298">
        <f>VLOOKUP(O22,Credito,2)</f>
        <v>475</v>
      </c>
      <c r="W22" s="298">
        <f>ROUND((U22-V22)/30.4*I22,2)</f>
        <v>22.6</v>
      </c>
      <c r="X22" s="276">
        <f t="shared" si="31"/>
        <v>0</v>
      </c>
      <c r="Y22" s="276">
        <f t="shared" si="32"/>
        <v>0</v>
      </c>
      <c r="Z22" s="277">
        <v>0</v>
      </c>
      <c r="AA22" s="276">
        <f>SUM(Y22:Z22)</f>
        <v>0</v>
      </c>
      <c r="AB22" s="276">
        <f>M22+X22-AA22</f>
        <v>3800</v>
      </c>
      <c r="AC22" s="288"/>
    </row>
    <row r="23" spans="1:30" ht="18" x14ac:dyDescent="0.25">
      <c r="A23" s="138"/>
      <c r="B23" s="138"/>
      <c r="C23" s="138"/>
      <c r="D23" s="138"/>
      <c r="E23" s="138"/>
      <c r="F23" s="138"/>
      <c r="G23" s="138"/>
      <c r="H23" s="138"/>
      <c r="I23" s="139"/>
      <c r="J23" s="138"/>
      <c r="K23" s="140"/>
      <c r="L23" s="140"/>
      <c r="M23" s="140"/>
      <c r="N23" s="141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30" ht="45" customHeight="1" thickBot="1" x14ac:dyDescent="0.35">
      <c r="A24" s="441" t="s">
        <v>44</v>
      </c>
      <c r="B24" s="442"/>
      <c r="C24" s="442"/>
      <c r="D24" s="442"/>
      <c r="E24" s="442"/>
      <c r="F24" s="442"/>
      <c r="G24" s="442"/>
      <c r="H24" s="442"/>
      <c r="I24" s="442"/>
      <c r="J24" s="443"/>
      <c r="K24" s="208">
        <f t="shared" ref="K24:AB24" si="47">SUM(K9:K23)</f>
        <v>41762.67</v>
      </c>
      <c r="L24" s="208">
        <f t="shared" si="47"/>
        <v>0</v>
      </c>
      <c r="M24" s="208">
        <f t="shared" si="47"/>
        <v>41762.67</v>
      </c>
      <c r="N24" s="209">
        <f t="shared" si="47"/>
        <v>0</v>
      </c>
      <c r="O24" s="209">
        <f t="shared" si="47"/>
        <v>84639.011199999979</v>
      </c>
      <c r="P24" s="209">
        <f t="shared" si="47"/>
        <v>71648.12999999999</v>
      </c>
      <c r="Q24" s="209">
        <f t="shared" si="47"/>
        <v>12990.881199999994</v>
      </c>
      <c r="R24" s="209">
        <f t="shared" si="47"/>
        <v>1.0944</v>
      </c>
      <c r="S24" s="209">
        <f t="shared" si="47"/>
        <v>1568.6053563733321</v>
      </c>
      <c r="T24" s="209">
        <f t="shared" si="47"/>
        <v>5351.09</v>
      </c>
      <c r="U24" s="209">
        <f t="shared" si="47"/>
        <v>6919.6953563733323</v>
      </c>
      <c r="V24" s="209">
        <f t="shared" si="47"/>
        <v>1900</v>
      </c>
      <c r="W24" s="209">
        <f t="shared" si="47"/>
        <v>2476.83</v>
      </c>
      <c r="X24" s="208">
        <f t="shared" si="47"/>
        <v>0</v>
      </c>
      <c r="Y24" s="208">
        <f t="shared" si="47"/>
        <v>2454.23</v>
      </c>
      <c r="Z24" s="208">
        <f t="shared" si="47"/>
        <v>0</v>
      </c>
      <c r="AA24" s="208">
        <f t="shared" si="47"/>
        <v>2454.23</v>
      </c>
      <c r="AB24" s="208">
        <f t="shared" si="47"/>
        <v>39308.44</v>
      </c>
    </row>
    <row r="25" spans="1:30" ht="13.5" thickTop="1" x14ac:dyDescent="0.2"/>
    <row r="39" spans="4:29" x14ac:dyDescent="0.2">
      <c r="D39" s="4"/>
      <c r="Y39" s="4"/>
    </row>
    <row r="40" spans="4:29" ht="18" x14ac:dyDescent="0.25">
      <c r="D40" s="213" t="s">
        <v>476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213" t="s">
        <v>148</v>
      </c>
      <c r="Z40" s="108"/>
      <c r="AA40" s="108"/>
      <c r="AB40" s="108"/>
    </row>
    <row r="41" spans="4:29" ht="18" x14ac:dyDescent="0.25">
      <c r="D41" s="213" t="s">
        <v>491</v>
      </c>
      <c r="E41" s="213"/>
      <c r="F41" s="213"/>
      <c r="G41" s="213"/>
      <c r="H41" s="213"/>
      <c r="I41" s="213"/>
      <c r="J41" s="213"/>
      <c r="K41" s="213"/>
      <c r="L41" s="213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213" t="s">
        <v>217</v>
      </c>
      <c r="Z41" s="108"/>
      <c r="AA41" s="213"/>
      <c r="AB41" s="213"/>
      <c r="AC41" s="42"/>
    </row>
  </sheetData>
  <mergeCells count="12">
    <mergeCell ref="Y5:AA5"/>
    <mergeCell ref="A24:J24"/>
    <mergeCell ref="A1:AC1"/>
    <mergeCell ref="A2:AC2"/>
    <mergeCell ref="A3:AC3"/>
    <mergeCell ref="K5:M5"/>
    <mergeCell ref="P5:U5"/>
    <mergeCell ref="B5:B7"/>
    <mergeCell ref="C5:C7"/>
    <mergeCell ref="B16:AD16"/>
    <mergeCell ref="B17:AD17"/>
    <mergeCell ref="B18:AD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2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64"/>
  <sheetViews>
    <sheetView topLeftCell="B36" zoomScale="68" zoomScaleNormal="68" workbookViewId="0">
      <selection activeCell="G50" sqref="G50:G51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3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0" ht="18" x14ac:dyDescent="0.25">
      <c r="A1" s="455" t="s">
        <v>76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"/>
    </row>
    <row r="2" spans="1:30" ht="18" x14ac:dyDescent="0.25">
      <c r="A2" s="455" t="s">
        <v>64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  <c r="AD2" s="4"/>
    </row>
    <row r="3" spans="1:30" ht="18" x14ac:dyDescent="0.25">
      <c r="A3" s="413"/>
      <c r="B3" s="455" t="str">
        <f>PRESIDENCIA!A3</f>
        <v>SUELDO  DEL 01 AL 15 DE DICIEMBRE DE 2025</v>
      </c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5"/>
      <c r="V3" s="455"/>
      <c r="W3" s="455"/>
      <c r="X3" s="455"/>
      <c r="Y3" s="455"/>
      <c r="Z3" s="455"/>
      <c r="AA3" s="455"/>
      <c r="AB3" s="455"/>
      <c r="AC3" s="455"/>
      <c r="AD3" s="4"/>
    </row>
    <row r="4" spans="1:30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73"/>
      <c r="K5" s="456" t="s">
        <v>1</v>
      </c>
      <c r="L5" s="457"/>
      <c r="M5" s="458"/>
      <c r="N5" s="24" t="s">
        <v>25</v>
      </c>
      <c r="O5" s="25"/>
      <c r="P5" s="459" t="s">
        <v>8</v>
      </c>
      <c r="Q5" s="460"/>
      <c r="R5" s="460"/>
      <c r="S5" s="460"/>
      <c r="T5" s="460"/>
      <c r="U5" s="461"/>
      <c r="V5" s="24" t="s">
        <v>29</v>
      </c>
      <c r="W5" s="24" t="s">
        <v>9</v>
      </c>
      <c r="X5" s="23" t="s">
        <v>52</v>
      </c>
      <c r="Y5" s="462" t="s">
        <v>2</v>
      </c>
      <c r="Z5" s="463"/>
      <c r="AA5" s="464"/>
      <c r="AB5" s="23" t="s">
        <v>0</v>
      </c>
      <c r="AC5" s="101"/>
      <c r="AD5" s="4"/>
    </row>
    <row r="6" spans="1:30" ht="32.25" customHeight="1" x14ac:dyDescent="0.2">
      <c r="A6" s="26" t="s">
        <v>20</v>
      </c>
      <c r="B6" s="45" t="s">
        <v>95</v>
      </c>
      <c r="C6" s="45" t="s">
        <v>115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266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0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124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0" ht="42" customHeight="1" x14ac:dyDescent="0.3">
      <c r="A8" s="38"/>
      <c r="B8" s="500" t="s">
        <v>113</v>
      </c>
      <c r="C8" s="501"/>
      <c r="D8" s="502"/>
      <c r="E8" s="228" t="s">
        <v>96</v>
      </c>
      <c r="F8" s="228" t="s">
        <v>220</v>
      </c>
      <c r="G8" s="227" t="s">
        <v>272</v>
      </c>
      <c r="H8" s="228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0" s="377" customFormat="1" ht="192" customHeight="1" x14ac:dyDescent="0.2">
      <c r="A9" s="265" t="s">
        <v>82</v>
      </c>
      <c r="B9" s="283" t="s">
        <v>336</v>
      </c>
      <c r="C9" s="283" t="s">
        <v>114</v>
      </c>
      <c r="D9" s="375" t="s">
        <v>337</v>
      </c>
      <c r="E9" s="360" t="s">
        <v>338</v>
      </c>
      <c r="F9" s="360" t="s">
        <v>339</v>
      </c>
      <c r="G9" s="352">
        <v>45367</v>
      </c>
      <c r="H9" s="320" t="s">
        <v>66</v>
      </c>
      <c r="I9" s="272">
        <v>15</v>
      </c>
      <c r="J9" s="272">
        <f t="shared" ref="J9:J14" si="0">K9/I9</f>
        <v>947.52266666666662</v>
      </c>
      <c r="K9" s="295">
        <v>14212.84</v>
      </c>
      <c r="L9" s="296">
        <v>0</v>
      </c>
      <c r="M9" s="297">
        <f t="shared" ref="M9:M14" si="1">SUM(K9:L9)</f>
        <v>14212.84</v>
      </c>
      <c r="N9" s="298">
        <f>IF(K9/15&lt;=SMG,0,L9/2)</f>
        <v>0</v>
      </c>
      <c r="O9" s="314">
        <f>(K9+N9)/I9*30.4</f>
        <v>28804.689066666662</v>
      </c>
      <c r="P9" s="314">
        <f>VLOOKUP(O9,Tarifa,1)</f>
        <v>15487.72</v>
      </c>
      <c r="Q9" s="298">
        <f>O9-P9</f>
        <v>13316.969066666663</v>
      </c>
      <c r="R9" s="299">
        <f>VLOOKUP(O9,Tarifa,3)</f>
        <v>0.21360000000000001</v>
      </c>
      <c r="S9" s="298">
        <f>Q9*R9</f>
        <v>2844.5045926399994</v>
      </c>
      <c r="T9" s="300">
        <f>VLOOKUP(O9,Tarifa,2)</f>
        <v>1640.18</v>
      </c>
      <c r="U9" s="298">
        <f>S9+T9</f>
        <v>4484.6845926399992</v>
      </c>
      <c r="V9" s="298">
        <f>VLOOKUP(O9,Credito,2)</f>
        <v>0</v>
      </c>
      <c r="W9" s="298">
        <f>ROUND((U9-V9)/30.4*I9,2)</f>
        <v>2212.84</v>
      </c>
      <c r="X9" s="297">
        <f>-IF(W9&gt;0,0,0)</f>
        <v>0</v>
      </c>
      <c r="Y9" s="297">
        <f>IF(K9/15&lt;=SMG,0,IF(W9&lt;0,0,W9))</f>
        <v>2212.84</v>
      </c>
      <c r="Z9" s="301">
        <v>0</v>
      </c>
      <c r="AA9" s="297">
        <f>SUM(Y9:Z9)</f>
        <v>2212.84</v>
      </c>
      <c r="AB9" s="276">
        <f>M9+X9-Y9</f>
        <v>12000</v>
      </c>
      <c r="AC9" s="376"/>
      <c r="AD9" s="334"/>
    </row>
    <row r="10" spans="1:30" s="280" customFormat="1" ht="192" customHeight="1" x14ac:dyDescent="0.2">
      <c r="A10" s="372"/>
      <c r="B10" s="283" t="s">
        <v>172</v>
      </c>
      <c r="C10" s="283" t="s">
        <v>114</v>
      </c>
      <c r="D10" s="375" t="s">
        <v>170</v>
      </c>
      <c r="E10" s="360" t="s">
        <v>171</v>
      </c>
      <c r="F10" s="360" t="s">
        <v>241</v>
      </c>
      <c r="G10" s="352">
        <v>43601</v>
      </c>
      <c r="H10" s="271" t="s">
        <v>78</v>
      </c>
      <c r="I10" s="272">
        <v>15</v>
      </c>
      <c r="J10" s="272">
        <f t="shared" si="0"/>
        <v>650.81200000000001</v>
      </c>
      <c r="K10" s="274">
        <v>9762.18</v>
      </c>
      <c r="L10" s="275">
        <v>0</v>
      </c>
      <c r="M10" s="297">
        <f t="shared" si="1"/>
        <v>9762.18</v>
      </c>
      <c r="N10" s="389">
        <f t="shared" ref="N10" si="2">IF(K10/15&lt;=SMG,0,L10/2)</f>
        <v>0</v>
      </c>
      <c r="O10" s="389">
        <f t="shared" ref="O10" si="3">(K10+N10)/I10*30.4</f>
        <v>19784.684799999999</v>
      </c>
      <c r="P10" s="389">
        <f t="shared" ref="P10" si="4">VLOOKUP(O10,Tarifa,1)</f>
        <v>15487.72</v>
      </c>
      <c r="Q10" s="389">
        <f t="shared" ref="Q10" si="5">O10-P10</f>
        <v>4296.9647999999997</v>
      </c>
      <c r="R10" s="390">
        <f t="shared" ref="R10" si="6">VLOOKUP(O10,Tarifa,3)</f>
        <v>0.21360000000000001</v>
      </c>
      <c r="S10" s="389">
        <f t="shared" ref="S10" si="7">Q10*R10</f>
        <v>917.83168128</v>
      </c>
      <c r="T10" s="391">
        <f t="shared" ref="T10" si="8">VLOOKUP(O10,Tarifa,2)</f>
        <v>1640.18</v>
      </c>
      <c r="U10" s="389">
        <f t="shared" ref="U10" si="9">S10+T10</f>
        <v>2558.0116812800002</v>
      </c>
      <c r="V10" s="389">
        <f t="shared" ref="V10" si="10">VLOOKUP(O10,Credito,2)</f>
        <v>0</v>
      </c>
      <c r="W10" s="389">
        <f t="shared" ref="W10" si="11">ROUND((U10-V10)/30.4*I10,2)</f>
        <v>1262.18</v>
      </c>
      <c r="X10" s="276">
        <f>-IF(W10&gt;0,0,0)</f>
        <v>0</v>
      </c>
      <c r="Y10" s="276">
        <f t="shared" ref="Y10" si="12">IF(K10/15&lt;=SMG,0,IF(W10&lt;0,0,W10))</f>
        <v>1262.18</v>
      </c>
      <c r="Z10" s="277">
        <v>0</v>
      </c>
      <c r="AA10" s="276">
        <f t="shared" ref="AA10" si="13">SUM(Y10:Z10)</f>
        <v>1262.18</v>
      </c>
      <c r="AB10" s="276">
        <f t="shared" ref="AB10" si="14">M10+X10-AA10</f>
        <v>8500</v>
      </c>
      <c r="AC10" s="376"/>
      <c r="AD10" s="334"/>
    </row>
    <row r="11" spans="1:30" s="280" customFormat="1" ht="192" customHeight="1" x14ac:dyDescent="0.2">
      <c r="A11" s="372"/>
      <c r="B11" s="283" t="s">
        <v>340</v>
      </c>
      <c r="C11" s="283" t="s">
        <v>114</v>
      </c>
      <c r="D11" s="378" t="s">
        <v>341</v>
      </c>
      <c r="E11" s="360" t="s">
        <v>342</v>
      </c>
      <c r="F11" s="360" t="s">
        <v>343</v>
      </c>
      <c r="G11" s="352">
        <v>45367</v>
      </c>
      <c r="H11" s="271" t="s">
        <v>78</v>
      </c>
      <c r="I11" s="272">
        <v>15</v>
      </c>
      <c r="J11" s="272">
        <f t="shared" si="0"/>
        <v>650.81200000000001</v>
      </c>
      <c r="K11" s="274">
        <v>9762.18</v>
      </c>
      <c r="L11" s="275">
        <v>0</v>
      </c>
      <c r="M11" s="297">
        <f t="shared" si="1"/>
        <v>9762.18</v>
      </c>
      <c r="N11" s="389">
        <f t="shared" ref="N11" si="15">IF(K11/15&lt;=SMG,0,L11/2)</f>
        <v>0</v>
      </c>
      <c r="O11" s="389">
        <f t="shared" ref="O11" si="16">(K11+N11)/I11*30.4</f>
        <v>19784.684799999999</v>
      </c>
      <c r="P11" s="389">
        <f t="shared" ref="P11" si="17">VLOOKUP(O11,Tarifa,1)</f>
        <v>15487.72</v>
      </c>
      <c r="Q11" s="389">
        <f t="shared" ref="Q11" si="18">O11-P11</f>
        <v>4296.9647999999997</v>
      </c>
      <c r="R11" s="390">
        <f t="shared" ref="R11" si="19">VLOOKUP(O11,Tarifa,3)</f>
        <v>0.21360000000000001</v>
      </c>
      <c r="S11" s="389">
        <f t="shared" ref="S11" si="20">Q11*R11</f>
        <v>917.83168128</v>
      </c>
      <c r="T11" s="391">
        <f t="shared" ref="T11" si="21">VLOOKUP(O11,Tarifa,2)</f>
        <v>1640.18</v>
      </c>
      <c r="U11" s="389">
        <f t="shared" ref="U11" si="22">S11+T11</f>
        <v>2558.0116812800002</v>
      </c>
      <c r="V11" s="389">
        <f t="shared" ref="V11" si="23">VLOOKUP(O11,Credito,2)</f>
        <v>0</v>
      </c>
      <c r="W11" s="389">
        <f t="shared" ref="W11" si="24">ROUND((U11-V11)/30.4*I11,2)</f>
        <v>1262.18</v>
      </c>
      <c r="X11" s="276">
        <f>-IF(W11&gt;0,0,0)</f>
        <v>0</v>
      </c>
      <c r="Y11" s="276">
        <f t="shared" ref="Y11:Y12" si="25">IF(K11/15&lt;=SMG,0,IF(W11&lt;0,0,W11))</f>
        <v>1262.18</v>
      </c>
      <c r="Z11" s="277">
        <v>0</v>
      </c>
      <c r="AA11" s="276">
        <f t="shared" ref="AA11:AA12" si="26">SUM(Y11:Z11)</f>
        <v>1262.18</v>
      </c>
      <c r="AB11" s="276">
        <f t="shared" ref="AB11:AB12" si="27">M11+X11-AA11</f>
        <v>8500</v>
      </c>
      <c r="AC11" s="376"/>
      <c r="AD11" s="334"/>
    </row>
    <row r="12" spans="1:30" s="280" customFormat="1" ht="192" customHeight="1" x14ac:dyDescent="0.2">
      <c r="A12" s="372"/>
      <c r="B12" s="283" t="s">
        <v>344</v>
      </c>
      <c r="C12" s="283" t="s">
        <v>114</v>
      </c>
      <c r="D12" s="378" t="s">
        <v>488</v>
      </c>
      <c r="E12" s="360" t="s">
        <v>345</v>
      </c>
      <c r="F12" s="278" t="s">
        <v>346</v>
      </c>
      <c r="G12" s="324">
        <v>45367</v>
      </c>
      <c r="H12" s="271" t="s">
        <v>249</v>
      </c>
      <c r="I12" s="272">
        <v>15</v>
      </c>
      <c r="J12" s="272">
        <f t="shared" ref="J12" si="28">K12/I12</f>
        <v>608.42466666666667</v>
      </c>
      <c r="K12" s="274">
        <v>9126.3700000000008</v>
      </c>
      <c r="L12" s="274">
        <v>0</v>
      </c>
      <c r="M12" s="297">
        <f t="shared" si="1"/>
        <v>9126.3700000000008</v>
      </c>
      <c r="N12" s="298">
        <f>IF(K12/15&lt;=SMG,0,L12/2)</f>
        <v>0</v>
      </c>
      <c r="O12" s="314">
        <f>(K12+N12)/I12*30.4</f>
        <v>18496.109866666666</v>
      </c>
      <c r="P12" s="314">
        <f>VLOOKUP(O12,Tarifa,1)</f>
        <v>15487.72</v>
      </c>
      <c r="Q12" s="298">
        <f>O12-P12</f>
        <v>3008.3898666666664</v>
      </c>
      <c r="R12" s="299">
        <f>VLOOKUP(O12,Tarifa,3)</f>
        <v>0.21360000000000001</v>
      </c>
      <c r="S12" s="298">
        <f>Q12*R12</f>
        <v>642.59207551999998</v>
      </c>
      <c r="T12" s="300">
        <f>VLOOKUP(O12,Tarifa,2)</f>
        <v>1640.18</v>
      </c>
      <c r="U12" s="298">
        <f>S12+T12</f>
        <v>2282.7720755199998</v>
      </c>
      <c r="V12" s="298">
        <f>VLOOKUP(O12,Credito,2)</f>
        <v>0</v>
      </c>
      <c r="W12" s="298">
        <f>ROUND((U12-V12)/30.4*I12,2)</f>
        <v>1126.3699999999999</v>
      </c>
      <c r="X12" s="276">
        <f t="shared" ref="X12" si="29">-IF(W12&gt;0,0,W12)</f>
        <v>0</v>
      </c>
      <c r="Y12" s="276">
        <f t="shared" si="25"/>
        <v>1126.3699999999999</v>
      </c>
      <c r="Z12" s="277">
        <v>0</v>
      </c>
      <c r="AA12" s="276">
        <f t="shared" si="26"/>
        <v>1126.3699999999999</v>
      </c>
      <c r="AB12" s="276">
        <f t="shared" si="27"/>
        <v>8000.0000000000009</v>
      </c>
      <c r="AC12" s="376"/>
      <c r="AD12" s="334"/>
    </row>
    <row r="13" spans="1:30" s="280" customFormat="1" ht="192" customHeight="1" x14ac:dyDescent="0.2">
      <c r="A13" s="372"/>
      <c r="B13" s="283" t="s">
        <v>350</v>
      </c>
      <c r="C13" s="283" t="s">
        <v>114</v>
      </c>
      <c r="D13" s="378" t="s">
        <v>487</v>
      </c>
      <c r="E13" s="360" t="s">
        <v>351</v>
      </c>
      <c r="F13" s="278" t="s">
        <v>352</v>
      </c>
      <c r="G13" s="324">
        <v>45367</v>
      </c>
      <c r="H13" s="271" t="s">
        <v>249</v>
      </c>
      <c r="I13" s="272">
        <v>15</v>
      </c>
      <c r="J13" s="272">
        <f t="shared" si="0"/>
        <v>608.42466666666667</v>
      </c>
      <c r="K13" s="274">
        <v>9126.3700000000008</v>
      </c>
      <c r="L13" s="275">
        <v>0</v>
      </c>
      <c r="M13" s="297">
        <f t="shared" si="1"/>
        <v>9126.3700000000008</v>
      </c>
      <c r="N13" s="298">
        <f>IF(K13/15&lt;=SMG,0,L13/2)</f>
        <v>0</v>
      </c>
      <c r="O13" s="314">
        <f>(K13+N13)/I13*30.4</f>
        <v>18496.109866666666</v>
      </c>
      <c r="P13" s="314">
        <f>VLOOKUP(O13,Tarifa,1)</f>
        <v>15487.72</v>
      </c>
      <c r="Q13" s="298">
        <f>O13-P13</f>
        <v>3008.3898666666664</v>
      </c>
      <c r="R13" s="299">
        <f>VLOOKUP(O13,Tarifa,3)</f>
        <v>0.21360000000000001</v>
      </c>
      <c r="S13" s="298">
        <f>Q13*R13</f>
        <v>642.59207551999998</v>
      </c>
      <c r="T13" s="300">
        <f>VLOOKUP(O13,Tarifa,2)</f>
        <v>1640.18</v>
      </c>
      <c r="U13" s="298">
        <f>S13+T13</f>
        <v>2282.7720755199998</v>
      </c>
      <c r="V13" s="298">
        <f>VLOOKUP(O13,Credito,2)</f>
        <v>0</v>
      </c>
      <c r="W13" s="298">
        <f>ROUND((U13-V13)/30.4*I13,2)</f>
        <v>1126.3699999999999</v>
      </c>
      <c r="X13" s="276">
        <f t="shared" ref="X13" si="30">-IF(W13&gt;0,0,W13)</f>
        <v>0</v>
      </c>
      <c r="Y13" s="276">
        <f t="shared" ref="Y13" si="31">IF(K13/15&lt;=SMG,0,IF(W13&lt;0,0,W13))</f>
        <v>1126.3699999999999</v>
      </c>
      <c r="Z13" s="277">
        <v>0</v>
      </c>
      <c r="AA13" s="276">
        <f t="shared" ref="AA13" si="32">SUM(Y13:Z13)</f>
        <v>1126.3699999999999</v>
      </c>
      <c r="AB13" s="276">
        <f t="shared" ref="AB13" si="33">M13+X13-AA13</f>
        <v>8000.0000000000009</v>
      </c>
      <c r="AC13" s="376"/>
      <c r="AD13" s="334"/>
    </row>
    <row r="14" spans="1:30" s="280" customFormat="1" ht="192" customHeight="1" x14ac:dyDescent="0.2">
      <c r="A14" s="372"/>
      <c r="B14" s="283" t="s">
        <v>101</v>
      </c>
      <c r="C14" s="283" t="s">
        <v>114</v>
      </c>
      <c r="D14" s="375" t="s">
        <v>81</v>
      </c>
      <c r="E14" s="278" t="s">
        <v>112</v>
      </c>
      <c r="F14" s="278" t="s">
        <v>225</v>
      </c>
      <c r="G14" s="324">
        <v>41898</v>
      </c>
      <c r="H14" s="271" t="s">
        <v>79</v>
      </c>
      <c r="I14" s="272">
        <v>15</v>
      </c>
      <c r="J14" s="272">
        <f t="shared" si="0"/>
        <v>539.13333333333333</v>
      </c>
      <c r="K14" s="274">
        <v>8087</v>
      </c>
      <c r="L14" s="275">
        <v>0</v>
      </c>
      <c r="M14" s="297">
        <f t="shared" si="1"/>
        <v>8087</v>
      </c>
      <c r="N14" s="298">
        <f t="shared" ref="N14" si="34">IF(K14/15&lt;=SMG,0,L14/2)</f>
        <v>0</v>
      </c>
      <c r="O14" s="314">
        <f t="shared" ref="O14" si="35">(K14+N14)/I14*30.4</f>
        <v>16389.653333333332</v>
      </c>
      <c r="P14" s="314">
        <f t="shared" ref="P14" si="36">VLOOKUP(O14,Tarifa,1)</f>
        <v>15487.72</v>
      </c>
      <c r="Q14" s="298">
        <f t="shared" ref="Q14" si="37">O14-P14</f>
        <v>901.93333333333248</v>
      </c>
      <c r="R14" s="299">
        <f t="shared" ref="R14" si="38">VLOOKUP(O14,Tarifa,3)</f>
        <v>0.21360000000000001</v>
      </c>
      <c r="S14" s="298">
        <f t="shared" ref="S14" si="39">Q14*R14</f>
        <v>192.65295999999984</v>
      </c>
      <c r="T14" s="300">
        <f t="shared" ref="T14" si="40">VLOOKUP(O14,Tarifa,2)</f>
        <v>1640.18</v>
      </c>
      <c r="U14" s="298">
        <f t="shared" ref="U14" si="41">S14+T14</f>
        <v>1832.83296</v>
      </c>
      <c r="V14" s="298">
        <f t="shared" ref="V14" si="42">VLOOKUP(O14,Credito,2)</f>
        <v>0</v>
      </c>
      <c r="W14" s="298">
        <f t="shared" ref="W14" si="43">ROUND((U14-V14)/30.4*I14,2)</f>
        <v>904.36</v>
      </c>
      <c r="X14" s="276">
        <f t="shared" ref="X14" si="44">-IF(W14&gt;0,0,0)</f>
        <v>0</v>
      </c>
      <c r="Y14" s="276">
        <f t="shared" ref="Y14" si="45">IF(K14/15&lt;=SMG,0,IF(W14&lt;0,0,W14))</f>
        <v>904.36</v>
      </c>
      <c r="Z14" s="277">
        <v>0</v>
      </c>
      <c r="AA14" s="276">
        <f t="shared" ref="AA14:AA16" si="46">SUM(Y14:Z14)</f>
        <v>904.36</v>
      </c>
      <c r="AB14" s="276">
        <f t="shared" ref="AB14" si="47">M14+X14-AA14</f>
        <v>7182.64</v>
      </c>
      <c r="AC14" s="376"/>
      <c r="AD14" s="334"/>
    </row>
    <row r="15" spans="1:30" s="280" customFormat="1" ht="192" customHeight="1" x14ac:dyDescent="0.2">
      <c r="A15" s="372"/>
      <c r="B15" s="283" t="s">
        <v>288</v>
      </c>
      <c r="C15" s="283" t="s">
        <v>114</v>
      </c>
      <c r="D15" s="378" t="s">
        <v>289</v>
      </c>
      <c r="E15" s="360" t="s">
        <v>290</v>
      </c>
      <c r="F15" s="278" t="s">
        <v>291</v>
      </c>
      <c r="G15" s="324">
        <v>45092</v>
      </c>
      <c r="H15" s="271" t="s">
        <v>79</v>
      </c>
      <c r="I15" s="272">
        <v>15</v>
      </c>
      <c r="J15" s="272">
        <f t="shared" ref="J15:J16" si="48">K15/I15</f>
        <v>539.13333333333333</v>
      </c>
      <c r="K15" s="274">
        <v>8087</v>
      </c>
      <c r="L15" s="275">
        <v>0</v>
      </c>
      <c r="M15" s="276">
        <f t="shared" ref="M15:M16" si="49">SUM(K15:L15)</f>
        <v>8087</v>
      </c>
      <c r="N15" s="298">
        <f t="shared" ref="N15:N16" si="50">IF(K15/15&lt;=SMG,0,L15/2)</f>
        <v>0</v>
      </c>
      <c r="O15" s="314">
        <f t="shared" ref="O15:O16" si="51">(K15+N15)/I15*30.4</f>
        <v>16389.653333333332</v>
      </c>
      <c r="P15" s="314">
        <f t="shared" ref="P15:P16" si="52">VLOOKUP(O15,Tarifa,1)</f>
        <v>15487.72</v>
      </c>
      <c r="Q15" s="298">
        <f t="shared" ref="Q15:Q16" si="53">O15-P15</f>
        <v>901.93333333333248</v>
      </c>
      <c r="R15" s="299">
        <f t="shared" ref="R15:R16" si="54">VLOOKUP(O15,Tarifa,3)</f>
        <v>0.21360000000000001</v>
      </c>
      <c r="S15" s="298">
        <f t="shared" ref="S15:S16" si="55">Q15*R15</f>
        <v>192.65295999999984</v>
      </c>
      <c r="T15" s="300">
        <f t="shared" ref="T15:T16" si="56">VLOOKUP(O15,Tarifa,2)</f>
        <v>1640.18</v>
      </c>
      <c r="U15" s="298">
        <f t="shared" ref="U15:U16" si="57">S15+T15</f>
        <v>1832.83296</v>
      </c>
      <c r="V15" s="298">
        <f t="shared" ref="V15:V16" si="58">VLOOKUP(O15,Credito,2)</f>
        <v>0</v>
      </c>
      <c r="W15" s="298">
        <f t="shared" ref="W15:W16" si="59">ROUND((U15-V15)/30.4*I15,2)</f>
        <v>904.36</v>
      </c>
      <c r="X15" s="276">
        <f t="shared" ref="X15:X16" si="60">-IF(W15&gt;0,0,0)</f>
        <v>0</v>
      </c>
      <c r="Y15" s="276">
        <f t="shared" ref="Y15:Y16" si="61">IF(K15/15&lt;=SMG,0,IF(W15&lt;0,0,W15))</f>
        <v>904.36</v>
      </c>
      <c r="Z15" s="277">
        <v>0</v>
      </c>
      <c r="AA15" s="276">
        <f t="shared" si="46"/>
        <v>904.36</v>
      </c>
      <c r="AB15" s="276">
        <f t="shared" ref="AB15:AB16" si="62">M15+X15-AA15</f>
        <v>7182.64</v>
      </c>
      <c r="AC15" s="376"/>
      <c r="AD15" s="334"/>
    </row>
    <row r="16" spans="1:30" ht="192" customHeight="1" x14ac:dyDescent="0.25">
      <c r="A16" s="146"/>
      <c r="B16" s="283" t="s">
        <v>347</v>
      </c>
      <c r="C16" s="283" t="s">
        <v>114</v>
      </c>
      <c r="D16" s="378" t="s">
        <v>489</v>
      </c>
      <c r="E16" s="360" t="s">
        <v>348</v>
      </c>
      <c r="F16" s="278" t="s">
        <v>349</v>
      </c>
      <c r="G16" s="324">
        <v>45367</v>
      </c>
      <c r="H16" s="271" t="s">
        <v>79</v>
      </c>
      <c r="I16" s="272">
        <v>15</v>
      </c>
      <c r="J16" s="272">
        <f t="shared" si="48"/>
        <v>539.13333333333333</v>
      </c>
      <c r="K16" s="274">
        <v>8087</v>
      </c>
      <c r="L16" s="275">
        <v>0</v>
      </c>
      <c r="M16" s="276">
        <f t="shared" si="49"/>
        <v>8087</v>
      </c>
      <c r="N16" s="298">
        <f t="shared" si="50"/>
        <v>0</v>
      </c>
      <c r="O16" s="314">
        <f t="shared" si="51"/>
        <v>16389.653333333332</v>
      </c>
      <c r="P16" s="314">
        <f t="shared" si="52"/>
        <v>15487.72</v>
      </c>
      <c r="Q16" s="298">
        <f t="shared" si="53"/>
        <v>901.93333333333248</v>
      </c>
      <c r="R16" s="299">
        <f t="shared" si="54"/>
        <v>0.21360000000000001</v>
      </c>
      <c r="S16" s="298">
        <f t="shared" si="55"/>
        <v>192.65295999999984</v>
      </c>
      <c r="T16" s="300">
        <f t="shared" si="56"/>
        <v>1640.18</v>
      </c>
      <c r="U16" s="298">
        <f t="shared" si="57"/>
        <v>1832.83296</v>
      </c>
      <c r="V16" s="298">
        <f t="shared" si="58"/>
        <v>0</v>
      </c>
      <c r="W16" s="298">
        <f t="shared" si="59"/>
        <v>904.36</v>
      </c>
      <c r="X16" s="276">
        <f t="shared" si="60"/>
        <v>0</v>
      </c>
      <c r="Y16" s="276">
        <f t="shared" si="61"/>
        <v>904.36</v>
      </c>
      <c r="Z16" s="277">
        <v>0</v>
      </c>
      <c r="AA16" s="276">
        <f t="shared" si="46"/>
        <v>904.36</v>
      </c>
      <c r="AB16" s="276">
        <f t="shared" si="62"/>
        <v>7182.64</v>
      </c>
      <c r="AC16" s="333"/>
      <c r="AD16" s="4"/>
    </row>
    <row r="17" spans="1:30" ht="23.25" customHeight="1" x14ac:dyDescent="0.3">
      <c r="A17" s="146"/>
      <c r="B17" s="146"/>
      <c r="C17" s="146"/>
      <c r="D17" s="199"/>
      <c r="E17" s="200"/>
      <c r="F17" s="108"/>
      <c r="G17" s="163"/>
      <c r="H17" s="150"/>
      <c r="I17" s="151"/>
      <c r="J17" s="151"/>
      <c r="K17" s="153"/>
      <c r="L17" s="154"/>
      <c r="M17" s="155"/>
      <c r="N17" s="201"/>
      <c r="O17" s="201"/>
      <c r="P17" s="201"/>
      <c r="Q17" s="201"/>
      <c r="R17" s="202"/>
      <c r="S17" s="201"/>
      <c r="T17" s="203"/>
      <c r="U17" s="201"/>
      <c r="V17" s="201"/>
      <c r="W17" s="201"/>
      <c r="X17" s="155"/>
      <c r="Y17" s="155"/>
      <c r="Z17" s="156"/>
      <c r="AA17" s="155"/>
      <c r="AB17" s="155"/>
      <c r="AC17" s="4"/>
      <c r="AD17" s="4"/>
    </row>
    <row r="18" spans="1:30" ht="27.75" customHeight="1" x14ac:dyDescent="0.25">
      <c r="A18" s="146"/>
      <c r="B18" s="496" t="s">
        <v>361</v>
      </c>
      <c r="C18" s="497"/>
      <c r="D18" s="497"/>
      <c r="E18" s="497"/>
      <c r="F18" s="497"/>
      <c r="G18" s="497"/>
      <c r="H18" s="497"/>
      <c r="I18" s="497"/>
      <c r="J18" s="497"/>
      <c r="K18" s="497"/>
      <c r="L18" s="497"/>
      <c r="M18" s="497"/>
      <c r="N18" s="497"/>
      <c r="O18" s="497"/>
      <c r="P18" s="497"/>
      <c r="Q18" s="497"/>
      <c r="R18" s="497"/>
      <c r="S18" s="497"/>
      <c r="T18" s="497"/>
      <c r="U18" s="497"/>
      <c r="V18" s="497"/>
      <c r="W18" s="497"/>
      <c r="X18" s="497"/>
      <c r="Y18" s="497"/>
      <c r="Z18" s="497"/>
      <c r="AA18" s="497"/>
      <c r="AB18" s="497"/>
      <c r="AC18" s="497"/>
      <c r="AD18" s="4"/>
    </row>
    <row r="19" spans="1:30" ht="23.25" customHeight="1" x14ac:dyDescent="0.25">
      <c r="A19" s="146"/>
      <c r="B19" s="496" t="s">
        <v>362</v>
      </c>
      <c r="C19" s="497"/>
      <c r="D19" s="497"/>
      <c r="E19" s="497"/>
      <c r="F19" s="497"/>
      <c r="G19" s="497"/>
      <c r="H19" s="497"/>
      <c r="I19" s="497"/>
      <c r="J19" s="497"/>
      <c r="K19" s="497"/>
      <c r="L19" s="497"/>
      <c r="M19" s="497"/>
      <c r="N19" s="497"/>
      <c r="O19" s="497"/>
      <c r="P19" s="497"/>
      <c r="Q19" s="497"/>
      <c r="R19" s="497"/>
      <c r="S19" s="497"/>
      <c r="T19" s="497"/>
      <c r="U19" s="497"/>
      <c r="V19" s="497"/>
      <c r="W19" s="497"/>
      <c r="X19" s="497"/>
      <c r="Y19" s="497"/>
      <c r="Z19" s="497"/>
      <c r="AA19" s="497"/>
      <c r="AB19" s="497"/>
      <c r="AC19" s="497"/>
      <c r="AD19" s="4"/>
    </row>
    <row r="20" spans="1:30" ht="23.25" customHeight="1" x14ac:dyDescent="0.25">
      <c r="A20" s="146"/>
      <c r="B20" s="495" t="str">
        <f>PRESIDENCIA!A3</f>
        <v>SUELDO  DEL 01 AL 15 DE DICIEMBRE DE 2025</v>
      </c>
      <c r="C20" s="495"/>
      <c r="D20" s="495"/>
      <c r="E20" s="495"/>
      <c r="F20" s="495"/>
      <c r="G20" s="495"/>
      <c r="H20" s="495"/>
      <c r="I20" s="495"/>
      <c r="J20" s="495"/>
      <c r="K20" s="495"/>
      <c r="L20" s="495"/>
      <c r="M20" s="495"/>
      <c r="N20" s="495"/>
      <c r="O20" s="495"/>
      <c r="P20" s="495"/>
      <c r="Q20" s="495"/>
      <c r="R20" s="495"/>
      <c r="S20" s="495"/>
      <c r="T20" s="495"/>
      <c r="U20" s="495"/>
      <c r="V20" s="495"/>
      <c r="W20" s="495"/>
      <c r="X20" s="495"/>
      <c r="Y20" s="495"/>
      <c r="Z20" s="495"/>
      <c r="AA20" s="495"/>
      <c r="AB20" s="495"/>
      <c r="AC20" s="495"/>
      <c r="AD20" s="4"/>
    </row>
    <row r="21" spans="1:30" ht="20.25" customHeight="1" x14ac:dyDescent="0.25">
      <c r="A21" s="146"/>
      <c r="B21" s="498"/>
      <c r="C21" s="499"/>
      <c r="D21" s="499"/>
      <c r="E21" s="499"/>
      <c r="F21" s="499"/>
      <c r="G21" s="499"/>
      <c r="H21" s="499"/>
      <c r="I21" s="499"/>
      <c r="J21" s="499"/>
      <c r="K21" s="499"/>
      <c r="L21" s="499"/>
      <c r="M21" s="499"/>
      <c r="N21" s="499"/>
      <c r="O21" s="499"/>
      <c r="P21" s="499"/>
      <c r="Q21" s="499"/>
      <c r="R21" s="499"/>
      <c r="S21" s="499"/>
      <c r="T21" s="499"/>
      <c r="U21" s="499"/>
      <c r="V21" s="499"/>
      <c r="W21" s="499"/>
      <c r="X21" s="499"/>
      <c r="Y21" s="499"/>
      <c r="Z21" s="499"/>
      <c r="AA21" s="499"/>
      <c r="AB21" s="499"/>
      <c r="AC21" s="499"/>
      <c r="AD21" s="4"/>
    </row>
    <row r="22" spans="1:30" s="377" customFormat="1" ht="201" customHeight="1" x14ac:dyDescent="0.2">
      <c r="A22" s="372"/>
      <c r="B22" s="283" t="s">
        <v>318</v>
      </c>
      <c r="C22" s="283" t="s">
        <v>114</v>
      </c>
      <c r="D22" s="378" t="s">
        <v>319</v>
      </c>
      <c r="E22" s="360" t="s">
        <v>327</v>
      </c>
      <c r="F22" s="278" t="s">
        <v>320</v>
      </c>
      <c r="G22" s="324">
        <v>45200</v>
      </c>
      <c r="H22" s="271" t="s">
        <v>79</v>
      </c>
      <c r="I22" s="272">
        <v>15</v>
      </c>
      <c r="J22" s="272">
        <f t="shared" ref="J22:J25" si="63">K22/I22</f>
        <v>539.13333333333333</v>
      </c>
      <c r="K22" s="274">
        <v>8087</v>
      </c>
      <c r="L22" s="275">
        <v>0</v>
      </c>
      <c r="M22" s="276">
        <f t="shared" ref="M22:M25" si="64">SUM(K22:L22)</f>
        <v>8087</v>
      </c>
      <c r="N22" s="298">
        <f t="shared" ref="N22:N25" si="65">IF(K22/15&lt;=SMG,0,L22/2)</f>
        <v>0</v>
      </c>
      <c r="O22" s="314">
        <f t="shared" ref="O22:O25" si="66">(K22+N22)/I22*30.4</f>
        <v>16389.653333333332</v>
      </c>
      <c r="P22" s="314">
        <f t="shared" ref="P22:P25" si="67">VLOOKUP(O22,Tarifa,1)</f>
        <v>15487.72</v>
      </c>
      <c r="Q22" s="298">
        <f t="shared" ref="Q22:Q25" si="68">O22-P22</f>
        <v>901.93333333333248</v>
      </c>
      <c r="R22" s="299">
        <f t="shared" ref="R22:R25" si="69">VLOOKUP(O22,Tarifa,3)</f>
        <v>0.21360000000000001</v>
      </c>
      <c r="S22" s="298">
        <f t="shared" ref="S22:S25" si="70">Q22*R22</f>
        <v>192.65295999999984</v>
      </c>
      <c r="T22" s="300">
        <f t="shared" ref="T22:T25" si="71">VLOOKUP(O22,Tarifa,2)</f>
        <v>1640.18</v>
      </c>
      <c r="U22" s="298">
        <f t="shared" ref="U22:U25" si="72">S22+T22</f>
        <v>1832.83296</v>
      </c>
      <c r="V22" s="298">
        <f t="shared" ref="V22:V25" si="73">VLOOKUP(O22,Credito,2)</f>
        <v>0</v>
      </c>
      <c r="W22" s="298">
        <f t="shared" ref="W22:W25" si="74">ROUND((U22-V22)/30.4*I22,2)</f>
        <v>904.36</v>
      </c>
      <c r="X22" s="276">
        <f t="shared" ref="X22:X25" si="75">-IF(W22&gt;0,0,0)</f>
        <v>0</v>
      </c>
      <c r="Y22" s="276">
        <f t="shared" ref="Y22:Y25" si="76">IF(K22/15&lt;=SMG,0,IF(W22&lt;0,0,W22))</f>
        <v>904.36</v>
      </c>
      <c r="Z22" s="277">
        <v>0</v>
      </c>
      <c r="AA22" s="276">
        <f t="shared" ref="AA22:AA25" si="77">SUM(Y22:Z22)</f>
        <v>904.36</v>
      </c>
      <c r="AB22" s="276">
        <f t="shared" ref="AB22:AB25" si="78">M22+X22-AA22</f>
        <v>7182.64</v>
      </c>
      <c r="AC22" s="333"/>
      <c r="AD22" s="334"/>
    </row>
    <row r="23" spans="1:30" s="377" customFormat="1" ht="201" customHeight="1" x14ac:dyDescent="0.2">
      <c r="A23" s="372"/>
      <c r="B23" s="283" t="s">
        <v>332</v>
      </c>
      <c r="C23" s="283" t="s">
        <v>114</v>
      </c>
      <c r="D23" s="378" t="s">
        <v>335</v>
      </c>
      <c r="E23" s="360" t="s">
        <v>333</v>
      </c>
      <c r="F23" s="278" t="s">
        <v>334</v>
      </c>
      <c r="G23" s="324">
        <v>45292</v>
      </c>
      <c r="H23" s="271" t="s">
        <v>79</v>
      </c>
      <c r="I23" s="272">
        <v>15</v>
      </c>
      <c r="J23" s="272">
        <f t="shared" si="63"/>
        <v>539.13333333333333</v>
      </c>
      <c r="K23" s="274">
        <v>8087</v>
      </c>
      <c r="L23" s="275">
        <v>0</v>
      </c>
      <c r="M23" s="276">
        <f t="shared" si="64"/>
        <v>8087</v>
      </c>
      <c r="N23" s="298">
        <f t="shared" si="65"/>
        <v>0</v>
      </c>
      <c r="O23" s="314">
        <f t="shared" si="66"/>
        <v>16389.653333333332</v>
      </c>
      <c r="P23" s="314">
        <f t="shared" si="67"/>
        <v>15487.72</v>
      </c>
      <c r="Q23" s="298">
        <f t="shared" si="68"/>
        <v>901.93333333333248</v>
      </c>
      <c r="R23" s="299">
        <f t="shared" si="69"/>
        <v>0.21360000000000001</v>
      </c>
      <c r="S23" s="298">
        <f t="shared" si="70"/>
        <v>192.65295999999984</v>
      </c>
      <c r="T23" s="300">
        <f t="shared" si="71"/>
        <v>1640.18</v>
      </c>
      <c r="U23" s="298">
        <f t="shared" si="72"/>
        <v>1832.83296</v>
      </c>
      <c r="V23" s="298">
        <f t="shared" si="73"/>
        <v>0</v>
      </c>
      <c r="W23" s="298">
        <f t="shared" si="74"/>
        <v>904.36</v>
      </c>
      <c r="X23" s="276">
        <f t="shared" si="75"/>
        <v>0</v>
      </c>
      <c r="Y23" s="276">
        <f t="shared" si="76"/>
        <v>904.36</v>
      </c>
      <c r="Z23" s="277">
        <v>0</v>
      </c>
      <c r="AA23" s="276">
        <f t="shared" si="77"/>
        <v>904.36</v>
      </c>
      <c r="AB23" s="276">
        <f t="shared" si="78"/>
        <v>7182.64</v>
      </c>
      <c r="AC23" s="333"/>
      <c r="AD23" s="334"/>
    </row>
    <row r="24" spans="1:30" s="377" customFormat="1" ht="201" customHeight="1" x14ac:dyDescent="0.2">
      <c r="A24" s="372"/>
      <c r="B24" s="283" t="s">
        <v>357</v>
      </c>
      <c r="C24" s="283" t="s">
        <v>114</v>
      </c>
      <c r="D24" s="378" t="s">
        <v>358</v>
      </c>
      <c r="E24" s="360" t="s">
        <v>359</v>
      </c>
      <c r="F24" s="278" t="s">
        <v>360</v>
      </c>
      <c r="G24" s="324">
        <v>45413</v>
      </c>
      <c r="H24" s="271" t="s">
        <v>79</v>
      </c>
      <c r="I24" s="272">
        <v>15</v>
      </c>
      <c r="J24" s="272">
        <f t="shared" si="63"/>
        <v>539.13333333333333</v>
      </c>
      <c r="K24" s="274">
        <v>8087</v>
      </c>
      <c r="L24" s="275">
        <v>0</v>
      </c>
      <c r="M24" s="276">
        <f t="shared" si="64"/>
        <v>8087</v>
      </c>
      <c r="N24" s="298">
        <f t="shared" si="65"/>
        <v>0</v>
      </c>
      <c r="O24" s="314">
        <f t="shared" si="66"/>
        <v>16389.653333333332</v>
      </c>
      <c r="P24" s="314">
        <f t="shared" si="67"/>
        <v>15487.72</v>
      </c>
      <c r="Q24" s="298">
        <f t="shared" si="68"/>
        <v>901.93333333333248</v>
      </c>
      <c r="R24" s="299">
        <f t="shared" si="69"/>
        <v>0.21360000000000001</v>
      </c>
      <c r="S24" s="298">
        <f t="shared" si="70"/>
        <v>192.65295999999984</v>
      </c>
      <c r="T24" s="300">
        <f t="shared" si="71"/>
        <v>1640.18</v>
      </c>
      <c r="U24" s="298">
        <f t="shared" si="72"/>
        <v>1832.83296</v>
      </c>
      <c r="V24" s="298">
        <f t="shared" si="73"/>
        <v>0</v>
      </c>
      <c r="W24" s="298">
        <f t="shared" si="74"/>
        <v>904.36</v>
      </c>
      <c r="X24" s="276">
        <f t="shared" si="75"/>
        <v>0</v>
      </c>
      <c r="Y24" s="276">
        <f t="shared" si="76"/>
        <v>904.36</v>
      </c>
      <c r="Z24" s="277">
        <v>0</v>
      </c>
      <c r="AA24" s="276">
        <f t="shared" si="77"/>
        <v>904.36</v>
      </c>
      <c r="AB24" s="276">
        <f t="shared" si="78"/>
        <v>7182.64</v>
      </c>
      <c r="AC24" s="333"/>
      <c r="AD24" s="334"/>
    </row>
    <row r="25" spans="1:30" s="377" customFormat="1" ht="201" customHeight="1" x14ac:dyDescent="0.2">
      <c r="A25" s="372"/>
      <c r="B25" s="283" t="s">
        <v>363</v>
      </c>
      <c r="C25" s="283" t="s">
        <v>114</v>
      </c>
      <c r="D25" s="378" t="s">
        <v>364</v>
      </c>
      <c r="E25" s="360" t="s">
        <v>370</v>
      </c>
      <c r="F25" s="278" t="s">
        <v>365</v>
      </c>
      <c r="G25" s="324">
        <v>45444</v>
      </c>
      <c r="H25" s="271" t="s">
        <v>79</v>
      </c>
      <c r="I25" s="272">
        <v>15</v>
      </c>
      <c r="J25" s="272">
        <f t="shared" si="63"/>
        <v>539.13333333333333</v>
      </c>
      <c r="K25" s="274">
        <v>8087</v>
      </c>
      <c r="L25" s="275">
        <v>0</v>
      </c>
      <c r="M25" s="276">
        <f t="shared" si="64"/>
        <v>8087</v>
      </c>
      <c r="N25" s="298">
        <f t="shared" si="65"/>
        <v>0</v>
      </c>
      <c r="O25" s="314">
        <f t="shared" si="66"/>
        <v>16389.653333333332</v>
      </c>
      <c r="P25" s="314">
        <f t="shared" si="67"/>
        <v>15487.72</v>
      </c>
      <c r="Q25" s="298">
        <f t="shared" si="68"/>
        <v>901.93333333333248</v>
      </c>
      <c r="R25" s="299">
        <f t="shared" si="69"/>
        <v>0.21360000000000001</v>
      </c>
      <c r="S25" s="298">
        <f t="shared" si="70"/>
        <v>192.65295999999984</v>
      </c>
      <c r="T25" s="300">
        <f t="shared" si="71"/>
        <v>1640.18</v>
      </c>
      <c r="U25" s="298">
        <f t="shared" si="72"/>
        <v>1832.83296</v>
      </c>
      <c r="V25" s="298">
        <f t="shared" si="73"/>
        <v>0</v>
      </c>
      <c r="W25" s="298">
        <f t="shared" si="74"/>
        <v>904.36</v>
      </c>
      <c r="X25" s="276">
        <f t="shared" si="75"/>
        <v>0</v>
      </c>
      <c r="Y25" s="276">
        <f t="shared" si="76"/>
        <v>904.36</v>
      </c>
      <c r="Z25" s="277">
        <v>0</v>
      </c>
      <c r="AA25" s="276">
        <f t="shared" si="77"/>
        <v>904.36</v>
      </c>
      <c r="AB25" s="276">
        <f t="shared" si="78"/>
        <v>7182.64</v>
      </c>
      <c r="AC25" s="333"/>
      <c r="AD25" s="334"/>
    </row>
    <row r="26" spans="1:30" s="377" customFormat="1" ht="201" customHeight="1" x14ac:dyDescent="0.2">
      <c r="A26" s="372"/>
      <c r="B26" s="283" t="s">
        <v>387</v>
      </c>
      <c r="C26" s="283" t="s">
        <v>114</v>
      </c>
      <c r="D26" s="378" t="s">
        <v>388</v>
      </c>
      <c r="E26" s="360" t="s">
        <v>389</v>
      </c>
      <c r="F26" s="278" t="s">
        <v>390</v>
      </c>
      <c r="G26" s="324">
        <v>45520</v>
      </c>
      <c r="H26" s="271" t="s">
        <v>79</v>
      </c>
      <c r="I26" s="272">
        <v>15</v>
      </c>
      <c r="J26" s="272">
        <f t="shared" ref="J26:J36" si="79">K26/I26</f>
        <v>539.13333333333333</v>
      </c>
      <c r="K26" s="274">
        <v>8087</v>
      </c>
      <c r="L26" s="275">
        <v>0</v>
      </c>
      <c r="M26" s="276">
        <f t="shared" ref="M26:M36" si="80">SUM(K26:L26)</f>
        <v>8087</v>
      </c>
      <c r="N26" s="298">
        <f t="shared" ref="N26:N36" si="81">IF(K26/15&lt;=SMG,0,L26/2)</f>
        <v>0</v>
      </c>
      <c r="O26" s="314">
        <f t="shared" ref="O26:O36" si="82">(K26+N26)/I26*30.4</f>
        <v>16389.653333333332</v>
      </c>
      <c r="P26" s="314">
        <f t="shared" ref="P26:P36" si="83">VLOOKUP(O26,Tarifa,1)</f>
        <v>15487.72</v>
      </c>
      <c r="Q26" s="298">
        <f t="shared" ref="Q26:Q36" si="84">O26-P26</f>
        <v>901.93333333333248</v>
      </c>
      <c r="R26" s="299">
        <f t="shared" ref="R26:R36" si="85">VLOOKUP(O26,Tarifa,3)</f>
        <v>0.21360000000000001</v>
      </c>
      <c r="S26" s="298">
        <f t="shared" ref="S26:S36" si="86">Q26*R26</f>
        <v>192.65295999999984</v>
      </c>
      <c r="T26" s="300">
        <f t="shared" ref="T26:T36" si="87">VLOOKUP(O26,Tarifa,2)</f>
        <v>1640.18</v>
      </c>
      <c r="U26" s="298">
        <f t="shared" ref="U26:U36" si="88">S26+T26</f>
        <v>1832.83296</v>
      </c>
      <c r="V26" s="298">
        <f t="shared" ref="V26:V36" si="89">VLOOKUP(O26,Credito,2)</f>
        <v>0</v>
      </c>
      <c r="W26" s="298">
        <f t="shared" ref="W26:W36" si="90">ROUND((U26-V26)/30.4*I26,2)</f>
        <v>904.36</v>
      </c>
      <c r="X26" s="276">
        <f t="shared" ref="X26:X36" si="91">-IF(W26&gt;0,0,0)</f>
        <v>0</v>
      </c>
      <c r="Y26" s="276">
        <f t="shared" ref="Y26:Y36" si="92">IF(K26/15&lt;=SMG,0,IF(W26&lt;0,0,W26))</f>
        <v>904.36</v>
      </c>
      <c r="Z26" s="277">
        <v>0</v>
      </c>
      <c r="AA26" s="276">
        <f t="shared" ref="AA26:AA36" si="93">SUM(Y26:Z26)</f>
        <v>904.36</v>
      </c>
      <c r="AB26" s="276">
        <f t="shared" ref="AB26:AB36" si="94">M26+X26-AA26</f>
        <v>7182.64</v>
      </c>
      <c r="AC26" s="333"/>
      <c r="AD26" s="334"/>
    </row>
    <row r="27" spans="1:30" s="377" customFormat="1" ht="201" customHeight="1" x14ac:dyDescent="0.2">
      <c r="A27" s="372"/>
      <c r="B27" s="283" t="s">
        <v>550</v>
      </c>
      <c r="C27" s="283" t="s">
        <v>114</v>
      </c>
      <c r="D27" s="378" t="s">
        <v>543</v>
      </c>
      <c r="E27" s="360" t="s">
        <v>557</v>
      </c>
      <c r="F27" s="278" t="s">
        <v>544</v>
      </c>
      <c r="G27" s="324">
        <v>45704</v>
      </c>
      <c r="H27" s="271" t="s">
        <v>79</v>
      </c>
      <c r="I27" s="272">
        <v>15</v>
      </c>
      <c r="J27" s="272">
        <f t="shared" si="79"/>
        <v>539.13333333333333</v>
      </c>
      <c r="K27" s="274">
        <v>8087</v>
      </c>
      <c r="L27" s="275">
        <v>0</v>
      </c>
      <c r="M27" s="276">
        <f t="shared" si="80"/>
        <v>8087</v>
      </c>
      <c r="N27" s="298">
        <f t="shared" si="81"/>
        <v>0</v>
      </c>
      <c r="O27" s="314">
        <f t="shared" si="82"/>
        <v>16389.653333333332</v>
      </c>
      <c r="P27" s="314">
        <f t="shared" si="83"/>
        <v>15487.72</v>
      </c>
      <c r="Q27" s="298">
        <f t="shared" si="84"/>
        <v>901.93333333333248</v>
      </c>
      <c r="R27" s="299">
        <f t="shared" si="85"/>
        <v>0.21360000000000001</v>
      </c>
      <c r="S27" s="298">
        <f t="shared" si="86"/>
        <v>192.65295999999984</v>
      </c>
      <c r="T27" s="300">
        <f t="shared" si="87"/>
        <v>1640.18</v>
      </c>
      <c r="U27" s="298">
        <f t="shared" si="88"/>
        <v>1832.83296</v>
      </c>
      <c r="V27" s="298">
        <f t="shared" si="89"/>
        <v>0</v>
      </c>
      <c r="W27" s="298">
        <f t="shared" si="90"/>
        <v>904.36</v>
      </c>
      <c r="X27" s="276">
        <f t="shared" si="91"/>
        <v>0</v>
      </c>
      <c r="Y27" s="276">
        <f t="shared" si="92"/>
        <v>904.36</v>
      </c>
      <c r="Z27" s="277">
        <v>0</v>
      </c>
      <c r="AA27" s="276">
        <f t="shared" si="93"/>
        <v>904.36</v>
      </c>
      <c r="AB27" s="276">
        <f t="shared" si="94"/>
        <v>7182.64</v>
      </c>
      <c r="AC27" s="333"/>
      <c r="AD27" s="334"/>
    </row>
    <row r="28" spans="1:30" s="377" customFormat="1" ht="201" customHeight="1" x14ac:dyDescent="0.2">
      <c r="A28" s="372"/>
      <c r="B28" s="283" t="s">
        <v>551</v>
      </c>
      <c r="C28" s="283" t="s">
        <v>114</v>
      </c>
      <c r="D28" s="378" t="s">
        <v>545</v>
      </c>
      <c r="E28" s="360" t="s">
        <v>546</v>
      </c>
      <c r="F28" s="278" t="s">
        <v>547</v>
      </c>
      <c r="G28" s="324">
        <v>45704</v>
      </c>
      <c r="H28" s="271" t="s">
        <v>79</v>
      </c>
      <c r="I28" s="272">
        <v>15</v>
      </c>
      <c r="J28" s="272">
        <f t="shared" si="79"/>
        <v>539.13333333333333</v>
      </c>
      <c r="K28" s="274">
        <v>8087</v>
      </c>
      <c r="L28" s="275">
        <v>0</v>
      </c>
      <c r="M28" s="276">
        <f t="shared" si="80"/>
        <v>8087</v>
      </c>
      <c r="N28" s="298">
        <f t="shared" si="81"/>
        <v>0</v>
      </c>
      <c r="O28" s="314">
        <f t="shared" si="82"/>
        <v>16389.653333333332</v>
      </c>
      <c r="P28" s="314">
        <f t="shared" si="83"/>
        <v>15487.72</v>
      </c>
      <c r="Q28" s="298">
        <f t="shared" si="84"/>
        <v>901.93333333333248</v>
      </c>
      <c r="R28" s="299">
        <f t="shared" si="85"/>
        <v>0.21360000000000001</v>
      </c>
      <c r="S28" s="298">
        <f t="shared" si="86"/>
        <v>192.65295999999984</v>
      </c>
      <c r="T28" s="300">
        <f t="shared" si="87"/>
        <v>1640.18</v>
      </c>
      <c r="U28" s="298">
        <f t="shared" si="88"/>
        <v>1832.83296</v>
      </c>
      <c r="V28" s="298">
        <f t="shared" si="89"/>
        <v>0</v>
      </c>
      <c r="W28" s="298">
        <f t="shared" si="90"/>
        <v>904.36</v>
      </c>
      <c r="X28" s="276">
        <f t="shared" si="91"/>
        <v>0</v>
      </c>
      <c r="Y28" s="276">
        <f t="shared" si="92"/>
        <v>904.36</v>
      </c>
      <c r="Z28" s="277">
        <v>0</v>
      </c>
      <c r="AA28" s="276">
        <f t="shared" si="93"/>
        <v>904.36</v>
      </c>
      <c r="AB28" s="276">
        <f t="shared" si="94"/>
        <v>7182.64</v>
      </c>
      <c r="AC28" s="333"/>
      <c r="AD28" s="334"/>
    </row>
    <row r="29" spans="1:30" s="377" customFormat="1" ht="201" customHeight="1" x14ac:dyDescent="0.2">
      <c r="A29" s="372"/>
      <c r="B29" s="283" t="s">
        <v>555</v>
      </c>
      <c r="C29" s="283" t="s">
        <v>114</v>
      </c>
      <c r="D29" s="378" t="s">
        <v>556</v>
      </c>
      <c r="E29" s="360" t="s">
        <v>553</v>
      </c>
      <c r="F29" s="278" t="s">
        <v>554</v>
      </c>
      <c r="G29" s="324">
        <v>45717</v>
      </c>
      <c r="H29" s="271" t="s">
        <v>79</v>
      </c>
      <c r="I29" s="272">
        <v>15</v>
      </c>
      <c r="J29" s="272">
        <f t="shared" si="79"/>
        <v>539.13333333333333</v>
      </c>
      <c r="K29" s="274">
        <v>8087</v>
      </c>
      <c r="L29" s="275">
        <v>0</v>
      </c>
      <c r="M29" s="276">
        <f t="shared" si="80"/>
        <v>8087</v>
      </c>
      <c r="N29" s="298">
        <f t="shared" si="81"/>
        <v>0</v>
      </c>
      <c r="O29" s="314">
        <f t="shared" si="82"/>
        <v>16389.653333333332</v>
      </c>
      <c r="P29" s="314">
        <f t="shared" si="83"/>
        <v>15487.72</v>
      </c>
      <c r="Q29" s="298">
        <f t="shared" si="84"/>
        <v>901.93333333333248</v>
      </c>
      <c r="R29" s="299">
        <f t="shared" si="85"/>
        <v>0.21360000000000001</v>
      </c>
      <c r="S29" s="298">
        <f t="shared" si="86"/>
        <v>192.65295999999984</v>
      </c>
      <c r="T29" s="300">
        <f t="shared" si="87"/>
        <v>1640.18</v>
      </c>
      <c r="U29" s="298">
        <f t="shared" si="88"/>
        <v>1832.83296</v>
      </c>
      <c r="V29" s="298">
        <f t="shared" si="89"/>
        <v>0</v>
      </c>
      <c r="W29" s="298">
        <f t="shared" si="90"/>
        <v>904.36</v>
      </c>
      <c r="X29" s="276">
        <f t="shared" si="91"/>
        <v>0</v>
      </c>
      <c r="Y29" s="276">
        <f t="shared" si="92"/>
        <v>904.36</v>
      </c>
      <c r="Z29" s="277">
        <v>0</v>
      </c>
      <c r="AA29" s="276">
        <f t="shared" si="93"/>
        <v>904.36</v>
      </c>
      <c r="AB29" s="276">
        <f t="shared" si="94"/>
        <v>7182.64</v>
      </c>
      <c r="AC29" s="333"/>
      <c r="AD29" s="334"/>
    </row>
    <row r="30" spans="1:30" s="377" customFormat="1" ht="32.25" customHeight="1" x14ac:dyDescent="0.25">
      <c r="A30" s="372"/>
      <c r="B30" s="496" t="s">
        <v>361</v>
      </c>
      <c r="C30" s="497"/>
      <c r="D30" s="497"/>
      <c r="E30" s="497"/>
      <c r="F30" s="497"/>
      <c r="G30" s="497"/>
      <c r="H30" s="497"/>
      <c r="I30" s="497"/>
      <c r="J30" s="497"/>
      <c r="K30" s="497"/>
      <c r="L30" s="497"/>
      <c r="M30" s="497"/>
      <c r="N30" s="497"/>
      <c r="O30" s="497"/>
      <c r="P30" s="497"/>
      <c r="Q30" s="497"/>
      <c r="R30" s="497"/>
      <c r="S30" s="497"/>
      <c r="T30" s="497"/>
      <c r="U30" s="497"/>
      <c r="V30" s="497"/>
      <c r="W30" s="497"/>
      <c r="X30" s="497"/>
      <c r="Y30" s="497"/>
      <c r="Z30" s="497"/>
      <c r="AA30" s="497"/>
      <c r="AB30" s="497"/>
      <c r="AC30" s="497"/>
      <c r="AD30" s="334"/>
    </row>
    <row r="31" spans="1:30" s="377" customFormat="1" ht="32.25" customHeight="1" x14ac:dyDescent="0.25">
      <c r="A31" s="372"/>
      <c r="B31" s="496" t="s">
        <v>362</v>
      </c>
      <c r="C31" s="497"/>
      <c r="D31" s="497"/>
      <c r="E31" s="497"/>
      <c r="F31" s="497"/>
      <c r="G31" s="497"/>
      <c r="H31" s="497"/>
      <c r="I31" s="497"/>
      <c r="J31" s="497"/>
      <c r="K31" s="497"/>
      <c r="L31" s="497"/>
      <c r="M31" s="497"/>
      <c r="N31" s="497"/>
      <c r="O31" s="497"/>
      <c r="P31" s="497"/>
      <c r="Q31" s="497"/>
      <c r="R31" s="497"/>
      <c r="S31" s="497"/>
      <c r="T31" s="497"/>
      <c r="U31" s="497"/>
      <c r="V31" s="497"/>
      <c r="W31" s="497"/>
      <c r="X31" s="497"/>
      <c r="Y31" s="497"/>
      <c r="Z31" s="497"/>
      <c r="AA31" s="497"/>
      <c r="AB31" s="497"/>
      <c r="AC31" s="497"/>
      <c r="AD31" s="334"/>
    </row>
    <row r="32" spans="1:30" s="429" customFormat="1" ht="32.25" customHeight="1" x14ac:dyDescent="0.2">
      <c r="A32" s="428"/>
      <c r="B32" s="503" t="str">
        <f>B20</f>
        <v>SUELDO  DEL 01 AL 15 DE DICIEMBRE DE 2025</v>
      </c>
      <c r="C32" s="503"/>
      <c r="D32" s="503"/>
      <c r="E32" s="503"/>
      <c r="F32" s="503"/>
      <c r="G32" s="503"/>
      <c r="H32" s="503"/>
      <c r="I32" s="503"/>
      <c r="J32" s="503"/>
      <c r="K32" s="503"/>
      <c r="L32" s="503"/>
      <c r="M32" s="503"/>
      <c r="N32" s="503"/>
      <c r="O32" s="503"/>
      <c r="P32" s="503"/>
      <c r="Q32" s="503"/>
      <c r="R32" s="503"/>
      <c r="S32" s="503"/>
      <c r="T32" s="503"/>
      <c r="U32" s="503"/>
      <c r="V32" s="503"/>
      <c r="W32" s="503"/>
      <c r="X32" s="503"/>
      <c r="Y32" s="503"/>
      <c r="Z32" s="503"/>
      <c r="AA32" s="503"/>
      <c r="AB32" s="503"/>
      <c r="AC32" s="503"/>
    </row>
    <row r="33" spans="1:30" s="429" customFormat="1" ht="32.25" customHeight="1" x14ac:dyDescent="0.2">
      <c r="A33" s="428"/>
      <c r="B33" s="430"/>
      <c r="C33" s="430"/>
      <c r="D33" s="430"/>
      <c r="E33" s="430"/>
      <c r="F33" s="430"/>
      <c r="G33" s="430"/>
      <c r="H33" s="430"/>
      <c r="I33" s="430"/>
      <c r="J33" s="430"/>
      <c r="K33" s="430"/>
      <c r="L33" s="430"/>
      <c r="M33" s="430"/>
      <c r="N33" s="430"/>
      <c r="O33" s="430"/>
      <c r="P33" s="430"/>
      <c r="Q33" s="430"/>
      <c r="R33" s="430"/>
      <c r="S33" s="430"/>
      <c r="T33" s="430"/>
      <c r="U33" s="430"/>
      <c r="V33" s="430"/>
      <c r="W33" s="430"/>
      <c r="X33" s="430"/>
      <c r="Y33" s="430"/>
      <c r="Z33" s="430"/>
      <c r="AA33" s="430"/>
      <c r="AB33" s="430"/>
      <c r="AC33" s="430"/>
    </row>
    <row r="34" spans="1:30" s="377" customFormat="1" ht="195" customHeight="1" x14ac:dyDescent="0.2">
      <c r="A34" s="372"/>
      <c r="B34" s="336" t="s">
        <v>622</v>
      </c>
      <c r="C34" s="336" t="s">
        <v>114</v>
      </c>
      <c r="D34" s="419" t="s">
        <v>623</v>
      </c>
      <c r="E34" s="420" t="s">
        <v>624</v>
      </c>
      <c r="F34" s="421" t="s">
        <v>625</v>
      </c>
      <c r="G34" s="422">
        <v>45884</v>
      </c>
      <c r="H34" s="340" t="s">
        <v>79</v>
      </c>
      <c r="I34" s="423">
        <v>15</v>
      </c>
      <c r="J34" s="423">
        <f t="shared" ref="J34" si="95">K34/I34</f>
        <v>539.13333333333333</v>
      </c>
      <c r="K34" s="341">
        <v>8087</v>
      </c>
      <c r="L34" s="342">
        <v>0</v>
      </c>
      <c r="M34" s="343">
        <f t="shared" ref="M34" si="96">SUM(K34:L34)</f>
        <v>8087</v>
      </c>
      <c r="N34" s="424">
        <f t="shared" ref="N34" si="97">IF(K34/15&lt;=SMG,0,L34/2)</f>
        <v>0</v>
      </c>
      <c r="O34" s="425">
        <f t="shared" ref="O34" si="98">(K34+N34)/I34*30.4</f>
        <v>16389.653333333332</v>
      </c>
      <c r="P34" s="425">
        <f t="shared" ref="P34" si="99">VLOOKUP(O34,Tarifa,1)</f>
        <v>15487.72</v>
      </c>
      <c r="Q34" s="424">
        <f t="shared" ref="Q34" si="100">O34-P34</f>
        <v>901.93333333333248</v>
      </c>
      <c r="R34" s="426">
        <f t="shared" ref="R34" si="101">VLOOKUP(O34,Tarifa,3)</f>
        <v>0.21360000000000001</v>
      </c>
      <c r="S34" s="424">
        <f t="shared" ref="S34" si="102">Q34*R34</f>
        <v>192.65295999999984</v>
      </c>
      <c r="T34" s="427">
        <f t="shared" ref="T34" si="103">VLOOKUP(O34,Tarifa,2)</f>
        <v>1640.18</v>
      </c>
      <c r="U34" s="424">
        <f t="shared" ref="U34" si="104">S34+T34</f>
        <v>1832.83296</v>
      </c>
      <c r="V34" s="424">
        <f t="shared" ref="V34" si="105">VLOOKUP(O34,Credito,2)</f>
        <v>0</v>
      </c>
      <c r="W34" s="424">
        <f t="shared" ref="W34" si="106">ROUND((U34-V34)/30.4*I34,2)</f>
        <v>904.36</v>
      </c>
      <c r="X34" s="343">
        <f t="shared" ref="X34" si="107">-IF(W34&gt;0,0,0)</f>
        <v>0</v>
      </c>
      <c r="Y34" s="343">
        <f t="shared" ref="Y34" si="108">IF(K34/15&lt;=SMG,0,IF(W34&lt;0,0,W34))</f>
        <v>904.36</v>
      </c>
      <c r="Z34" s="344">
        <v>0</v>
      </c>
      <c r="AA34" s="343">
        <f t="shared" ref="AA34" si="109">SUM(Y34:Z34)</f>
        <v>904.36</v>
      </c>
      <c r="AB34" s="343">
        <f t="shared" ref="AB34" si="110">M34+X34-AA34</f>
        <v>7182.64</v>
      </c>
      <c r="AC34" s="345"/>
      <c r="AD34" s="334"/>
    </row>
    <row r="35" spans="1:30" s="377" customFormat="1" ht="195" customHeight="1" x14ac:dyDescent="0.2">
      <c r="A35" s="372"/>
      <c r="B35" s="283" t="s">
        <v>630</v>
      </c>
      <c r="C35" s="283" t="s">
        <v>114</v>
      </c>
      <c r="D35" s="378" t="s">
        <v>640</v>
      </c>
      <c r="E35" s="360" t="s">
        <v>631</v>
      </c>
      <c r="F35" s="278" t="s">
        <v>632</v>
      </c>
      <c r="G35" s="324">
        <v>45884</v>
      </c>
      <c r="H35" s="271" t="s">
        <v>79</v>
      </c>
      <c r="I35" s="272">
        <v>15</v>
      </c>
      <c r="J35" s="272">
        <f t="shared" si="79"/>
        <v>539.13333333333333</v>
      </c>
      <c r="K35" s="274">
        <v>8087</v>
      </c>
      <c r="L35" s="275">
        <v>0</v>
      </c>
      <c r="M35" s="276">
        <f t="shared" si="80"/>
        <v>8087</v>
      </c>
      <c r="N35" s="298">
        <f t="shared" si="81"/>
        <v>0</v>
      </c>
      <c r="O35" s="314">
        <f t="shared" si="82"/>
        <v>16389.653333333332</v>
      </c>
      <c r="P35" s="314">
        <f t="shared" si="83"/>
        <v>15487.72</v>
      </c>
      <c r="Q35" s="298">
        <f t="shared" si="84"/>
        <v>901.93333333333248</v>
      </c>
      <c r="R35" s="299">
        <f t="shared" si="85"/>
        <v>0.21360000000000001</v>
      </c>
      <c r="S35" s="298">
        <f t="shared" si="86"/>
        <v>192.65295999999984</v>
      </c>
      <c r="T35" s="300">
        <f t="shared" si="87"/>
        <v>1640.18</v>
      </c>
      <c r="U35" s="298">
        <f t="shared" si="88"/>
        <v>1832.83296</v>
      </c>
      <c r="V35" s="298">
        <f t="shared" si="89"/>
        <v>0</v>
      </c>
      <c r="W35" s="298">
        <f t="shared" si="90"/>
        <v>904.36</v>
      </c>
      <c r="X35" s="276">
        <f t="shared" si="91"/>
        <v>0</v>
      </c>
      <c r="Y35" s="276">
        <f t="shared" si="92"/>
        <v>904.36</v>
      </c>
      <c r="Z35" s="277">
        <v>0</v>
      </c>
      <c r="AA35" s="276">
        <f t="shared" si="93"/>
        <v>904.36</v>
      </c>
      <c r="AB35" s="276">
        <f t="shared" si="94"/>
        <v>7182.64</v>
      </c>
      <c r="AC35" s="333"/>
      <c r="AD35" s="334"/>
    </row>
    <row r="36" spans="1:30" s="377" customFormat="1" ht="195" customHeight="1" x14ac:dyDescent="0.2">
      <c r="A36" s="372"/>
      <c r="B36" s="283" t="s">
        <v>642</v>
      </c>
      <c r="C36" s="283" t="s">
        <v>114</v>
      </c>
      <c r="D36" s="378" t="s">
        <v>643</v>
      </c>
      <c r="E36" s="360" t="s">
        <v>644</v>
      </c>
      <c r="F36" s="278" t="s">
        <v>645</v>
      </c>
      <c r="G36" s="324">
        <v>45901</v>
      </c>
      <c r="H36" s="271" t="s">
        <v>79</v>
      </c>
      <c r="I36" s="272">
        <v>15</v>
      </c>
      <c r="J36" s="272">
        <f t="shared" si="79"/>
        <v>539.13333333333333</v>
      </c>
      <c r="K36" s="274">
        <v>8087</v>
      </c>
      <c r="L36" s="275">
        <v>0</v>
      </c>
      <c r="M36" s="276">
        <f t="shared" si="80"/>
        <v>8087</v>
      </c>
      <c r="N36" s="298">
        <f t="shared" si="81"/>
        <v>0</v>
      </c>
      <c r="O36" s="314">
        <f t="shared" si="82"/>
        <v>16389.653333333332</v>
      </c>
      <c r="P36" s="314">
        <f t="shared" si="83"/>
        <v>15487.72</v>
      </c>
      <c r="Q36" s="298">
        <f t="shared" si="84"/>
        <v>901.93333333333248</v>
      </c>
      <c r="R36" s="299">
        <f t="shared" si="85"/>
        <v>0.21360000000000001</v>
      </c>
      <c r="S36" s="298">
        <f t="shared" si="86"/>
        <v>192.65295999999984</v>
      </c>
      <c r="T36" s="300">
        <f t="shared" si="87"/>
        <v>1640.18</v>
      </c>
      <c r="U36" s="298">
        <f t="shared" si="88"/>
        <v>1832.83296</v>
      </c>
      <c r="V36" s="298">
        <f t="shared" si="89"/>
        <v>0</v>
      </c>
      <c r="W36" s="298">
        <f t="shared" si="90"/>
        <v>904.36</v>
      </c>
      <c r="X36" s="276">
        <f t="shared" si="91"/>
        <v>0</v>
      </c>
      <c r="Y36" s="276">
        <f t="shared" si="92"/>
        <v>904.36</v>
      </c>
      <c r="Z36" s="277">
        <v>0</v>
      </c>
      <c r="AA36" s="276">
        <f t="shared" si="93"/>
        <v>904.36</v>
      </c>
      <c r="AB36" s="276">
        <f t="shared" si="94"/>
        <v>7182.64</v>
      </c>
      <c r="AC36" s="333"/>
      <c r="AD36" s="334"/>
    </row>
    <row r="37" spans="1:30" s="377" customFormat="1" ht="195" customHeight="1" x14ac:dyDescent="0.2">
      <c r="A37" s="372"/>
      <c r="B37" s="283" t="s">
        <v>646</v>
      </c>
      <c r="C37" s="283" t="s">
        <v>114</v>
      </c>
      <c r="D37" s="378" t="s">
        <v>647</v>
      </c>
      <c r="E37" s="360" t="s">
        <v>649</v>
      </c>
      <c r="F37" s="278" t="s">
        <v>648</v>
      </c>
      <c r="G37" s="324">
        <v>45916</v>
      </c>
      <c r="H37" s="271" t="s">
        <v>79</v>
      </c>
      <c r="I37" s="272">
        <v>15</v>
      </c>
      <c r="J37" s="272">
        <f t="shared" ref="J37" si="111">K37/I37</f>
        <v>539.13333333333333</v>
      </c>
      <c r="K37" s="274">
        <v>8087</v>
      </c>
      <c r="L37" s="275">
        <v>0</v>
      </c>
      <c r="M37" s="276">
        <f t="shared" ref="M37" si="112">SUM(K37:L37)</f>
        <v>8087</v>
      </c>
      <c r="N37" s="298">
        <f t="shared" ref="N37" si="113">IF(K37/15&lt;=SMG,0,L37/2)</f>
        <v>0</v>
      </c>
      <c r="O37" s="314">
        <f t="shared" ref="O37" si="114">(K37+N37)/I37*30.4</f>
        <v>16389.653333333332</v>
      </c>
      <c r="P37" s="314">
        <f t="shared" ref="P37" si="115">VLOOKUP(O37,Tarifa,1)</f>
        <v>15487.72</v>
      </c>
      <c r="Q37" s="298">
        <f t="shared" ref="Q37" si="116">O37-P37</f>
        <v>901.93333333333248</v>
      </c>
      <c r="R37" s="299">
        <f t="shared" ref="R37" si="117">VLOOKUP(O37,Tarifa,3)</f>
        <v>0.21360000000000001</v>
      </c>
      <c r="S37" s="298">
        <f t="shared" ref="S37" si="118">Q37*R37</f>
        <v>192.65295999999984</v>
      </c>
      <c r="T37" s="300">
        <f t="shared" ref="T37" si="119">VLOOKUP(O37,Tarifa,2)</f>
        <v>1640.18</v>
      </c>
      <c r="U37" s="298">
        <f t="shared" ref="U37" si="120">S37+T37</f>
        <v>1832.83296</v>
      </c>
      <c r="V37" s="298">
        <f t="shared" ref="V37" si="121">VLOOKUP(O37,Credito,2)</f>
        <v>0</v>
      </c>
      <c r="W37" s="298">
        <f t="shared" ref="W37" si="122">ROUND((U37-V37)/30.4*I37,2)</f>
        <v>904.36</v>
      </c>
      <c r="X37" s="276">
        <f t="shared" ref="X37" si="123">-IF(W37&gt;0,0,0)</f>
        <v>0</v>
      </c>
      <c r="Y37" s="276">
        <f t="shared" ref="Y37" si="124">IF(K37/15&lt;=SMG,0,IF(W37&lt;0,0,W37))</f>
        <v>904.36</v>
      </c>
      <c r="Z37" s="277">
        <v>0</v>
      </c>
      <c r="AA37" s="276">
        <f t="shared" ref="AA37" si="125">SUM(Y37:Z37)</f>
        <v>904.36</v>
      </c>
      <c r="AB37" s="276">
        <f t="shared" ref="AB37" si="126">M37+X37-AA37</f>
        <v>7182.64</v>
      </c>
      <c r="AC37" s="333"/>
      <c r="AD37" s="334"/>
    </row>
    <row r="38" spans="1:30" ht="29.25" customHeight="1" thickBot="1" x14ac:dyDescent="0.35">
      <c r="A38" s="441" t="s">
        <v>44</v>
      </c>
      <c r="B38" s="442"/>
      <c r="C38" s="442"/>
      <c r="D38" s="442"/>
      <c r="E38" s="442"/>
      <c r="F38" s="442"/>
      <c r="G38" s="442"/>
      <c r="H38" s="442"/>
      <c r="I38" s="442"/>
      <c r="J38" s="374"/>
      <c r="K38" s="208">
        <f>SUM(K9:K37)</f>
        <v>173294.94</v>
      </c>
      <c r="L38" s="208">
        <f>SUM(L9:L37)</f>
        <v>0</v>
      </c>
      <c r="M38" s="208">
        <f>SUM(M9:M37)</f>
        <v>173294.94</v>
      </c>
      <c r="N38" s="209">
        <f t="shared" ref="N38:W38" si="127">SUM(N9:N15)</f>
        <v>0</v>
      </c>
      <c r="O38" s="209">
        <f t="shared" si="127"/>
        <v>138145.58506666665</v>
      </c>
      <c r="P38" s="209">
        <f t="shared" si="127"/>
        <v>108414.04</v>
      </c>
      <c r="Q38" s="209">
        <f t="shared" si="127"/>
        <v>29731.545066666658</v>
      </c>
      <c r="R38" s="209">
        <f t="shared" si="127"/>
        <v>1.4952000000000001</v>
      </c>
      <c r="S38" s="209">
        <f t="shared" si="127"/>
        <v>6350.6580262399984</v>
      </c>
      <c r="T38" s="209">
        <f t="shared" si="127"/>
        <v>11481.26</v>
      </c>
      <c r="U38" s="209">
        <f t="shared" si="127"/>
        <v>17831.918026239997</v>
      </c>
      <c r="V38" s="209">
        <f t="shared" si="127"/>
        <v>0</v>
      </c>
      <c r="W38" s="209">
        <f t="shared" si="127"/>
        <v>8798.66</v>
      </c>
      <c r="X38" s="208">
        <f>SUM(X9:X37)</f>
        <v>0</v>
      </c>
      <c r="Y38" s="208">
        <f>SUM(Y9:Y37)</f>
        <v>20555.340000000007</v>
      </c>
      <c r="Z38" s="208">
        <f>SUM(Z9:Z37)</f>
        <v>0</v>
      </c>
      <c r="AA38" s="208">
        <f>SUM(AA9:AA37)</f>
        <v>20555.340000000007</v>
      </c>
      <c r="AB38" s="208">
        <f>SUM(AB9:AB37)</f>
        <v>152739.60000000003</v>
      </c>
      <c r="AC38" s="4"/>
      <c r="AD38" s="4"/>
    </row>
    <row r="39" spans="1:30" ht="13.5" thickTop="1" x14ac:dyDescent="0.2"/>
    <row r="56" spans="4:42" ht="6" customHeight="1" x14ac:dyDescent="0.2"/>
    <row r="58" spans="4:42" ht="18" x14ac:dyDescent="0.25">
      <c r="D58" s="213" t="s">
        <v>476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213" t="s">
        <v>149</v>
      </c>
      <c r="AA58" s="108"/>
      <c r="AB58" s="108"/>
      <c r="AC58" s="108"/>
    </row>
    <row r="59" spans="4:42" ht="18" x14ac:dyDescent="0.25">
      <c r="D59" s="213" t="s">
        <v>491</v>
      </c>
      <c r="E59" s="213"/>
      <c r="F59" s="213"/>
      <c r="G59" s="213"/>
      <c r="H59" s="213"/>
      <c r="I59" s="213"/>
      <c r="J59" s="213"/>
      <c r="K59" s="213"/>
      <c r="L59" s="213"/>
      <c r="M59" s="213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213" t="s">
        <v>214</v>
      </c>
      <c r="AA59" s="108"/>
      <c r="AB59" s="213"/>
      <c r="AC59" s="213"/>
      <c r="AD59" s="85"/>
      <c r="AE59" s="85"/>
      <c r="AF59" s="85"/>
      <c r="AG59" s="85"/>
      <c r="AH59" s="85"/>
      <c r="AI59" s="85"/>
      <c r="AJ59" s="85"/>
      <c r="AK59" s="85"/>
      <c r="AL59" s="85"/>
      <c r="AO59" s="85"/>
      <c r="AP59" s="85"/>
    </row>
    <row r="64" spans="4:42" x14ac:dyDescent="0.2">
      <c r="E64" s="4"/>
    </row>
  </sheetData>
  <mergeCells count="15">
    <mergeCell ref="B20:AC20"/>
    <mergeCell ref="A38:I38"/>
    <mergeCell ref="A1:AC1"/>
    <mergeCell ref="A2:AC2"/>
    <mergeCell ref="K5:M5"/>
    <mergeCell ref="P5:U5"/>
    <mergeCell ref="Y5:AA5"/>
    <mergeCell ref="B18:AC18"/>
    <mergeCell ref="B19:AC19"/>
    <mergeCell ref="B21:AC21"/>
    <mergeCell ref="B8:D8"/>
    <mergeCell ref="B3:AC3"/>
    <mergeCell ref="B30:AC30"/>
    <mergeCell ref="B31:AC31"/>
    <mergeCell ref="B32:AC32"/>
  </mergeCells>
  <pageMargins left="0.35433070866141736" right="0.15748031496062992" top="0.19685039370078741" bottom="7.874015748031496E-2" header="0.31496062992125984" footer="0.31496062992125984"/>
  <pageSetup scale="34" orientation="landscape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5"/>
  <sheetViews>
    <sheetView topLeftCell="B1" zoomScale="73" zoomScaleNormal="73" workbookViewId="0">
      <selection activeCell="M11" sqref="M11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6.140625" style="67" customWidth="1"/>
    <col min="5" max="5" width="24.28515625" style="67" customWidth="1"/>
    <col min="6" max="6" width="33.28515625" style="67" customWidth="1"/>
    <col min="7" max="7" width="16.140625" style="67" customWidth="1"/>
    <col min="8" max="8" width="19.5703125" style="67" customWidth="1"/>
    <col min="9" max="9" width="6.5703125" style="67" hidden="1" customWidth="1"/>
    <col min="10" max="10" width="10" style="67" hidden="1" customWidth="1"/>
    <col min="11" max="11" width="16.28515625" style="67" customWidth="1"/>
    <col min="12" max="12" width="16" style="67" customWidth="1"/>
    <col min="13" max="13" width="16.855468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7" style="67" customWidth="1"/>
    <col min="27" max="27" width="15" style="67" customWidth="1"/>
    <col min="28" max="28" width="19.7109375" style="67" customWidth="1"/>
    <col min="29" max="29" width="61.42578125" style="67" customWidth="1"/>
    <col min="30" max="16384" width="11.42578125" style="67"/>
  </cols>
  <sheetData>
    <row r="1" spans="1:29" ht="18" x14ac:dyDescent="0.25">
      <c r="A1" s="455" t="s">
        <v>76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</row>
    <row r="2" spans="1:29" ht="18" x14ac:dyDescent="0.25">
      <c r="A2" s="455" t="s">
        <v>64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</row>
    <row r="3" spans="1:29" ht="19.5" x14ac:dyDescent="0.25">
      <c r="A3" s="445" t="str">
        <f>CHOFERES!A3</f>
        <v>SUELDO  DEL 01 AL 15 DE DICIEMBRE DE 2025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445"/>
      <c r="T3" s="445"/>
      <c r="U3" s="445"/>
      <c r="V3" s="445"/>
      <c r="W3" s="445"/>
      <c r="X3" s="445"/>
      <c r="Y3" s="445"/>
      <c r="Z3" s="445"/>
      <c r="AA3" s="445"/>
      <c r="AB3" s="445"/>
      <c r="AC3" s="445"/>
    </row>
    <row r="4" spans="1:29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504" t="s">
        <v>1</v>
      </c>
      <c r="L5" s="505"/>
      <c r="M5" s="506"/>
      <c r="N5" s="70" t="s">
        <v>25</v>
      </c>
      <c r="O5" s="71"/>
      <c r="P5" s="507" t="s">
        <v>8</v>
      </c>
      <c r="Q5" s="508"/>
      <c r="R5" s="508"/>
      <c r="S5" s="508"/>
      <c r="T5" s="508"/>
      <c r="U5" s="509"/>
      <c r="V5" s="70" t="s">
        <v>29</v>
      </c>
      <c r="W5" s="70" t="s">
        <v>9</v>
      </c>
      <c r="X5" s="69" t="s">
        <v>52</v>
      </c>
      <c r="Y5" s="510" t="s">
        <v>2</v>
      </c>
      <c r="Z5" s="511"/>
      <c r="AA5" s="512"/>
      <c r="AB5" s="69" t="s">
        <v>0</v>
      </c>
      <c r="AC5" s="72"/>
    </row>
    <row r="6" spans="1:29" ht="22.5" x14ac:dyDescent="0.2">
      <c r="A6" s="73" t="s">
        <v>20</v>
      </c>
      <c r="B6" s="74" t="s">
        <v>95</v>
      </c>
      <c r="C6" s="74" t="s">
        <v>115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266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124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25">
      <c r="A8" s="81"/>
      <c r="B8" s="82"/>
      <c r="C8" s="82"/>
      <c r="D8" s="129" t="s">
        <v>131</v>
      </c>
      <c r="E8" s="36" t="s">
        <v>96</v>
      </c>
      <c r="F8" s="36" t="s">
        <v>220</v>
      </c>
      <c r="G8" s="98" t="s">
        <v>271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280" customFormat="1" ht="117" customHeight="1" x14ac:dyDescent="0.2">
      <c r="A9" s="265"/>
      <c r="B9" s="267" t="s">
        <v>522</v>
      </c>
      <c r="C9" s="267" t="s">
        <v>114</v>
      </c>
      <c r="D9" s="375" t="s">
        <v>518</v>
      </c>
      <c r="E9" s="360" t="s">
        <v>519</v>
      </c>
      <c r="F9" s="360" t="s">
        <v>520</v>
      </c>
      <c r="G9" s="380">
        <v>45658</v>
      </c>
      <c r="H9" s="379" t="s">
        <v>482</v>
      </c>
      <c r="I9" s="351">
        <v>15</v>
      </c>
      <c r="J9" s="351">
        <f t="shared" ref="J9:J16" si="0">K9/I9</f>
        <v>774.58933333333334</v>
      </c>
      <c r="K9" s="274">
        <v>11618.84</v>
      </c>
      <c r="L9" s="275">
        <v>0</v>
      </c>
      <c r="M9" s="276">
        <f t="shared" ref="M9:M10" si="1">SUM(K9:L9)</f>
        <v>11618.84</v>
      </c>
      <c r="N9" s="389">
        <f t="shared" ref="N9:N16" si="2">IF(K9/15&lt;=SMG,0,L9/2)</f>
        <v>0</v>
      </c>
      <c r="O9" s="389">
        <f t="shared" ref="O9:O16" si="3">(K9+N9)/I9*30.4</f>
        <v>23547.515733333334</v>
      </c>
      <c r="P9" s="389">
        <f t="shared" ref="P9:P16" si="4">VLOOKUP(O9,Tarifa,1)</f>
        <v>15487.72</v>
      </c>
      <c r="Q9" s="389">
        <f t="shared" ref="Q9:Q16" si="5">O9-P9</f>
        <v>8059.7957333333343</v>
      </c>
      <c r="R9" s="390">
        <f t="shared" ref="R9:R16" si="6">VLOOKUP(O9,Tarifa,3)</f>
        <v>0.21360000000000001</v>
      </c>
      <c r="S9" s="389">
        <f t="shared" ref="S9:S16" si="7">Q9*R9</f>
        <v>1721.5723686400004</v>
      </c>
      <c r="T9" s="391">
        <f t="shared" ref="T9:T16" si="8">VLOOKUP(O9,Tarifa,2)</f>
        <v>1640.18</v>
      </c>
      <c r="U9" s="389">
        <f t="shared" ref="U9:U16" si="9">S9+T9</f>
        <v>3361.7523686400004</v>
      </c>
      <c r="V9" s="389">
        <f t="shared" ref="V9:V16" si="10">VLOOKUP(O9,Credito,2)</f>
        <v>0</v>
      </c>
      <c r="W9" s="389">
        <f t="shared" ref="W9:W16" si="11">ROUND((U9-V9)/30.4*I9,2)</f>
        <v>1658.76</v>
      </c>
      <c r="X9" s="276">
        <f>-IF(W9&gt;0,0,0)</f>
        <v>0</v>
      </c>
      <c r="Y9" s="276">
        <f t="shared" ref="Y9:Y10" si="12">IF(K9/15&lt;=SMG,0,IF(W9&lt;0,0,W9))</f>
        <v>1658.76</v>
      </c>
      <c r="Z9" s="277">
        <v>0</v>
      </c>
      <c r="AA9" s="276">
        <f t="shared" ref="AA9:AA10" si="13">SUM(Y9:Z9)</f>
        <v>1658.76</v>
      </c>
      <c r="AB9" s="276">
        <f t="shared" ref="AB9:AB10" si="14">M9+X9-AA9</f>
        <v>9960.08</v>
      </c>
      <c r="AC9" s="278"/>
    </row>
    <row r="10" spans="1:29" s="280" customFormat="1" ht="117" customHeight="1" x14ac:dyDescent="0.2">
      <c r="A10" s="265"/>
      <c r="B10" s="267" t="s">
        <v>626</v>
      </c>
      <c r="C10" s="267" t="s">
        <v>114</v>
      </c>
      <c r="D10" s="375" t="s">
        <v>627</v>
      </c>
      <c r="E10" s="360" t="s">
        <v>628</v>
      </c>
      <c r="F10" s="360" t="s">
        <v>629</v>
      </c>
      <c r="G10" s="380">
        <v>45885</v>
      </c>
      <c r="H10" s="379" t="s">
        <v>482</v>
      </c>
      <c r="I10" s="351">
        <v>15</v>
      </c>
      <c r="J10" s="351">
        <f t="shared" ref="J10" si="15">K10/I10</f>
        <v>675.23333333333335</v>
      </c>
      <c r="K10" s="274">
        <v>10128.5</v>
      </c>
      <c r="L10" s="275">
        <v>0</v>
      </c>
      <c r="M10" s="276">
        <f t="shared" si="1"/>
        <v>10128.5</v>
      </c>
      <c r="N10" s="389">
        <f t="shared" ref="N10" si="16">IF(K10/15&lt;=SMG,0,L10/2)</f>
        <v>0</v>
      </c>
      <c r="O10" s="389">
        <f t="shared" ref="O10" si="17">(K10+N10)/I10*30.4</f>
        <v>20527.093333333334</v>
      </c>
      <c r="P10" s="389">
        <f t="shared" ref="P10" si="18">VLOOKUP(O10,Tarifa,1)</f>
        <v>15487.72</v>
      </c>
      <c r="Q10" s="389">
        <f t="shared" ref="Q10" si="19">O10-P10</f>
        <v>5039.3733333333348</v>
      </c>
      <c r="R10" s="390">
        <f t="shared" ref="R10" si="20">VLOOKUP(O10,Tarifa,3)</f>
        <v>0.21360000000000001</v>
      </c>
      <c r="S10" s="389">
        <f t="shared" ref="S10" si="21">Q10*R10</f>
        <v>1076.4101440000004</v>
      </c>
      <c r="T10" s="391">
        <f t="shared" ref="T10" si="22">VLOOKUP(O10,Tarifa,2)</f>
        <v>1640.18</v>
      </c>
      <c r="U10" s="389">
        <f t="shared" ref="U10" si="23">S10+T10</f>
        <v>2716.5901440000007</v>
      </c>
      <c r="V10" s="389">
        <f t="shared" ref="V10" si="24">VLOOKUP(O10,Credito,2)</f>
        <v>0</v>
      </c>
      <c r="W10" s="389">
        <f t="shared" ref="W10" si="25">ROUND((U10-V10)/30.4*I10,2)</f>
        <v>1340.42</v>
      </c>
      <c r="X10" s="276">
        <f>-IF(W10&gt;0,0,0)</f>
        <v>0</v>
      </c>
      <c r="Y10" s="276">
        <f t="shared" si="12"/>
        <v>1340.42</v>
      </c>
      <c r="Z10" s="277">
        <v>3125.57</v>
      </c>
      <c r="AA10" s="276">
        <f t="shared" si="13"/>
        <v>4465.99</v>
      </c>
      <c r="AB10" s="276">
        <f t="shared" si="14"/>
        <v>5662.51</v>
      </c>
      <c r="AC10" s="278"/>
    </row>
    <row r="11" spans="1:29" s="280" customFormat="1" ht="117" customHeight="1" x14ac:dyDescent="0.2">
      <c r="A11" s="265"/>
      <c r="B11" s="267" t="s">
        <v>186</v>
      </c>
      <c r="C11" s="267" t="s">
        <v>114</v>
      </c>
      <c r="D11" s="375" t="s">
        <v>184</v>
      </c>
      <c r="E11" s="360" t="s">
        <v>185</v>
      </c>
      <c r="F11" s="360" t="s">
        <v>245</v>
      </c>
      <c r="G11" s="380">
        <v>43998</v>
      </c>
      <c r="H11" s="269" t="s">
        <v>129</v>
      </c>
      <c r="I11" s="351">
        <v>15</v>
      </c>
      <c r="J11" s="351">
        <f t="shared" si="0"/>
        <v>407.9</v>
      </c>
      <c r="K11" s="274">
        <v>6118.5</v>
      </c>
      <c r="L11" s="275">
        <v>0</v>
      </c>
      <c r="M11" s="276">
        <f t="shared" ref="M11" si="26">SUM(K11:L11)</f>
        <v>6118.5</v>
      </c>
      <c r="N11" s="389">
        <f t="shared" si="2"/>
        <v>0</v>
      </c>
      <c r="O11" s="389">
        <f t="shared" si="3"/>
        <v>12400.159999999998</v>
      </c>
      <c r="P11" s="389">
        <f t="shared" si="4"/>
        <v>11128.02</v>
      </c>
      <c r="Q11" s="389">
        <f t="shared" si="5"/>
        <v>1272.1399999999976</v>
      </c>
      <c r="R11" s="390">
        <f t="shared" si="6"/>
        <v>0.16</v>
      </c>
      <c r="S11" s="389">
        <f t="shared" si="7"/>
        <v>203.54239999999962</v>
      </c>
      <c r="T11" s="391">
        <f t="shared" si="8"/>
        <v>893.63</v>
      </c>
      <c r="U11" s="389">
        <f t="shared" si="9"/>
        <v>1097.1723999999997</v>
      </c>
      <c r="V11" s="389">
        <f t="shared" si="10"/>
        <v>0</v>
      </c>
      <c r="W11" s="389">
        <f t="shared" si="11"/>
        <v>541.37</v>
      </c>
      <c r="X11" s="276">
        <f t="shared" ref="X11" si="27">-IF(W11&gt;0,0,0)</f>
        <v>0</v>
      </c>
      <c r="Y11" s="276">
        <f t="shared" ref="Y11" si="28">IF(K11/15&lt;=SMG,0,IF(W11&lt;0,0,W11))</f>
        <v>541.37</v>
      </c>
      <c r="Z11" s="277">
        <v>0</v>
      </c>
      <c r="AA11" s="276">
        <f t="shared" ref="AA11" si="29">SUM(Y11:Z11)</f>
        <v>541.37</v>
      </c>
      <c r="AB11" s="276">
        <f t="shared" ref="AB11" si="30">M11+X11-AA11</f>
        <v>5577.13</v>
      </c>
      <c r="AC11" s="288"/>
    </row>
    <row r="12" spans="1:29" s="280" customFormat="1" ht="117" customHeight="1" x14ac:dyDescent="0.2">
      <c r="A12" s="265"/>
      <c r="B12" s="267" t="s">
        <v>380</v>
      </c>
      <c r="C12" s="267" t="s">
        <v>114</v>
      </c>
      <c r="D12" s="375" t="s">
        <v>381</v>
      </c>
      <c r="E12" s="360" t="s">
        <v>382</v>
      </c>
      <c r="F12" s="360" t="s">
        <v>383</v>
      </c>
      <c r="G12" s="380">
        <v>45481</v>
      </c>
      <c r="H12" s="269" t="s">
        <v>129</v>
      </c>
      <c r="I12" s="351">
        <v>15</v>
      </c>
      <c r="J12" s="351">
        <f t="shared" si="0"/>
        <v>407.9</v>
      </c>
      <c r="K12" s="274">
        <v>6118.5</v>
      </c>
      <c r="L12" s="275">
        <v>0</v>
      </c>
      <c r="M12" s="276">
        <f t="shared" ref="M12:M14" si="31">SUM(K12:L12)</f>
        <v>6118.5</v>
      </c>
      <c r="N12" s="389">
        <f t="shared" si="2"/>
        <v>0</v>
      </c>
      <c r="O12" s="389">
        <f t="shared" si="3"/>
        <v>12400.159999999998</v>
      </c>
      <c r="P12" s="389">
        <f t="shared" si="4"/>
        <v>11128.02</v>
      </c>
      <c r="Q12" s="389">
        <f t="shared" si="5"/>
        <v>1272.1399999999976</v>
      </c>
      <c r="R12" s="390">
        <f t="shared" si="6"/>
        <v>0.16</v>
      </c>
      <c r="S12" s="389">
        <f t="shared" si="7"/>
        <v>203.54239999999962</v>
      </c>
      <c r="T12" s="391">
        <f t="shared" si="8"/>
        <v>893.63</v>
      </c>
      <c r="U12" s="389">
        <f t="shared" si="9"/>
        <v>1097.1723999999997</v>
      </c>
      <c r="V12" s="389">
        <f t="shared" si="10"/>
        <v>0</v>
      </c>
      <c r="W12" s="389">
        <f t="shared" si="11"/>
        <v>541.37</v>
      </c>
      <c r="X12" s="276">
        <f t="shared" ref="X12:X14" si="32">-IF(W12&gt;0,0,0)</f>
        <v>0</v>
      </c>
      <c r="Y12" s="276">
        <f t="shared" ref="Y12:Y14" si="33">IF(K12/15&lt;=SMG,0,IF(W12&lt;0,0,W12))</f>
        <v>541.37</v>
      </c>
      <c r="Z12" s="277">
        <v>0</v>
      </c>
      <c r="AA12" s="276">
        <f t="shared" ref="AA12:AA14" si="34">SUM(Y12:Z12)</f>
        <v>541.37</v>
      </c>
      <c r="AB12" s="276">
        <f t="shared" ref="AB12:AB14" si="35">M12+X12-AA12</f>
        <v>5577.13</v>
      </c>
      <c r="AC12" s="288"/>
    </row>
    <row r="13" spans="1:29" s="280" customFormat="1" ht="117" customHeight="1" x14ac:dyDescent="0.2">
      <c r="A13" s="265"/>
      <c r="B13" s="267" t="s">
        <v>607</v>
      </c>
      <c r="C13" s="267" t="s">
        <v>114</v>
      </c>
      <c r="D13" s="375" t="s">
        <v>608</v>
      </c>
      <c r="E13" s="360" t="s">
        <v>609</v>
      </c>
      <c r="F13" s="360" t="s">
        <v>610</v>
      </c>
      <c r="G13" s="380">
        <v>45854</v>
      </c>
      <c r="H13" s="269" t="s">
        <v>129</v>
      </c>
      <c r="I13" s="351">
        <v>15</v>
      </c>
      <c r="J13" s="351">
        <f t="shared" ref="J13" si="36">K13/I13</f>
        <v>407.9</v>
      </c>
      <c r="K13" s="274">
        <v>6118.5</v>
      </c>
      <c r="L13" s="275">
        <v>0</v>
      </c>
      <c r="M13" s="276">
        <f t="shared" ref="M13" si="37">SUM(K13:L13)</f>
        <v>6118.5</v>
      </c>
      <c r="N13" s="389">
        <f t="shared" ref="N13" si="38">IF(K13/15&lt;=SMG,0,L13/2)</f>
        <v>0</v>
      </c>
      <c r="O13" s="389">
        <f t="shared" ref="O13" si="39">(K13+N13)/I13*30.4</f>
        <v>12400.159999999998</v>
      </c>
      <c r="P13" s="389">
        <f t="shared" ref="P13" si="40">VLOOKUP(O13,Tarifa,1)</f>
        <v>11128.02</v>
      </c>
      <c r="Q13" s="389">
        <f t="shared" ref="Q13" si="41">O13-P13</f>
        <v>1272.1399999999976</v>
      </c>
      <c r="R13" s="390">
        <f t="shared" ref="R13" si="42">VLOOKUP(O13,Tarifa,3)</f>
        <v>0.16</v>
      </c>
      <c r="S13" s="389">
        <f t="shared" ref="S13" si="43">Q13*R13</f>
        <v>203.54239999999962</v>
      </c>
      <c r="T13" s="391">
        <f t="shared" ref="T13" si="44">VLOOKUP(O13,Tarifa,2)</f>
        <v>893.63</v>
      </c>
      <c r="U13" s="389">
        <f t="shared" ref="U13" si="45">S13+T13</f>
        <v>1097.1723999999997</v>
      </c>
      <c r="V13" s="389">
        <f t="shared" ref="V13" si="46">VLOOKUP(O13,Credito,2)</f>
        <v>0</v>
      </c>
      <c r="W13" s="389">
        <f t="shared" ref="W13" si="47">ROUND((U13-V13)/30.4*I13,2)</f>
        <v>541.37</v>
      </c>
      <c r="X13" s="276">
        <f t="shared" ref="X13" si="48">-IF(W13&gt;0,0,0)</f>
        <v>0</v>
      </c>
      <c r="Y13" s="276">
        <f t="shared" ref="Y13" si="49">IF(K13/15&lt;=SMG,0,IF(W13&lt;0,0,W13))</f>
        <v>541.37</v>
      </c>
      <c r="Z13" s="277">
        <v>0</v>
      </c>
      <c r="AA13" s="276">
        <f t="shared" ref="AA13" si="50">SUM(Y13:Z13)</f>
        <v>541.37</v>
      </c>
      <c r="AB13" s="276">
        <f t="shared" ref="AB13" si="51">M13+X13-AA13</f>
        <v>5577.13</v>
      </c>
      <c r="AC13" s="288"/>
    </row>
    <row r="14" spans="1:29" s="280" customFormat="1" ht="117" customHeight="1" x14ac:dyDescent="0.2">
      <c r="A14" s="265"/>
      <c r="B14" s="267" t="s">
        <v>132</v>
      </c>
      <c r="C14" s="267" t="s">
        <v>114</v>
      </c>
      <c r="D14" s="375" t="s">
        <v>128</v>
      </c>
      <c r="E14" s="360" t="s">
        <v>133</v>
      </c>
      <c r="F14" s="360" t="s">
        <v>230</v>
      </c>
      <c r="G14" s="380">
        <v>43101</v>
      </c>
      <c r="H14" s="286" t="s">
        <v>130</v>
      </c>
      <c r="I14" s="351">
        <v>15</v>
      </c>
      <c r="J14" s="351">
        <f t="shared" si="0"/>
        <v>366.73333333333335</v>
      </c>
      <c r="K14" s="274">
        <v>5501</v>
      </c>
      <c r="L14" s="275">
        <v>0</v>
      </c>
      <c r="M14" s="276">
        <f t="shared" si="31"/>
        <v>5501</v>
      </c>
      <c r="N14" s="389">
        <f t="shared" si="2"/>
        <v>0</v>
      </c>
      <c r="O14" s="389">
        <f t="shared" si="3"/>
        <v>11148.693333333333</v>
      </c>
      <c r="P14" s="389">
        <f t="shared" si="4"/>
        <v>11128.02</v>
      </c>
      <c r="Q14" s="389">
        <f t="shared" si="5"/>
        <v>20.673333333332266</v>
      </c>
      <c r="R14" s="390">
        <f t="shared" si="6"/>
        <v>0.16</v>
      </c>
      <c r="S14" s="389">
        <f t="shared" si="7"/>
        <v>3.3077333333331627</v>
      </c>
      <c r="T14" s="391">
        <f t="shared" si="8"/>
        <v>893.63</v>
      </c>
      <c r="U14" s="389">
        <f t="shared" si="9"/>
        <v>896.9377333333332</v>
      </c>
      <c r="V14" s="389">
        <f t="shared" si="10"/>
        <v>0</v>
      </c>
      <c r="W14" s="389">
        <f t="shared" si="11"/>
        <v>442.57</v>
      </c>
      <c r="X14" s="276">
        <f t="shared" si="32"/>
        <v>0</v>
      </c>
      <c r="Y14" s="276">
        <f t="shared" si="33"/>
        <v>442.57</v>
      </c>
      <c r="Z14" s="277">
        <v>0</v>
      </c>
      <c r="AA14" s="276">
        <f t="shared" si="34"/>
        <v>442.57</v>
      </c>
      <c r="AB14" s="276">
        <f t="shared" si="35"/>
        <v>5058.43</v>
      </c>
      <c r="AC14" s="288"/>
    </row>
    <row r="15" spans="1:29" s="280" customFormat="1" ht="117" customHeight="1" x14ac:dyDescent="0.2">
      <c r="A15" s="265"/>
      <c r="B15" s="381">
        <v>328</v>
      </c>
      <c r="C15" s="267" t="s">
        <v>114</v>
      </c>
      <c r="D15" s="262" t="s">
        <v>384</v>
      </c>
      <c r="E15" s="145" t="s">
        <v>385</v>
      </c>
      <c r="F15" s="145" t="s">
        <v>386</v>
      </c>
      <c r="G15" s="380">
        <v>45505</v>
      </c>
      <c r="H15" s="286" t="s">
        <v>130</v>
      </c>
      <c r="I15" s="351">
        <v>15</v>
      </c>
      <c r="J15" s="351">
        <f t="shared" si="0"/>
        <v>366.73333333333335</v>
      </c>
      <c r="K15" s="274">
        <v>5501</v>
      </c>
      <c r="L15" s="275">
        <v>0</v>
      </c>
      <c r="M15" s="276">
        <f t="shared" ref="M15" si="52">SUM(K15:L15)</f>
        <v>5501</v>
      </c>
      <c r="N15" s="389">
        <f t="shared" si="2"/>
        <v>0</v>
      </c>
      <c r="O15" s="389">
        <f t="shared" si="3"/>
        <v>11148.693333333333</v>
      </c>
      <c r="P15" s="389">
        <f t="shared" si="4"/>
        <v>11128.02</v>
      </c>
      <c r="Q15" s="389">
        <f t="shared" si="5"/>
        <v>20.673333333332266</v>
      </c>
      <c r="R15" s="390">
        <f t="shared" si="6"/>
        <v>0.16</v>
      </c>
      <c r="S15" s="389">
        <f t="shared" si="7"/>
        <v>3.3077333333331627</v>
      </c>
      <c r="T15" s="391">
        <f t="shared" si="8"/>
        <v>893.63</v>
      </c>
      <c r="U15" s="389">
        <f t="shared" si="9"/>
        <v>896.9377333333332</v>
      </c>
      <c r="V15" s="389">
        <f t="shared" si="10"/>
        <v>0</v>
      </c>
      <c r="W15" s="389">
        <f t="shared" si="11"/>
        <v>442.57</v>
      </c>
      <c r="X15" s="276">
        <f t="shared" ref="X15" si="53">-IF(W15&gt;0,0,0)</f>
        <v>0</v>
      </c>
      <c r="Y15" s="276">
        <f t="shared" ref="Y15:Y16" si="54">IF(K15/15&lt;=SMG,0,IF(W15&lt;0,0,W15))</f>
        <v>442.57</v>
      </c>
      <c r="Z15" s="277">
        <v>0</v>
      </c>
      <c r="AA15" s="276">
        <f t="shared" ref="AA15" si="55">SUM(Y15:Z15)</f>
        <v>442.57</v>
      </c>
      <c r="AB15" s="276">
        <f t="shared" ref="AB15" si="56">M15+X15-AA15</f>
        <v>5058.43</v>
      </c>
      <c r="AC15" s="288"/>
    </row>
    <row r="16" spans="1:29" s="280" customFormat="1" ht="117" customHeight="1" x14ac:dyDescent="0.2">
      <c r="A16" s="265"/>
      <c r="B16" s="381">
        <v>406</v>
      </c>
      <c r="C16" s="267" t="s">
        <v>474</v>
      </c>
      <c r="D16" s="262" t="s">
        <v>531</v>
      </c>
      <c r="E16" s="145" t="s">
        <v>532</v>
      </c>
      <c r="F16" s="145" t="s">
        <v>533</v>
      </c>
      <c r="G16" s="380">
        <v>45689</v>
      </c>
      <c r="H16" s="286" t="s">
        <v>534</v>
      </c>
      <c r="I16" s="351">
        <v>15</v>
      </c>
      <c r="J16" s="351">
        <f t="shared" si="0"/>
        <v>272.93333333333334</v>
      </c>
      <c r="K16" s="274">
        <v>4094</v>
      </c>
      <c r="L16" s="275">
        <v>0</v>
      </c>
      <c r="M16" s="276">
        <f>SUM(K16:L16)</f>
        <v>4094</v>
      </c>
      <c r="N16" s="389">
        <f t="shared" si="2"/>
        <v>0</v>
      </c>
      <c r="O16" s="389">
        <f t="shared" si="3"/>
        <v>8297.1733333333323</v>
      </c>
      <c r="P16" s="389">
        <f t="shared" si="4"/>
        <v>6332.06</v>
      </c>
      <c r="Q16" s="389">
        <f t="shared" si="5"/>
        <v>1965.1133333333319</v>
      </c>
      <c r="R16" s="390">
        <f t="shared" si="6"/>
        <v>0.10879999999999999</v>
      </c>
      <c r="S16" s="389">
        <f t="shared" si="7"/>
        <v>213.80433066666649</v>
      </c>
      <c r="T16" s="391">
        <f t="shared" si="8"/>
        <v>371.83</v>
      </c>
      <c r="U16" s="389">
        <f t="shared" si="9"/>
        <v>585.63433066666653</v>
      </c>
      <c r="V16" s="389">
        <f t="shared" si="10"/>
        <v>475</v>
      </c>
      <c r="W16" s="389">
        <f t="shared" si="11"/>
        <v>54.59</v>
      </c>
      <c r="X16" s="276">
        <f>-IF(W16&gt;0,0,0)</f>
        <v>0</v>
      </c>
      <c r="Y16" s="276">
        <f t="shared" si="54"/>
        <v>0</v>
      </c>
      <c r="Z16" s="277">
        <v>0</v>
      </c>
      <c r="AA16" s="276">
        <f>SUM(Y16:Z16)</f>
        <v>0</v>
      </c>
      <c r="AB16" s="276">
        <f>M16+X16-AA16</f>
        <v>4094</v>
      </c>
      <c r="AC16" s="288"/>
    </row>
    <row r="17" spans="1:41" ht="40.5" customHeight="1" thickBot="1" x14ac:dyDescent="0.3">
      <c r="A17" s="441" t="s">
        <v>44</v>
      </c>
      <c r="B17" s="442"/>
      <c r="C17" s="442"/>
      <c r="D17" s="442"/>
      <c r="E17" s="442"/>
      <c r="F17" s="442"/>
      <c r="G17" s="442"/>
      <c r="H17" s="442"/>
      <c r="I17" s="442"/>
      <c r="J17" s="443"/>
      <c r="K17" s="136">
        <f>SUM(K9:K16)</f>
        <v>55198.84</v>
      </c>
      <c r="L17" s="136">
        <f>SUM(L9:L16)</f>
        <v>0</v>
      </c>
      <c r="M17" s="136">
        <f>SUM(M9:M16)</f>
        <v>55198.84</v>
      </c>
      <c r="N17" s="137">
        <f t="shared" ref="N17:W17" si="57">SUM(N9:N16)</f>
        <v>0</v>
      </c>
      <c r="O17" s="137">
        <f t="shared" si="57"/>
        <v>111869.64906666667</v>
      </c>
      <c r="P17" s="137">
        <f t="shared" si="57"/>
        <v>92947.6</v>
      </c>
      <c r="Q17" s="137">
        <f t="shared" si="57"/>
        <v>18922.049066666656</v>
      </c>
      <c r="R17" s="137">
        <f t="shared" si="57"/>
        <v>1.3360000000000001</v>
      </c>
      <c r="S17" s="137">
        <f t="shared" si="57"/>
        <v>3629.029509973333</v>
      </c>
      <c r="T17" s="137">
        <f t="shared" si="57"/>
        <v>8120.34</v>
      </c>
      <c r="U17" s="137">
        <f t="shared" si="57"/>
        <v>11749.369509973332</v>
      </c>
      <c r="V17" s="137">
        <f t="shared" si="57"/>
        <v>475</v>
      </c>
      <c r="W17" s="137">
        <f t="shared" si="57"/>
        <v>5563.0199999999995</v>
      </c>
      <c r="X17" s="136">
        <f>SUM(X9:X16)</f>
        <v>0</v>
      </c>
      <c r="Y17" s="136">
        <f>SUM(Y9:Y16)</f>
        <v>5508.4299999999994</v>
      </c>
      <c r="Z17" s="136">
        <f>SUM(Z9:Z16)</f>
        <v>3125.57</v>
      </c>
      <c r="AA17" s="136">
        <f>SUM(AA9:AA16)</f>
        <v>8634</v>
      </c>
      <c r="AB17" s="136">
        <f>SUM(AB9:AB16)</f>
        <v>46564.840000000004</v>
      </c>
    </row>
    <row r="18" spans="1:41" ht="18.75" thickTop="1" x14ac:dyDescent="0.2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</row>
    <row r="19" spans="1:41" ht="18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8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8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spans="1:41" ht="18" x14ac:dyDescent="0.2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</row>
    <row r="23" spans="1:41" ht="15" x14ac:dyDescent="0.25">
      <c r="D23" s="94" t="s">
        <v>476</v>
      </c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4" t="s">
        <v>149</v>
      </c>
      <c r="Z23" s="91"/>
      <c r="AA23" s="91"/>
      <c r="AB23" s="91"/>
    </row>
    <row r="24" spans="1:41" ht="15" x14ac:dyDescent="0.25">
      <c r="D24" s="94" t="s">
        <v>491</v>
      </c>
      <c r="E24" s="94"/>
      <c r="F24" s="94"/>
      <c r="G24" s="94"/>
      <c r="H24" s="94"/>
      <c r="I24" s="94"/>
      <c r="J24" s="94"/>
      <c r="K24" s="94"/>
      <c r="L24" s="94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4" t="s">
        <v>213</v>
      </c>
      <c r="Z24" s="91"/>
      <c r="AA24" s="94"/>
      <c r="AB24" s="94"/>
      <c r="AC24" s="85"/>
      <c r="AD24" s="85"/>
      <c r="AE24" s="85"/>
      <c r="AF24" s="85"/>
      <c r="AG24" s="85"/>
      <c r="AH24" s="85"/>
      <c r="AI24" s="85"/>
      <c r="AJ24" s="85"/>
      <c r="AK24" s="85"/>
      <c r="AN24" s="85"/>
      <c r="AO24" s="85"/>
    </row>
    <row r="25" spans="1:41" ht="14.25" x14ac:dyDescent="0.2"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</sheetData>
  <mergeCells count="7">
    <mergeCell ref="A17:J17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5:F16" xr:uid="{00000000-0002-0000-0B00-000000000000}"/>
  </dataValidations>
  <pageMargins left="0.27559055118110237" right="0.27559055118110237" top="0.55118110236220474" bottom="0.15748031496062992" header="0.31496062992125984" footer="0.31496062992125984"/>
  <pageSetup scale="41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3"/>
  <sheetViews>
    <sheetView topLeftCell="B1" zoomScale="70" zoomScaleNormal="70" workbookViewId="0">
      <pane ySplit="1" topLeftCell="A12" activePane="bottomLeft" state="frozen"/>
      <selection activeCell="B1" sqref="B1"/>
      <selection pane="bottomLeft" activeCell="D15" sqref="D15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6.42578125" hidden="1" customWidth="1"/>
    <col min="10" max="10" width="10" hidden="1" customWidth="1"/>
    <col min="11" max="11" width="13.42578125" customWidth="1"/>
    <col min="12" max="12" width="10.28515625" customWidth="1"/>
    <col min="13" max="13" width="14.42578125" bestFit="1" customWidth="1"/>
    <col min="14" max="14" width="11.7109375" hidden="1" customWidth="1"/>
    <col min="15" max="17" width="14.42578125" hidden="1" customWidth="1"/>
    <col min="18" max="18" width="13.42578125" hidden="1" customWidth="1"/>
    <col min="19" max="20" width="12.85546875" hidden="1" customWidth="1"/>
    <col min="21" max="21" width="14.42578125" hidden="1" customWidth="1"/>
    <col min="22" max="22" width="11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1.85546875" customWidth="1"/>
  </cols>
  <sheetData>
    <row r="1" spans="1:29" ht="19.5" x14ac:dyDescent="0.25">
      <c r="A1" s="444" t="s">
        <v>76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</row>
    <row r="2" spans="1:29" ht="19.5" x14ac:dyDescent="0.25">
      <c r="A2" s="444" t="s">
        <v>64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  <c r="V2" s="444"/>
      <c r="W2" s="444"/>
      <c r="X2" s="444"/>
      <c r="Y2" s="444"/>
      <c r="Z2" s="444"/>
      <c r="AA2" s="444"/>
      <c r="AB2" s="444"/>
      <c r="AC2" s="444"/>
    </row>
    <row r="3" spans="1:29" ht="19.5" x14ac:dyDescent="0.25">
      <c r="A3" s="445" t="s">
        <v>658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445"/>
      <c r="T3" s="445"/>
      <c r="U3" s="445"/>
      <c r="V3" s="445"/>
      <c r="W3" s="445"/>
      <c r="X3" s="445"/>
      <c r="Y3" s="445"/>
      <c r="Z3" s="445"/>
      <c r="AA3" s="445"/>
      <c r="AB3" s="445"/>
      <c r="AC3" s="445"/>
    </row>
    <row r="4" spans="1:29" ht="12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89"/>
      <c r="I5" s="115" t="s">
        <v>22</v>
      </c>
      <c r="J5" s="192" t="s">
        <v>5</v>
      </c>
      <c r="K5" s="446" t="s">
        <v>1</v>
      </c>
      <c r="L5" s="447"/>
      <c r="M5" s="448"/>
      <c r="N5" s="116" t="s">
        <v>25</v>
      </c>
      <c r="O5" s="117"/>
      <c r="P5" s="449" t="s">
        <v>8</v>
      </c>
      <c r="Q5" s="450"/>
      <c r="R5" s="450"/>
      <c r="S5" s="450"/>
      <c r="T5" s="450"/>
      <c r="U5" s="451"/>
      <c r="V5" s="116" t="s">
        <v>52</v>
      </c>
      <c r="W5" s="116" t="s">
        <v>9</v>
      </c>
      <c r="X5" s="115" t="s">
        <v>52</v>
      </c>
      <c r="Y5" s="452" t="s">
        <v>2</v>
      </c>
      <c r="Z5" s="453"/>
      <c r="AA5" s="454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95</v>
      </c>
      <c r="C6" s="118" t="s">
        <v>120</v>
      </c>
      <c r="D6" s="119" t="s">
        <v>21</v>
      </c>
      <c r="E6" s="119" t="s">
        <v>96</v>
      </c>
      <c r="F6" s="119" t="s">
        <v>220</v>
      </c>
      <c r="G6" s="118" t="s">
        <v>272</v>
      </c>
      <c r="H6" s="190" t="s">
        <v>61</v>
      </c>
      <c r="I6" s="195" t="s">
        <v>23</v>
      </c>
      <c r="J6" s="19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266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91"/>
      <c r="I7" s="122"/>
      <c r="J7" s="194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196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60"/>
      <c r="B8" s="382" t="s">
        <v>95</v>
      </c>
      <c r="C8" s="382" t="s">
        <v>120</v>
      </c>
      <c r="D8" s="164" t="s">
        <v>62</v>
      </c>
      <c r="E8" s="160" t="s">
        <v>96</v>
      </c>
      <c r="F8" s="160" t="s">
        <v>220</v>
      </c>
      <c r="G8" s="382" t="s">
        <v>272</v>
      </c>
      <c r="H8" s="160" t="s">
        <v>61</v>
      </c>
      <c r="I8" s="160"/>
      <c r="J8" s="160"/>
      <c r="K8" s="165">
        <f>SUM(K9:K11)</f>
        <v>50268.5</v>
      </c>
      <c r="L8" s="165">
        <f>SUM(L9:L11)</f>
        <v>0</v>
      </c>
      <c r="M8" s="165">
        <f>SUM(M9:M11)</f>
        <v>50268.5</v>
      </c>
      <c r="N8" s="160"/>
      <c r="O8" s="160"/>
      <c r="P8" s="160"/>
      <c r="Q8" s="160"/>
      <c r="R8" s="160"/>
      <c r="S8" s="160"/>
      <c r="T8" s="160"/>
      <c r="U8" s="160"/>
      <c r="V8" s="160"/>
      <c r="W8" s="166"/>
      <c r="X8" s="165">
        <f>SUM(X9:X11)</f>
        <v>0</v>
      </c>
      <c r="Y8" s="165">
        <f>SUM(Y9:Y11)</f>
        <v>8965.6699999999983</v>
      </c>
      <c r="Z8" s="165">
        <f>SUM(Z9:Z11)</f>
        <v>4000</v>
      </c>
      <c r="AA8" s="165">
        <f>SUM(AA9:AA11)</f>
        <v>12965.669999999998</v>
      </c>
      <c r="AB8" s="165">
        <f>SUM(AB9:AB11)</f>
        <v>37302.83</v>
      </c>
      <c r="AC8" s="65"/>
    </row>
    <row r="9" spans="1:29" s="303" customFormat="1" ht="272.25" customHeight="1" x14ac:dyDescent="0.2">
      <c r="A9" s="267" t="s">
        <v>82</v>
      </c>
      <c r="B9" s="266" t="s">
        <v>393</v>
      </c>
      <c r="C9" s="267" t="s">
        <v>114</v>
      </c>
      <c r="D9" s="268" t="s">
        <v>391</v>
      </c>
      <c r="E9" s="269" t="s">
        <v>392</v>
      </c>
      <c r="F9" s="293" t="s">
        <v>394</v>
      </c>
      <c r="G9" s="294">
        <v>45566</v>
      </c>
      <c r="H9" s="286" t="s">
        <v>191</v>
      </c>
      <c r="I9" s="287">
        <v>15</v>
      </c>
      <c r="J9" s="304">
        <v>1959.4669999999999</v>
      </c>
      <c r="K9" s="295">
        <v>29392</v>
      </c>
      <c r="L9" s="296">
        <v>0</v>
      </c>
      <c r="M9" s="297">
        <f>SUM(K9:L9)</f>
        <v>29392</v>
      </c>
      <c r="N9" s="298">
        <f>IF(K9/15&lt;=SMG,0,L9/2)</f>
        <v>0</v>
      </c>
      <c r="O9" s="314">
        <f>(K9+N9)/I9*30.4</f>
        <v>59567.786666666667</v>
      </c>
      <c r="P9" s="314">
        <f>VLOOKUP(O9,Tarifa,1)</f>
        <v>49233.01</v>
      </c>
      <c r="Q9" s="298">
        <f>O9-P9</f>
        <v>10334.776666666665</v>
      </c>
      <c r="R9" s="299">
        <f>VLOOKUP(O9,Tarifa,3)</f>
        <v>0.3</v>
      </c>
      <c r="S9" s="298">
        <f>Q9*R9</f>
        <v>3100.4329999999995</v>
      </c>
      <c r="T9" s="300">
        <f>VLOOKUP(O9,Tarifa,2)</f>
        <v>9236.89</v>
      </c>
      <c r="U9" s="298">
        <f>S9+T9</f>
        <v>12337.322999999999</v>
      </c>
      <c r="V9" s="298">
        <f>VLOOKUP(O9,Credito,2)</f>
        <v>0</v>
      </c>
      <c r="W9" s="298">
        <f>ROUND((U9-V9)/30.4*I9,2)</f>
        <v>6087.49</v>
      </c>
      <c r="X9" s="297">
        <f>-IF(W9&gt;0,0,0)</f>
        <v>0</v>
      </c>
      <c r="Y9" s="297">
        <f>IF(K9/15&lt;=SMG,0,IF(W9&lt;0,0,W9))</f>
        <v>6087.49</v>
      </c>
      <c r="Z9" s="301">
        <v>0</v>
      </c>
      <c r="AA9" s="297">
        <f>SUM(Y9:Z9)</f>
        <v>6087.49</v>
      </c>
      <c r="AB9" s="297">
        <f>M9+X9-AA9</f>
        <v>23304.510000000002</v>
      </c>
      <c r="AC9" s="302"/>
    </row>
    <row r="10" spans="1:29" s="303" customFormat="1" ht="272.25" customHeight="1" x14ac:dyDescent="0.2">
      <c r="A10" s="267" t="s">
        <v>83</v>
      </c>
      <c r="B10" s="266" t="s">
        <v>193</v>
      </c>
      <c r="C10" s="267" t="s">
        <v>114</v>
      </c>
      <c r="D10" s="268" t="s">
        <v>194</v>
      </c>
      <c r="E10" s="269" t="s">
        <v>195</v>
      </c>
      <c r="F10" s="269" t="s">
        <v>233</v>
      </c>
      <c r="G10" s="294">
        <v>45566</v>
      </c>
      <c r="H10" s="286" t="s">
        <v>192</v>
      </c>
      <c r="I10" s="287">
        <v>15</v>
      </c>
      <c r="J10" s="304">
        <v>993.23399999999992</v>
      </c>
      <c r="K10" s="295">
        <v>14898.5</v>
      </c>
      <c r="L10" s="296">
        <v>0</v>
      </c>
      <c r="M10" s="297">
        <f>SUM(K10:L10)</f>
        <v>14898.5</v>
      </c>
      <c r="N10" s="298">
        <f>IF(K10/15&lt;=SMG,0,L10/2)</f>
        <v>0</v>
      </c>
      <c r="O10" s="314">
        <f>(K10+N10)/I10*30.4</f>
        <v>30194.293333333331</v>
      </c>
      <c r="P10" s="314">
        <f>VLOOKUP(O10,Tarifa,1)</f>
        <v>15487.72</v>
      </c>
      <c r="Q10" s="298">
        <f>O10-P10</f>
        <v>14706.573333333332</v>
      </c>
      <c r="R10" s="299">
        <f>VLOOKUP(O10,Tarifa,3)</f>
        <v>0.21360000000000001</v>
      </c>
      <c r="S10" s="298">
        <f>Q10*R10</f>
        <v>3141.3240639999999</v>
      </c>
      <c r="T10" s="300">
        <f>VLOOKUP(O10,Tarifa,2)</f>
        <v>1640.18</v>
      </c>
      <c r="U10" s="298">
        <f>S10+T10</f>
        <v>4781.5040639999997</v>
      </c>
      <c r="V10" s="298">
        <f>VLOOKUP(O10,Credito,2)</f>
        <v>0</v>
      </c>
      <c r="W10" s="298">
        <f>ROUND((U10-V10)/30.4*I10,2)</f>
        <v>2359.29</v>
      </c>
      <c r="X10" s="297">
        <f>-IF(W10&gt;0,0,0)</f>
        <v>0</v>
      </c>
      <c r="Y10" s="297">
        <f>IF(K10/15&lt;=SMG,0,IF(W10&lt;0,0,W10))</f>
        <v>2359.29</v>
      </c>
      <c r="Z10" s="301">
        <v>0</v>
      </c>
      <c r="AA10" s="297">
        <f>SUM(Y10:Z10)</f>
        <v>2359.29</v>
      </c>
      <c r="AB10" s="297">
        <f>M10+X10-AA10</f>
        <v>12539.21</v>
      </c>
      <c r="AC10" s="302"/>
    </row>
    <row r="11" spans="1:29" s="303" customFormat="1" ht="272.25" customHeight="1" x14ac:dyDescent="0.2">
      <c r="A11" s="267"/>
      <c r="B11" s="267" t="s">
        <v>103</v>
      </c>
      <c r="C11" s="266" t="s">
        <v>114</v>
      </c>
      <c r="D11" s="268" t="s">
        <v>65</v>
      </c>
      <c r="E11" s="269" t="s">
        <v>104</v>
      </c>
      <c r="F11" s="293" t="s">
        <v>222</v>
      </c>
      <c r="G11" s="294">
        <v>40026</v>
      </c>
      <c r="H11" s="269" t="s">
        <v>63</v>
      </c>
      <c r="I11" s="287">
        <v>15</v>
      </c>
      <c r="J11" s="304">
        <v>398.53399999999999</v>
      </c>
      <c r="K11" s="295">
        <v>5978</v>
      </c>
      <c r="L11" s="296">
        <v>0</v>
      </c>
      <c r="M11" s="297">
        <f>SUM(K11:L11)</f>
        <v>5978</v>
      </c>
      <c r="N11" s="298">
        <f>IF(K11/15&lt;=SMG,0,L11/2)</f>
        <v>0</v>
      </c>
      <c r="O11" s="314">
        <f>(K11+N11)/I11*30.4</f>
        <v>12115.413333333334</v>
      </c>
      <c r="P11" s="314">
        <f>VLOOKUP(O11,Tarifa,1)</f>
        <v>11128.02</v>
      </c>
      <c r="Q11" s="298">
        <f>O11-P11</f>
        <v>987.39333333333343</v>
      </c>
      <c r="R11" s="299">
        <f>VLOOKUP(O11,Tarifa,3)</f>
        <v>0.16</v>
      </c>
      <c r="S11" s="298">
        <f>Q11*R11</f>
        <v>157.98293333333336</v>
      </c>
      <c r="T11" s="300">
        <f>VLOOKUP(O11,Tarifa,2)</f>
        <v>893.63</v>
      </c>
      <c r="U11" s="298">
        <f>S11+T11</f>
        <v>1051.6129333333333</v>
      </c>
      <c r="V11" s="298">
        <f>VLOOKUP(O11,Credito,2)</f>
        <v>0</v>
      </c>
      <c r="W11" s="298">
        <f>ROUND((U11-V11)/30.4*I11,2)</f>
        <v>518.89</v>
      </c>
      <c r="X11" s="297">
        <f>-IF(W11&gt;0,0,0)</f>
        <v>0</v>
      </c>
      <c r="Y11" s="297">
        <f>IF(K11/15&lt;=SMG,0,IF(W11&lt;0,0,W11))</f>
        <v>518.89</v>
      </c>
      <c r="Z11" s="301">
        <v>4000</v>
      </c>
      <c r="AA11" s="297">
        <f>SUM(Y11:Z11)</f>
        <v>4518.8900000000003</v>
      </c>
      <c r="AB11" s="297">
        <f>M11+X11-AA11</f>
        <v>1459.1099999999997</v>
      </c>
      <c r="AC11" s="302"/>
    </row>
    <row r="12" spans="1:29" s="52" customFormat="1" ht="30.75" customHeight="1" x14ac:dyDescent="0.25">
      <c r="A12" s="133"/>
      <c r="B12" s="382" t="s">
        <v>95</v>
      </c>
      <c r="C12" s="382" t="s">
        <v>120</v>
      </c>
      <c r="D12" s="164" t="s">
        <v>117</v>
      </c>
      <c r="E12" s="160" t="s">
        <v>96</v>
      </c>
      <c r="F12" s="160" t="s">
        <v>220</v>
      </c>
      <c r="G12" s="382" t="s">
        <v>272</v>
      </c>
      <c r="H12" s="160" t="s">
        <v>61</v>
      </c>
      <c r="I12" s="160"/>
      <c r="J12" s="160"/>
      <c r="K12" s="165">
        <f>K13</f>
        <v>5944.5</v>
      </c>
      <c r="L12" s="165">
        <f>L13</f>
        <v>0</v>
      </c>
      <c r="M12" s="165">
        <f>M13</f>
        <v>5944.5</v>
      </c>
      <c r="N12" s="160"/>
      <c r="O12" s="160"/>
      <c r="P12" s="160"/>
      <c r="Q12" s="160"/>
      <c r="R12" s="160"/>
      <c r="S12" s="160"/>
      <c r="T12" s="167"/>
      <c r="U12" s="160"/>
      <c r="V12" s="160"/>
      <c r="W12" s="166"/>
      <c r="X12" s="165">
        <f>X13</f>
        <v>0</v>
      </c>
      <c r="Y12" s="165">
        <f>Y13</f>
        <v>513.53</v>
      </c>
      <c r="Z12" s="165">
        <f>Z13</f>
        <v>0</v>
      </c>
      <c r="AA12" s="165">
        <f>AA13</f>
        <v>513.53</v>
      </c>
      <c r="AB12" s="165">
        <f>AB13</f>
        <v>5430.97</v>
      </c>
      <c r="AC12" s="65"/>
    </row>
    <row r="13" spans="1:29" s="303" customFormat="1" ht="291.75" customHeight="1" x14ac:dyDescent="0.2">
      <c r="A13" s="267" t="s">
        <v>86</v>
      </c>
      <c r="B13" s="267" t="s">
        <v>198</v>
      </c>
      <c r="C13" s="267" t="s">
        <v>114</v>
      </c>
      <c r="D13" s="268" t="s">
        <v>200</v>
      </c>
      <c r="E13" s="291" t="s">
        <v>201</v>
      </c>
      <c r="F13" s="293" t="s">
        <v>246</v>
      </c>
      <c r="G13" s="294">
        <v>44470</v>
      </c>
      <c r="H13" s="286" t="s">
        <v>261</v>
      </c>
      <c r="I13" s="287">
        <v>15</v>
      </c>
      <c r="J13" s="304">
        <v>396.3</v>
      </c>
      <c r="K13" s="295">
        <v>5944.5</v>
      </c>
      <c r="L13" s="296">
        <v>0</v>
      </c>
      <c r="M13" s="297">
        <f>SUM(K13:L13)</f>
        <v>5944.5</v>
      </c>
      <c r="N13" s="298">
        <f>IF(K13/15&lt;=SMG,0,L13/2)</f>
        <v>0</v>
      </c>
      <c r="O13" s="314">
        <f>(K13+N13)/I13*30.4</f>
        <v>12047.52</v>
      </c>
      <c r="P13" s="314">
        <f>VLOOKUP(O13,Tarifa,1)</f>
        <v>11128.02</v>
      </c>
      <c r="Q13" s="298">
        <f>O13-P13</f>
        <v>919.5</v>
      </c>
      <c r="R13" s="299">
        <f>VLOOKUP(O13,Tarifa,3)</f>
        <v>0.16</v>
      </c>
      <c r="S13" s="298">
        <f>Q13*R13</f>
        <v>147.12</v>
      </c>
      <c r="T13" s="300">
        <f>VLOOKUP(O13,Tarifa,2)</f>
        <v>893.63</v>
      </c>
      <c r="U13" s="298">
        <f>S13+T13</f>
        <v>1040.75</v>
      </c>
      <c r="V13" s="298">
        <f>VLOOKUP(O13,Credito,2)</f>
        <v>0</v>
      </c>
      <c r="W13" s="298">
        <f>ROUND((U13-V13)/30.4*I13,2)</f>
        <v>513.53</v>
      </c>
      <c r="X13" s="297">
        <f>-IF(W13&gt;0,0,0)</f>
        <v>0</v>
      </c>
      <c r="Y13" s="297">
        <f>IF(K13/15&lt;=SMG,0,IF(W13&lt;0,0,W13))</f>
        <v>513.53</v>
      </c>
      <c r="Z13" s="301">
        <v>0</v>
      </c>
      <c r="AA13" s="297">
        <f>SUM(Y13:Z13)</f>
        <v>513.53</v>
      </c>
      <c r="AB13" s="297">
        <f>M13+X13-AA13</f>
        <v>5430.97</v>
      </c>
      <c r="AC13" s="302"/>
    </row>
    <row r="14" spans="1:29" s="52" customFormat="1" ht="36.75" customHeight="1" x14ac:dyDescent="0.25">
      <c r="A14" s="133"/>
      <c r="B14" s="383" t="s">
        <v>95</v>
      </c>
      <c r="C14" s="383" t="s">
        <v>120</v>
      </c>
      <c r="D14" s="180" t="s">
        <v>118</v>
      </c>
      <c r="E14" s="180" t="s">
        <v>96</v>
      </c>
      <c r="F14" s="180" t="s">
        <v>220</v>
      </c>
      <c r="G14" s="383" t="s">
        <v>272</v>
      </c>
      <c r="H14" s="180" t="s">
        <v>61</v>
      </c>
      <c r="I14" s="180"/>
      <c r="J14" s="180"/>
      <c r="K14" s="181">
        <f>SUM(K15:K15)</f>
        <v>11301.5</v>
      </c>
      <c r="L14" s="181">
        <f>SUM(L15:L15)</f>
        <v>0</v>
      </c>
      <c r="M14" s="181">
        <f>SUM(M15:M15)</f>
        <v>11301.5</v>
      </c>
      <c r="N14" s="180"/>
      <c r="O14" s="180"/>
      <c r="P14" s="180"/>
      <c r="Q14" s="180"/>
      <c r="R14" s="180"/>
      <c r="S14" s="180"/>
      <c r="T14" s="183"/>
      <c r="U14" s="180"/>
      <c r="V14" s="180"/>
      <c r="W14" s="180"/>
      <c r="X14" s="181">
        <f>SUM(X15:X15)</f>
        <v>0</v>
      </c>
      <c r="Y14" s="181">
        <f>SUM(Y15:Y15)</f>
        <v>1590.98</v>
      </c>
      <c r="Z14" s="181">
        <f>SUM(Z15:Z15)</f>
        <v>0</v>
      </c>
      <c r="AA14" s="181">
        <f>SUM(AA15:AA15)</f>
        <v>1590.98</v>
      </c>
      <c r="AB14" s="181">
        <f>SUM(AB15:AB15)</f>
        <v>9710.52</v>
      </c>
      <c r="AC14" s="388"/>
    </row>
    <row r="15" spans="1:29" s="303" customFormat="1" ht="180.75" customHeight="1" x14ac:dyDescent="0.2">
      <c r="A15" s="267" t="s">
        <v>87</v>
      </c>
      <c r="B15" s="266" t="s">
        <v>154</v>
      </c>
      <c r="C15" s="267" t="s">
        <v>114</v>
      </c>
      <c r="D15" s="268" t="s">
        <v>134</v>
      </c>
      <c r="E15" s="269" t="s">
        <v>150</v>
      </c>
      <c r="F15" s="293" t="s">
        <v>231</v>
      </c>
      <c r="G15" s="294">
        <v>43374</v>
      </c>
      <c r="H15" s="286" t="s">
        <v>656</v>
      </c>
      <c r="I15" s="287">
        <v>15</v>
      </c>
      <c r="J15" s="304">
        <v>753.43399999999997</v>
      </c>
      <c r="K15" s="295">
        <v>11301.5</v>
      </c>
      <c r="L15" s="296">
        <v>0</v>
      </c>
      <c r="M15" s="297">
        <f>K15</f>
        <v>11301.5</v>
      </c>
      <c r="N15" s="298">
        <f>IF(K15/15&lt;=SMG,0,L15/2)</f>
        <v>0</v>
      </c>
      <c r="O15" s="314">
        <f>(K15+N15)/I15*30.4</f>
        <v>22904.373333333329</v>
      </c>
      <c r="P15" s="314">
        <f>VLOOKUP(O15,Tarifa,1)</f>
        <v>15487.72</v>
      </c>
      <c r="Q15" s="298">
        <f>O15-P15</f>
        <v>7416.65333333333</v>
      </c>
      <c r="R15" s="299">
        <f>VLOOKUP(O15,Tarifa,3)</f>
        <v>0.21360000000000001</v>
      </c>
      <c r="S15" s="298">
        <f>Q15*R15</f>
        <v>1584.1971519999993</v>
      </c>
      <c r="T15" s="300">
        <f>VLOOKUP(O15,Tarifa,2)</f>
        <v>1640.18</v>
      </c>
      <c r="U15" s="298">
        <f>S15+T15</f>
        <v>3224.3771519999991</v>
      </c>
      <c r="V15" s="298">
        <f>VLOOKUP(O15,Credito,2)</f>
        <v>0</v>
      </c>
      <c r="W15" s="298">
        <f>ROUND((U15-V15)/30.4*I15,2)</f>
        <v>1590.98</v>
      </c>
      <c r="X15" s="297">
        <f>-IF(W15&gt;0,0,0)</f>
        <v>0</v>
      </c>
      <c r="Y15" s="297">
        <f>IF(K15/15&lt;=SMG,0,IF(W15&lt;0,0,W15))</f>
        <v>1590.98</v>
      </c>
      <c r="Z15" s="301">
        <v>0</v>
      </c>
      <c r="AA15" s="297">
        <f>SUM(Y15:Z15)</f>
        <v>1590.98</v>
      </c>
      <c r="AB15" s="297">
        <f>M15+X15-AA15</f>
        <v>9710.52</v>
      </c>
      <c r="AC15" s="302"/>
    </row>
    <row r="16" spans="1:29" s="303" customFormat="1" ht="180.75" customHeight="1" x14ac:dyDescent="0.2">
      <c r="A16" s="305"/>
      <c r="B16" s="289" t="s">
        <v>401</v>
      </c>
      <c r="C16" s="283" t="s">
        <v>114</v>
      </c>
      <c r="D16" s="290" t="s">
        <v>501</v>
      </c>
      <c r="E16" s="291" t="s">
        <v>502</v>
      </c>
      <c r="F16" s="291" t="s">
        <v>503</v>
      </c>
      <c r="G16" s="331">
        <v>45612</v>
      </c>
      <c r="H16" s="307" t="s">
        <v>63</v>
      </c>
      <c r="I16" s="308">
        <v>15</v>
      </c>
      <c r="J16" s="304">
        <v>362.4</v>
      </c>
      <c r="K16" s="295">
        <v>5669.53</v>
      </c>
      <c r="L16" s="296">
        <v>0</v>
      </c>
      <c r="M16" s="297">
        <f>SUM(K16:L16)</f>
        <v>5669.53</v>
      </c>
      <c r="N16" s="298">
        <f>IF(K16/15&lt;=SMG,0,L16/2)</f>
        <v>0</v>
      </c>
      <c r="O16" s="314">
        <f>(K16+N16)/I16*30.4</f>
        <v>11490.247466666666</v>
      </c>
      <c r="P16" s="314">
        <f>VLOOKUP(O16,Tarifa,1)</f>
        <v>11128.02</v>
      </c>
      <c r="Q16" s="298">
        <f>O16-P16</f>
        <v>362.22746666666535</v>
      </c>
      <c r="R16" s="299">
        <f>VLOOKUP(O16,Tarifa,3)</f>
        <v>0.16</v>
      </c>
      <c r="S16" s="298">
        <f>Q16*R16</f>
        <v>57.956394666666455</v>
      </c>
      <c r="T16" s="300">
        <f>VLOOKUP(O16,Tarifa,2)</f>
        <v>893.63</v>
      </c>
      <c r="U16" s="298">
        <f>S16+T16</f>
        <v>951.58639466666648</v>
      </c>
      <c r="V16" s="298">
        <f>VLOOKUP(O16,Credito,2)</f>
        <v>0</v>
      </c>
      <c r="W16" s="298">
        <f>ROUND((U16-V16)/30.4*I16,2)</f>
        <v>469.53</v>
      </c>
      <c r="X16" s="297">
        <f>-IF(W16&gt;0,0,0)</f>
        <v>0</v>
      </c>
      <c r="Y16" s="297">
        <f>IF(K16/15&lt;=SMG,0,IF(W16&lt;0,0,W16))</f>
        <v>469.53</v>
      </c>
      <c r="Z16" s="301">
        <v>0</v>
      </c>
      <c r="AA16" s="297">
        <f>SUM(Y16:Z16)</f>
        <v>469.53</v>
      </c>
      <c r="AB16" s="297">
        <f>M16+X16-AA16</f>
        <v>5200</v>
      </c>
      <c r="AC16" s="309"/>
    </row>
    <row r="17" spans="1:29" s="303" customFormat="1" ht="57.75" customHeight="1" x14ac:dyDescent="0.25">
      <c r="A17" s="305"/>
      <c r="B17" s="383" t="s">
        <v>95</v>
      </c>
      <c r="C17" s="383" t="s">
        <v>120</v>
      </c>
      <c r="D17" s="148" t="s">
        <v>535</v>
      </c>
      <c r="E17" s="180" t="s">
        <v>96</v>
      </c>
      <c r="F17" s="180" t="s">
        <v>220</v>
      </c>
      <c r="G17" s="383" t="s">
        <v>272</v>
      </c>
      <c r="H17" s="180" t="s">
        <v>61</v>
      </c>
      <c r="I17" s="180"/>
      <c r="J17" s="160"/>
      <c r="K17" s="165">
        <f>SUM(K18:K18)</f>
        <v>6693</v>
      </c>
      <c r="L17" s="165">
        <f>SUM(L18:L18)</f>
        <v>0</v>
      </c>
      <c r="M17" s="165">
        <f>SUM(M18:M18)</f>
        <v>6693</v>
      </c>
      <c r="N17" s="160"/>
      <c r="O17" s="160"/>
      <c r="P17" s="160"/>
      <c r="Q17" s="160"/>
      <c r="R17" s="160"/>
      <c r="S17" s="160"/>
      <c r="T17" s="167"/>
      <c r="U17" s="160"/>
      <c r="V17" s="160"/>
      <c r="W17" s="166"/>
      <c r="X17" s="165">
        <f>SUM(X18:X18)</f>
        <v>0</v>
      </c>
      <c r="Y17" s="165">
        <f>SUM(Y18:Y18)</f>
        <v>639.24</v>
      </c>
      <c r="Z17" s="165">
        <f>SUM(Z18:Z18)</f>
        <v>0</v>
      </c>
      <c r="AA17" s="165">
        <f>SUM(AA18:AA18)</f>
        <v>639.24</v>
      </c>
      <c r="AB17" s="165">
        <f>SUM(AB18:AB18)</f>
        <v>6053.76</v>
      </c>
      <c r="AC17" s="65"/>
    </row>
    <row r="18" spans="1:29" s="303" customFormat="1" ht="181.5" customHeight="1" x14ac:dyDescent="0.2">
      <c r="A18" s="305"/>
      <c r="B18" s="267" t="s">
        <v>548</v>
      </c>
      <c r="C18" s="267" t="s">
        <v>474</v>
      </c>
      <c r="D18" s="290" t="s">
        <v>536</v>
      </c>
      <c r="E18" s="291" t="s">
        <v>537</v>
      </c>
      <c r="F18" s="293" t="s">
        <v>538</v>
      </c>
      <c r="G18" s="294">
        <v>45673</v>
      </c>
      <c r="H18" s="310" t="s">
        <v>539</v>
      </c>
      <c r="I18" s="311">
        <v>15</v>
      </c>
      <c r="J18" s="304">
        <v>208.86700000000002</v>
      </c>
      <c r="K18" s="295">
        <v>6693</v>
      </c>
      <c r="L18" s="296">
        <v>0</v>
      </c>
      <c r="M18" s="297">
        <f>K18</f>
        <v>6693</v>
      </c>
      <c r="N18" s="298">
        <f>IF(K18/15&lt;=SMG,0,L18/2)</f>
        <v>0</v>
      </c>
      <c r="O18" s="314">
        <f>(K18+N18)/I18*30.4</f>
        <v>13564.48</v>
      </c>
      <c r="P18" s="314">
        <f>VLOOKUP(O18,Tarifa,1)</f>
        <v>12935.83</v>
      </c>
      <c r="Q18" s="298">
        <f>O18-P18</f>
        <v>628.64999999999964</v>
      </c>
      <c r="R18" s="299">
        <f>VLOOKUP(O18,Tarifa,3)</f>
        <v>0.1792</v>
      </c>
      <c r="S18" s="298">
        <f>Q18*R18</f>
        <v>112.65407999999994</v>
      </c>
      <c r="T18" s="300">
        <f>VLOOKUP(O18,Tarifa,2)</f>
        <v>1182.8800000000001</v>
      </c>
      <c r="U18" s="298">
        <f>S18+T18</f>
        <v>1295.5340800000001</v>
      </c>
      <c r="V18" s="298">
        <f>VLOOKUP(O18,Credito,2)</f>
        <v>0</v>
      </c>
      <c r="W18" s="298">
        <f>ROUND((U18-V18)/30.4*I18,2)</f>
        <v>639.24</v>
      </c>
      <c r="X18" s="297">
        <f>-IF(W18&gt;0,0,0)</f>
        <v>0</v>
      </c>
      <c r="Y18" s="297">
        <f>IF(K18/15&lt;=SMG,0,IF(W18&lt;0,0,W18))</f>
        <v>639.24</v>
      </c>
      <c r="Z18" s="301">
        <v>0</v>
      </c>
      <c r="AA18" s="297">
        <f>SUM(Y18:Z18)</f>
        <v>639.24</v>
      </c>
      <c r="AB18" s="297">
        <f>M18+X18-AA18</f>
        <v>6053.76</v>
      </c>
      <c r="AC18" s="313"/>
    </row>
    <row r="19" spans="1:29" s="52" customFormat="1" ht="31.5" customHeight="1" x14ac:dyDescent="0.25">
      <c r="A19" s="188"/>
      <c r="B19" s="383" t="s">
        <v>95</v>
      </c>
      <c r="C19" s="383" t="s">
        <v>120</v>
      </c>
      <c r="D19" s="148" t="s">
        <v>366</v>
      </c>
      <c r="E19" s="180" t="s">
        <v>96</v>
      </c>
      <c r="F19" s="180" t="s">
        <v>220</v>
      </c>
      <c r="G19" s="383" t="s">
        <v>272</v>
      </c>
      <c r="H19" s="180" t="s">
        <v>61</v>
      </c>
      <c r="I19" s="180"/>
      <c r="J19" s="160"/>
      <c r="K19" s="165">
        <f>SUM(K20:K20)</f>
        <v>3133</v>
      </c>
      <c r="L19" s="165">
        <f>SUM(L20:L20)</f>
        <v>0</v>
      </c>
      <c r="M19" s="165">
        <f>SUM(M20:M20)</f>
        <v>3133</v>
      </c>
      <c r="N19" s="160"/>
      <c r="O19" s="160"/>
      <c r="P19" s="160"/>
      <c r="Q19" s="160"/>
      <c r="R19" s="160"/>
      <c r="S19" s="160"/>
      <c r="T19" s="167"/>
      <c r="U19" s="160"/>
      <c r="V19" s="160"/>
      <c r="W19" s="166"/>
      <c r="X19" s="165">
        <f>SUM(X20:X20)</f>
        <v>0</v>
      </c>
      <c r="Y19" s="165">
        <f>SUM(Y20:Y20)</f>
        <v>0</v>
      </c>
      <c r="Z19" s="165">
        <f>SUM(Z20:Z20)</f>
        <v>0</v>
      </c>
      <c r="AA19" s="165">
        <f>SUM(AA20:AA20)</f>
        <v>0</v>
      </c>
      <c r="AB19" s="165">
        <f>SUM(AB20:AB20)</f>
        <v>3133</v>
      </c>
      <c r="AC19" s="65"/>
    </row>
    <row r="20" spans="1:29" s="303" customFormat="1" ht="171" customHeight="1" x14ac:dyDescent="0.2">
      <c r="A20" s="305"/>
      <c r="B20" s="267" t="s">
        <v>395</v>
      </c>
      <c r="C20" s="267" t="s">
        <v>114</v>
      </c>
      <c r="D20" s="290" t="s">
        <v>396</v>
      </c>
      <c r="E20" s="291" t="s">
        <v>397</v>
      </c>
      <c r="F20" s="293" t="s">
        <v>398</v>
      </c>
      <c r="G20" s="294">
        <v>45566</v>
      </c>
      <c r="H20" s="310" t="s">
        <v>369</v>
      </c>
      <c r="I20" s="311">
        <v>15</v>
      </c>
      <c r="J20" s="304">
        <v>208.86700000000002</v>
      </c>
      <c r="K20" s="295">
        <v>3133</v>
      </c>
      <c r="L20" s="296">
        <v>0</v>
      </c>
      <c r="M20" s="297">
        <f t="shared" ref="M20" si="0">SUM(K20:L20)</f>
        <v>3133</v>
      </c>
      <c r="N20" s="298">
        <f>IF(K20/15&lt;=SMG,0,L20/2)</f>
        <v>0</v>
      </c>
      <c r="O20" s="314">
        <f>(K20+N20)/I20*30.4</f>
        <v>6349.5466666666662</v>
      </c>
      <c r="P20" s="314">
        <f>VLOOKUP(O20,Tarifa,1)</f>
        <v>6332.06</v>
      </c>
      <c r="Q20" s="298">
        <f>O20-P20</f>
        <v>17.486666666665769</v>
      </c>
      <c r="R20" s="299">
        <f>VLOOKUP(O20,Tarifa,3)</f>
        <v>0.10879999999999999</v>
      </c>
      <c r="S20" s="298">
        <f>Q20*R20</f>
        <v>1.9025493333332355</v>
      </c>
      <c r="T20" s="300">
        <f>VLOOKUP(O20,Tarifa,2)</f>
        <v>371.83</v>
      </c>
      <c r="U20" s="298">
        <f>S20+T20</f>
        <v>373.73254933333322</v>
      </c>
      <c r="V20" s="298">
        <f>VLOOKUP(O20,Credito,2)</f>
        <v>475</v>
      </c>
      <c r="W20" s="298">
        <f>ROUND((U20-V20)/30.4*I20,2)</f>
        <v>-49.97</v>
      </c>
      <c r="X20" s="297">
        <v>0</v>
      </c>
      <c r="Y20" s="312">
        <f>IF(K20/15&lt;=SMG,0,IF(W20&lt;0,0,W20))</f>
        <v>0</v>
      </c>
      <c r="Z20" s="301">
        <v>0</v>
      </c>
      <c r="AA20" s="297">
        <f>SUM(Y20:Z20)</f>
        <v>0</v>
      </c>
      <c r="AB20" s="312">
        <f>M20+X20-AA20</f>
        <v>3133</v>
      </c>
      <c r="AC20" s="313"/>
    </row>
    <row r="21" spans="1:29" s="52" customFormat="1" ht="21.75" customHeight="1" x14ac:dyDescent="0.25">
      <c r="A21" s="169"/>
      <c r="B21" s="170"/>
      <c r="C21" s="170"/>
      <c r="D21" s="171"/>
      <c r="E21" s="171"/>
      <c r="F21" s="171"/>
      <c r="G21" s="171"/>
      <c r="H21" s="171"/>
      <c r="I21" s="147"/>
      <c r="J21" s="172"/>
      <c r="K21" s="173"/>
      <c r="L21" s="174"/>
      <c r="M21" s="175"/>
      <c r="N21" s="176"/>
      <c r="O21" s="176"/>
      <c r="P21" s="176"/>
      <c r="Q21" s="176"/>
      <c r="R21" s="177"/>
      <c r="S21" s="176"/>
      <c r="T21" s="176"/>
      <c r="U21" s="176"/>
      <c r="V21" s="176"/>
      <c r="W21" s="176"/>
      <c r="X21" s="175"/>
      <c r="Y21" s="175"/>
      <c r="Z21" s="178"/>
      <c r="AA21" s="175"/>
      <c r="AB21" s="175"/>
      <c r="AC21" s="59"/>
    </row>
    <row r="22" spans="1:29" s="52" customFormat="1" ht="41.25" customHeight="1" thickBot="1" x14ac:dyDescent="0.3">
      <c r="A22" s="441" t="s">
        <v>44</v>
      </c>
      <c r="B22" s="442"/>
      <c r="C22" s="442"/>
      <c r="D22" s="442"/>
      <c r="E22" s="442"/>
      <c r="F22" s="442"/>
      <c r="G22" s="442"/>
      <c r="H22" s="442"/>
      <c r="I22" s="442"/>
      <c r="J22" s="443"/>
      <c r="K22" s="136">
        <f>K8+K12+K14+K19+K17</f>
        <v>77340.5</v>
      </c>
      <c r="L22" s="136">
        <f>L8+L12+L14+L19+L17</f>
        <v>0</v>
      </c>
      <c r="M22" s="136">
        <f>M8+M12+M14+M19+M17</f>
        <v>77340.5</v>
      </c>
      <c r="N22" s="137">
        <f>SUM(N9:N20)</f>
        <v>0</v>
      </c>
      <c r="O22" s="137">
        <f t="shared" ref="O22:W22" si="1">SUM(O9:O20)</f>
        <v>168233.66079999998</v>
      </c>
      <c r="P22" s="137">
        <f t="shared" si="1"/>
        <v>132860.40000000002</v>
      </c>
      <c r="Q22" s="137">
        <f t="shared" si="1"/>
        <v>35373.260799999989</v>
      </c>
      <c r="R22" s="137">
        <f t="shared" si="1"/>
        <v>1.4952000000000001</v>
      </c>
      <c r="S22" s="137">
        <f t="shared" si="1"/>
        <v>8303.5701733333317</v>
      </c>
      <c r="T22" s="137">
        <f t="shared" si="1"/>
        <v>16752.849999999999</v>
      </c>
      <c r="U22" s="137">
        <f t="shared" si="1"/>
        <v>25056.420173333328</v>
      </c>
      <c r="V22" s="137">
        <f t="shared" si="1"/>
        <v>475</v>
      </c>
      <c r="W22" s="137">
        <f t="shared" si="1"/>
        <v>12128.98</v>
      </c>
      <c r="X22" s="136">
        <f>X8+X12+X14+X19+X17</f>
        <v>0</v>
      </c>
      <c r="Y22" s="136">
        <f>Y8+Y12+Y14+Y19+Y17</f>
        <v>11709.419999999998</v>
      </c>
      <c r="Z22" s="136">
        <f>Z8+Z12+Z14+Z19+Z17</f>
        <v>4000</v>
      </c>
      <c r="AA22" s="136">
        <f>AA8+AA12+AA14+AA19+AA17</f>
        <v>15709.419999999998</v>
      </c>
      <c r="AB22" s="136">
        <f>AB8+AB12+AB14+AB19+AB17</f>
        <v>61631.080000000009</v>
      </c>
    </row>
    <row r="23" spans="1:29" s="52" customFormat="1" ht="12" customHeight="1" thickTop="1" x14ac:dyDescent="0.2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</row>
    <row r="32" spans="1:29" ht="18" x14ac:dyDescent="0.25">
      <c r="D32" s="213" t="s">
        <v>476</v>
      </c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213" t="s">
        <v>144</v>
      </c>
      <c r="Z32" s="108"/>
      <c r="AA32" s="108"/>
      <c r="AB32" s="108"/>
      <c r="AC32" s="108"/>
    </row>
    <row r="33" spans="4:29" ht="18" x14ac:dyDescent="0.25">
      <c r="D33" s="213" t="s">
        <v>491</v>
      </c>
      <c r="E33" s="213"/>
      <c r="F33" s="213"/>
      <c r="G33" s="213"/>
      <c r="H33" s="213"/>
      <c r="I33" s="213"/>
      <c r="J33" s="213"/>
      <c r="K33" s="213"/>
      <c r="L33" s="213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213" t="s">
        <v>209</v>
      </c>
      <c r="Z33" s="108"/>
      <c r="AA33" s="213"/>
      <c r="AB33" s="213"/>
      <c r="AC33" s="213"/>
    </row>
  </sheetData>
  <mergeCells count="7">
    <mergeCell ref="A22:J22"/>
    <mergeCell ref="A1:AC1"/>
    <mergeCell ref="A2:AC2"/>
    <mergeCell ref="A3:AC3"/>
    <mergeCell ref="K5:M5"/>
    <mergeCell ref="P5:U5"/>
    <mergeCell ref="Y5:AA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B1" zoomScale="75" zoomScaleNormal="75" workbookViewId="0">
      <selection activeCell="Y11" sqref="Y11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7.28515625" customWidth="1"/>
    <col min="8" max="8" width="20.85546875" customWidth="1"/>
    <col min="9" max="9" width="6.5703125" hidden="1" customWidth="1"/>
    <col min="10" max="10" width="7.28515625" hidden="1" customWidth="1"/>
    <col min="11" max="11" width="17.42578125" customWidth="1"/>
    <col min="12" max="12" width="10.85546875" customWidth="1"/>
    <col min="13" max="13" width="16.425781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6.42578125" customWidth="1"/>
    <col min="29" max="29" width="58.7109375" customWidth="1"/>
  </cols>
  <sheetData>
    <row r="1" spans="1:30" ht="18" x14ac:dyDescent="0.25">
      <c r="A1" s="455" t="s">
        <v>77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</row>
    <row r="2" spans="1:30" ht="18" x14ac:dyDescent="0.25">
      <c r="A2" s="455" t="s">
        <v>64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</row>
    <row r="3" spans="1:30" ht="19.5" x14ac:dyDescent="0.25">
      <c r="A3" s="149" t="s">
        <v>326</v>
      </c>
      <c r="B3" s="445" t="str">
        <f>PRESIDENCIA!A3</f>
        <v>SUELDO  DEL 01 AL 15 DE DICIEMBRE DE 2025</v>
      </c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445"/>
      <c r="T3" s="445"/>
      <c r="U3" s="445"/>
      <c r="V3" s="445"/>
      <c r="W3" s="445"/>
      <c r="X3" s="445"/>
      <c r="Y3" s="445"/>
      <c r="Z3" s="445"/>
      <c r="AA3" s="445"/>
      <c r="AB3" s="445"/>
      <c r="AC3" s="445"/>
      <c r="AD3" s="445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189</v>
      </c>
      <c r="K5" s="456" t="s">
        <v>1</v>
      </c>
      <c r="L5" s="457"/>
      <c r="M5" s="458"/>
      <c r="N5" s="24" t="s">
        <v>25</v>
      </c>
      <c r="O5" s="25"/>
      <c r="P5" s="459" t="s">
        <v>8</v>
      </c>
      <c r="Q5" s="460"/>
      <c r="R5" s="460"/>
      <c r="S5" s="460"/>
      <c r="T5" s="460"/>
      <c r="U5" s="461"/>
      <c r="V5" s="24" t="s">
        <v>29</v>
      </c>
      <c r="W5" s="24" t="s">
        <v>9</v>
      </c>
      <c r="X5" s="23" t="s">
        <v>52</v>
      </c>
      <c r="Y5" s="462" t="s">
        <v>2</v>
      </c>
      <c r="Z5" s="463"/>
      <c r="AA5" s="464"/>
      <c r="AB5" s="23" t="s">
        <v>0</v>
      </c>
      <c r="AC5" s="33"/>
    </row>
    <row r="6" spans="1:30" ht="22.5" x14ac:dyDescent="0.2">
      <c r="A6" s="26" t="s">
        <v>20</v>
      </c>
      <c r="B6" s="45" t="s">
        <v>95</v>
      </c>
      <c r="C6" s="45" t="s">
        <v>115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9" t="s">
        <v>266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6.25" customHeight="1" x14ac:dyDescent="0.25">
      <c r="A8" s="406"/>
      <c r="B8" s="148" t="s">
        <v>95</v>
      </c>
      <c r="C8" s="148" t="s">
        <v>120</v>
      </c>
      <c r="D8" s="179" t="s">
        <v>621</v>
      </c>
      <c r="E8" s="180" t="s">
        <v>96</v>
      </c>
      <c r="F8" s="180" t="s">
        <v>220</v>
      </c>
      <c r="G8" s="148" t="s">
        <v>272</v>
      </c>
      <c r="H8" s="160" t="s">
        <v>61</v>
      </c>
      <c r="I8" s="180"/>
      <c r="J8" s="37"/>
      <c r="K8" s="181">
        <f>K9</f>
        <v>12305.41</v>
      </c>
      <c r="L8" s="181">
        <f>L9</f>
        <v>0</v>
      </c>
      <c r="M8" s="181">
        <f>M9</f>
        <v>12305.41</v>
      </c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1">
        <f>X9</f>
        <v>0</v>
      </c>
      <c r="Y8" s="181">
        <f>Y9</f>
        <v>1805.41</v>
      </c>
      <c r="Z8" s="181">
        <f>Z9</f>
        <v>0</v>
      </c>
      <c r="AA8" s="181">
        <f>AA9</f>
        <v>1805.41</v>
      </c>
      <c r="AB8" s="181">
        <f>AB9</f>
        <v>10500</v>
      </c>
      <c r="AC8" s="182"/>
    </row>
    <row r="9" spans="1:30" ht="167.25" customHeight="1" x14ac:dyDescent="0.2">
      <c r="A9" s="406"/>
      <c r="B9" s="289" t="s">
        <v>493</v>
      </c>
      <c r="C9" s="283" t="s">
        <v>114</v>
      </c>
      <c r="D9" s="268" t="s">
        <v>494</v>
      </c>
      <c r="E9" s="269" t="s">
        <v>495</v>
      </c>
      <c r="F9" s="269" t="s">
        <v>496</v>
      </c>
      <c r="G9" s="270">
        <v>45601</v>
      </c>
      <c r="H9" s="271" t="s">
        <v>566</v>
      </c>
      <c r="I9" s="272">
        <v>15</v>
      </c>
      <c r="J9" s="273">
        <f>K9/I9</f>
        <v>820.3606666666667</v>
      </c>
      <c r="K9" s="274">
        <v>12305.41</v>
      </c>
      <c r="L9" s="275">
        <v>0</v>
      </c>
      <c r="M9" s="276">
        <f>SUM(K9:L9)</f>
        <v>12305.41</v>
      </c>
      <c r="N9" s="298">
        <f t="shared" ref="N9" si="0">IF(K9/15&lt;=SMG,0,L9/2)</f>
        <v>0</v>
      </c>
      <c r="O9" s="314">
        <f t="shared" ref="O9" si="1">(K9+N9)/I9*30.4</f>
        <v>24938.964266666666</v>
      </c>
      <c r="P9" s="314">
        <f t="shared" ref="P9" si="2">VLOOKUP(O9,Tarifa,1)</f>
        <v>15487.72</v>
      </c>
      <c r="Q9" s="298">
        <f t="shared" ref="Q9" si="3">O9-P9</f>
        <v>9451.2442666666666</v>
      </c>
      <c r="R9" s="299">
        <f t="shared" ref="R9" si="4">VLOOKUP(O9,Tarifa,3)</f>
        <v>0.21360000000000001</v>
      </c>
      <c r="S9" s="298">
        <f t="shared" ref="S9" si="5">Q9*R9</f>
        <v>2018.7857753600001</v>
      </c>
      <c r="T9" s="300">
        <f t="shared" ref="T9" si="6">VLOOKUP(O9,Tarifa,2)</f>
        <v>1640.18</v>
      </c>
      <c r="U9" s="298">
        <f t="shared" ref="U9" si="7">S9+T9</f>
        <v>3658.9657753600004</v>
      </c>
      <c r="V9" s="298">
        <f t="shared" ref="V9" si="8">VLOOKUP(O9,Credito,2)</f>
        <v>0</v>
      </c>
      <c r="W9" s="298">
        <f t="shared" ref="W9" si="9">ROUND((U9-V9)/30.4*I9,2)</f>
        <v>1805.41</v>
      </c>
      <c r="X9" s="276">
        <f>-IF(W9&gt;0,0,0)</f>
        <v>0</v>
      </c>
      <c r="Y9" s="276">
        <f t="shared" ref="Y9" si="10">IF(K9/15&lt;=SMG,0,IF(W9&lt;0,0,W9))</f>
        <v>1805.41</v>
      </c>
      <c r="Z9" s="277">
        <v>0</v>
      </c>
      <c r="AA9" s="276">
        <f t="shared" ref="AA9" si="11">SUM(Y9:Z9)</f>
        <v>1805.41</v>
      </c>
      <c r="AB9" s="276">
        <f t="shared" ref="AB9" si="12">M9+X9-AA9</f>
        <v>10500</v>
      </c>
      <c r="AC9" s="278"/>
    </row>
    <row r="10" spans="1:30" ht="56.25" customHeight="1" x14ac:dyDescent="0.25">
      <c r="A10" s="138"/>
      <c r="B10" s="148" t="s">
        <v>95</v>
      </c>
      <c r="C10" s="148" t="s">
        <v>120</v>
      </c>
      <c r="D10" s="179" t="s">
        <v>478</v>
      </c>
      <c r="E10" s="160" t="s">
        <v>96</v>
      </c>
      <c r="F10" s="160"/>
      <c r="G10" s="168"/>
      <c r="H10" s="160" t="s">
        <v>61</v>
      </c>
      <c r="I10" s="180"/>
      <c r="J10" s="37"/>
      <c r="K10" s="181">
        <f>K11</f>
        <v>8299</v>
      </c>
      <c r="L10" s="181">
        <f>L11</f>
        <v>0</v>
      </c>
      <c r="M10" s="181">
        <f>M11</f>
        <v>8299</v>
      </c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1">
        <f>X11</f>
        <v>0</v>
      </c>
      <c r="Y10" s="181">
        <f>Y11</f>
        <v>949.64</v>
      </c>
      <c r="Z10" s="181">
        <f>Z11</f>
        <v>0</v>
      </c>
      <c r="AA10" s="181">
        <f>AA11</f>
        <v>949.64</v>
      </c>
      <c r="AB10" s="181">
        <f>AB11</f>
        <v>7349.36</v>
      </c>
      <c r="AC10" s="182"/>
    </row>
    <row r="11" spans="1:30" s="318" customFormat="1" ht="166.5" customHeight="1" x14ac:dyDescent="0.2">
      <c r="A11" s="315"/>
      <c r="B11" s="266" t="s">
        <v>490</v>
      </c>
      <c r="C11" s="267" t="s">
        <v>114</v>
      </c>
      <c r="D11" s="268" t="s">
        <v>505</v>
      </c>
      <c r="E11" s="269" t="s">
        <v>480</v>
      </c>
      <c r="F11" s="269" t="s">
        <v>481</v>
      </c>
      <c r="G11" s="294">
        <v>45581</v>
      </c>
      <c r="H11" s="286" t="s">
        <v>479</v>
      </c>
      <c r="I11" s="287">
        <v>15</v>
      </c>
      <c r="J11" s="317">
        <f>ROUND(K11/I11,2)</f>
        <v>553.27</v>
      </c>
      <c r="K11" s="295">
        <v>8299</v>
      </c>
      <c r="L11" s="296">
        <v>0</v>
      </c>
      <c r="M11" s="297">
        <f t="shared" ref="M11" si="13">SUM(K11:L11)</f>
        <v>8299</v>
      </c>
      <c r="N11" s="298">
        <f>IF(K11/15&lt;=SMG,0,L11/2)</f>
        <v>0</v>
      </c>
      <c r="O11" s="314">
        <f>(K11+N11)/I11*30.4</f>
        <v>16819.306666666664</v>
      </c>
      <c r="P11" s="314">
        <f>VLOOKUP(O11,Tarifa,1)</f>
        <v>15487.72</v>
      </c>
      <c r="Q11" s="298">
        <f>O11-P11</f>
        <v>1331.5866666666643</v>
      </c>
      <c r="R11" s="299">
        <f>VLOOKUP(O11,Tarifa,3)</f>
        <v>0.21360000000000001</v>
      </c>
      <c r="S11" s="298">
        <f>Q11*R11</f>
        <v>284.4269119999995</v>
      </c>
      <c r="T11" s="300">
        <f>VLOOKUP(O11,Tarifa,2)</f>
        <v>1640.18</v>
      </c>
      <c r="U11" s="298">
        <f>S11+T11</f>
        <v>1924.6069119999995</v>
      </c>
      <c r="V11" s="298">
        <f>VLOOKUP(O11,Credito,2)</f>
        <v>0</v>
      </c>
      <c r="W11" s="298">
        <f>ROUND((U11-V11)/30.4*I11,2)</f>
        <v>949.64</v>
      </c>
      <c r="X11" s="297">
        <f>-IF(W11&gt;0,0,0)</f>
        <v>0</v>
      </c>
      <c r="Y11" s="297">
        <f t="shared" ref="Y11" si="14">IF(K11/15&lt;=SMG,0,IF(W11&lt;0,0,W11))</f>
        <v>949.64</v>
      </c>
      <c r="Z11" s="301">
        <v>0</v>
      </c>
      <c r="AA11" s="297">
        <f t="shared" ref="AA11" si="15">SUM(Y11:Z11)</f>
        <v>949.64</v>
      </c>
      <c r="AB11" s="297">
        <f t="shared" ref="AB11" si="16">M11+X11-AA11</f>
        <v>7349.36</v>
      </c>
      <c r="AC11" s="278"/>
    </row>
    <row r="12" spans="1:30" ht="53.25" customHeight="1" x14ac:dyDescent="0.25">
      <c r="A12" s="138"/>
      <c r="B12" s="148" t="s">
        <v>95</v>
      </c>
      <c r="C12" s="148" t="s">
        <v>120</v>
      </c>
      <c r="D12" s="164" t="s">
        <v>75</v>
      </c>
      <c r="E12" s="160" t="s">
        <v>96</v>
      </c>
      <c r="F12" s="160" t="s">
        <v>220</v>
      </c>
      <c r="G12" s="168"/>
      <c r="H12" s="160" t="s">
        <v>61</v>
      </c>
      <c r="I12" s="160"/>
      <c r="J12" s="37"/>
      <c r="K12" s="181">
        <f>SUM(K13)</f>
        <v>12829</v>
      </c>
      <c r="L12" s="181">
        <f>SUM(L13)</f>
        <v>0</v>
      </c>
      <c r="M12" s="181">
        <f>SUM(M13)</f>
        <v>12829</v>
      </c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1">
        <f>SUM(X13)</f>
        <v>0</v>
      </c>
      <c r="Y12" s="181">
        <f>SUM(Y13)</f>
        <v>1917.25</v>
      </c>
      <c r="Z12" s="181">
        <f>SUM(Z13)</f>
        <v>0</v>
      </c>
      <c r="AA12" s="181">
        <f>SUM(AA13)</f>
        <v>1917.25</v>
      </c>
      <c r="AB12" s="181">
        <f>SUM(AB13)</f>
        <v>10911.75</v>
      </c>
      <c r="AC12" s="182"/>
    </row>
    <row r="13" spans="1:30" s="318" customFormat="1" ht="165.75" customHeight="1" x14ac:dyDescent="0.2">
      <c r="A13" s="315"/>
      <c r="B13" s="319">
        <v>160</v>
      </c>
      <c r="C13" s="289" t="s">
        <v>114</v>
      </c>
      <c r="D13" s="268" t="s">
        <v>450</v>
      </c>
      <c r="E13" s="320" t="s">
        <v>451</v>
      </c>
      <c r="F13" s="269" t="s">
        <v>452</v>
      </c>
      <c r="G13" s="294">
        <v>45566</v>
      </c>
      <c r="H13" s="269" t="s">
        <v>75</v>
      </c>
      <c r="I13" s="316">
        <v>15</v>
      </c>
      <c r="J13" s="317">
        <f>ROUND(K13/I13,2)</f>
        <v>855.27</v>
      </c>
      <c r="K13" s="321">
        <v>12829</v>
      </c>
      <c r="L13" s="322">
        <v>0</v>
      </c>
      <c r="M13" s="323">
        <f>SUM(K13:L13)</f>
        <v>12829</v>
      </c>
      <c r="N13" s="298">
        <f>IF(K13/15&lt;=SMG,0,L13/2)</f>
        <v>0</v>
      </c>
      <c r="O13" s="314">
        <f>(K13+N13)/I13*30.4</f>
        <v>26000.106666666667</v>
      </c>
      <c r="P13" s="314">
        <f>VLOOKUP(O13,Tarifa,1)</f>
        <v>15487.72</v>
      </c>
      <c r="Q13" s="298">
        <f>O13-P13</f>
        <v>10512.386666666667</v>
      </c>
      <c r="R13" s="299">
        <f>VLOOKUP(O13,Tarifa,3)</f>
        <v>0.21360000000000001</v>
      </c>
      <c r="S13" s="298">
        <f>Q13*R13</f>
        <v>2245.4457920000004</v>
      </c>
      <c r="T13" s="300">
        <f>VLOOKUP(O13,Tarifa,2)</f>
        <v>1640.18</v>
      </c>
      <c r="U13" s="298">
        <f>S13+T13</f>
        <v>3885.6257920000007</v>
      </c>
      <c r="V13" s="298">
        <f>VLOOKUP(O13,Credito,2)</f>
        <v>0</v>
      </c>
      <c r="W13" s="298">
        <f>ROUND((U13-V13)/30.4*I13,2)</f>
        <v>1917.25</v>
      </c>
      <c r="X13" s="297">
        <f>-IF(W13&gt;0,0,0)</f>
        <v>0</v>
      </c>
      <c r="Y13" s="297">
        <f>IF(K13/15&lt;=SMG,0,IF(W13&lt;0,0,W13))</f>
        <v>1917.25</v>
      </c>
      <c r="Z13" s="301">
        <v>0</v>
      </c>
      <c r="AA13" s="297">
        <f>SUM(Y13:Z13)</f>
        <v>1917.25</v>
      </c>
      <c r="AB13" s="297">
        <f>M13+X13-AA13</f>
        <v>10911.75</v>
      </c>
      <c r="AC13" s="278"/>
    </row>
    <row r="14" spans="1:30" ht="40.5" customHeight="1" thickBot="1" x14ac:dyDescent="0.3">
      <c r="A14" s="441" t="s">
        <v>44</v>
      </c>
      <c r="B14" s="442"/>
      <c r="C14" s="442"/>
      <c r="D14" s="442"/>
      <c r="E14" s="442"/>
      <c r="F14" s="442"/>
      <c r="G14" s="442"/>
      <c r="H14" s="442"/>
      <c r="I14" s="442"/>
      <c r="J14" s="443"/>
      <c r="K14" s="158">
        <f>K8+K10+K12</f>
        <v>33433.410000000003</v>
      </c>
      <c r="L14" s="158">
        <f>L8+L10+L12</f>
        <v>0</v>
      </c>
      <c r="M14" s="158">
        <f>M8+M10+M12</f>
        <v>33433.410000000003</v>
      </c>
      <c r="N14" s="137" t="e">
        <f>SUM(#REF!)</f>
        <v>#REF!</v>
      </c>
      <c r="O14" s="137" t="e">
        <f>SUM(#REF!)</f>
        <v>#REF!</v>
      </c>
      <c r="P14" s="137" t="e">
        <f>SUM(#REF!)</f>
        <v>#REF!</v>
      </c>
      <c r="Q14" s="137" t="e">
        <f>SUM(#REF!)</f>
        <v>#REF!</v>
      </c>
      <c r="R14" s="137" t="e">
        <f>SUM(#REF!)</f>
        <v>#REF!</v>
      </c>
      <c r="S14" s="137" t="e">
        <f>SUM(#REF!)</f>
        <v>#REF!</v>
      </c>
      <c r="T14" s="137" t="e">
        <f>SUM(#REF!)</f>
        <v>#REF!</v>
      </c>
      <c r="U14" s="137" t="e">
        <f>SUM(#REF!)</f>
        <v>#REF!</v>
      </c>
      <c r="V14" s="137" t="e">
        <f>SUM(#REF!)</f>
        <v>#REF!</v>
      </c>
      <c r="W14" s="137" t="e">
        <f>SUM(#REF!)</f>
        <v>#REF!</v>
      </c>
      <c r="X14" s="158">
        <f>X8+X10+X12</f>
        <v>0</v>
      </c>
      <c r="Y14" s="158">
        <f>Y8+Y10+Y12</f>
        <v>4672.3</v>
      </c>
      <c r="Z14" s="158">
        <f>Z8+Z10+Z12</f>
        <v>0</v>
      </c>
      <c r="AA14" s="158">
        <f>AA8+AA10+AA12</f>
        <v>4672.3</v>
      </c>
      <c r="AB14" s="158">
        <f>AB8+AB10+AB12</f>
        <v>28761.11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13" t="s">
        <v>476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13" t="s">
        <v>144</v>
      </c>
      <c r="Z28" s="108"/>
      <c r="AA28" s="108"/>
      <c r="AB28" s="108"/>
      <c r="AC28" s="108"/>
    </row>
    <row r="29" spans="4:41" ht="18" x14ac:dyDescent="0.25">
      <c r="D29" s="213" t="s">
        <v>491</v>
      </c>
      <c r="E29" s="213"/>
      <c r="F29" s="213"/>
      <c r="G29" s="213"/>
      <c r="H29" s="213"/>
      <c r="I29" s="213"/>
      <c r="J29" s="213"/>
      <c r="K29" s="213"/>
      <c r="L29" s="213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13" t="s">
        <v>209</v>
      </c>
      <c r="Z29" s="108"/>
      <c r="AA29" s="213"/>
      <c r="AB29" s="213"/>
      <c r="AC29" s="213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0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50"/>
  <sheetViews>
    <sheetView topLeftCell="B1" zoomScale="66" zoomScaleNormal="66" workbookViewId="0">
      <selection activeCell="B20" sqref="A20:XFD25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10" hidden="1" customWidth="1"/>
    <col min="10" max="10" width="12.7109375" hidden="1" customWidth="1"/>
    <col min="11" max="11" width="18" customWidth="1"/>
    <col min="12" max="12" width="17.42578125" customWidth="1"/>
    <col min="13" max="13" width="18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6.42578125" customWidth="1"/>
    <col min="26" max="27" width="15.710937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44" t="s">
        <v>77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</row>
    <row r="2" spans="1:35" ht="19.5" x14ac:dyDescent="0.25">
      <c r="A2" s="444" t="s">
        <v>64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  <c r="V2" s="444"/>
      <c r="W2" s="444"/>
      <c r="X2" s="444"/>
      <c r="Y2" s="444"/>
      <c r="Z2" s="444"/>
      <c r="AA2" s="444"/>
      <c r="AB2" s="444"/>
      <c r="AC2" s="444"/>
    </row>
    <row r="3" spans="1:35" ht="19.5" x14ac:dyDescent="0.25">
      <c r="A3" s="445" t="str">
        <f>PRESIDENCIA!A3</f>
        <v>SUELDO  DEL 01 AL 15 DE DICIEMBRE DE 2025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445"/>
      <c r="T3" s="445"/>
      <c r="U3" s="445"/>
      <c r="V3" s="445"/>
      <c r="W3" s="445"/>
      <c r="X3" s="445"/>
      <c r="Y3" s="445"/>
      <c r="Z3" s="445"/>
      <c r="AA3" s="445"/>
      <c r="AB3" s="445"/>
      <c r="AC3" s="445"/>
    </row>
    <row r="4" spans="1:35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67" t="s">
        <v>115</v>
      </c>
      <c r="D5" s="48"/>
      <c r="E5" s="48"/>
      <c r="F5" s="48"/>
      <c r="G5" s="48"/>
      <c r="H5" s="48"/>
      <c r="I5" s="49" t="s">
        <v>22</v>
      </c>
      <c r="J5" s="49" t="s">
        <v>5</v>
      </c>
      <c r="K5" s="470" t="s">
        <v>1</v>
      </c>
      <c r="L5" s="471"/>
      <c r="M5" s="472"/>
      <c r="N5" s="50" t="s">
        <v>25</v>
      </c>
      <c r="O5" s="51"/>
      <c r="P5" s="473" t="s">
        <v>8</v>
      </c>
      <c r="Q5" s="474"/>
      <c r="R5" s="474"/>
      <c r="S5" s="474"/>
      <c r="T5" s="474"/>
      <c r="U5" s="475"/>
      <c r="V5" s="50" t="s">
        <v>29</v>
      </c>
      <c r="W5" s="50" t="s">
        <v>9</v>
      </c>
      <c r="X5" s="49" t="s">
        <v>52</v>
      </c>
      <c r="Y5" s="476" t="s">
        <v>2</v>
      </c>
      <c r="Z5" s="477"/>
      <c r="AA5" s="478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95</v>
      </c>
      <c r="C6" s="468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266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69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121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96</v>
      </c>
      <c r="F8" s="127" t="s">
        <v>220</v>
      </c>
      <c r="G8" s="125" t="s">
        <v>272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80" customFormat="1" ht="219" customHeight="1" x14ac:dyDescent="0.2">
      <c r="A9" s="265" t="s">
        <v>84</v>
      </c>
      <c r="B9" s="266" t="s">
        <v>449</v>
      </c>
      <c r="C9" s="267" t="s">
        <v>114</v>
      </c>
      <c r="D9" s="268" t="s">
        <v>399</v>
      </c>
      <c r="E9" s="269" t="s">
        <v>477</v>
      </c>
      <c r="F9" s="269" t="s">
        <v>400</v>
      </c>
      <c r="G9" s="270">
        <v>45566</v>
      </c>
      <c r="H9" s="271" t="s">
        <v>506</v>
      </c>
      <c r="I9" s="272">
        <v>15</v>
      </c>
      <c r="J9" s="273">
        <f t="shared" ref="J9:J12" si="0">K9/I9</f>
        <v>947.52266666666662</v>
      </c>
      <c r="K9" s="295">
        <v>14212.84</v>
      </c>
      <c r="L9" s="296">
        <v>0</v>
      </c>
      <c r="M9" s="297">
        <f>SUM(K9:L9)</f>
        <v>14212.84</v>
      </c>
      <c r="N9" s="298">
        <f>IF(K9/15&lt;=SMG,0,L9/2)</f>
        <v>0</v>
      </c>
      <c r="O9" s="314">
        <f>(K9+N9)/I9*30.4</f>
        <v>28804.689066666662</v>
      </c>
      <c r="P9" s="314">
        <f>VLOOKUP(O9,Tarifa,1)</f>
        <v>15487.72</v>
      </c>
      <c r="Q9" s="298">
        <f>O9-P9</f>
        <v>13316.969066666663</v>
      </c>
      <c r="R9" s="299">
        <f>VLOOKUP(O9,Tarifa,3)</f>
        <v>0.21360000000000001</v>
      </c>
      <c r="S9" s="298">
        <f>Q9*R9</f>
        <v>2844.5045926399994</v>
      </c>
      <c r="T9" s="300">
        <f>VLOOKUP(O9,Tarifa,2)</f>
        <v>1640.18</v>
      </c>
      <c r="U9" s="298">
        <f>S9+T9</f>
        <v>4484.6845926399992</v>
      </c>
      <c r="V9" s="298">
        <f>VLOOKUP(O9,Credito,2)</f>
        <v>0</v>
      </c>
      <c r="W9" s="298">
        <f>ROUND((U9-V9)/30.4*I9,2)</f>
        <v>2212.84</v>
      </c>
      <c r="X9" s="297">
        <f>-IF(W9&gt;0,0,0)</f>
        <v>0</v>
      </c>
      <c r="Y9" s="297">
        <f>IF(K9/15&lt;=SMG,0,IF(W9&lt;0,0,W9))</f>
        <v>2212.84</v>
      </c>
      <c r="Z9" s="301">
        <v>0</v>
      </c>
      <c r="AA9" s="297">
        <f>SUM(Y9:Z9)</f>
        <v>2212.84</v>
      </c>
      <c r="AB9" s="297">
        <f>M9+X9-AA9</f>
        <v>12000</v>
      </c>
      <c r="AC9" s="278"/>
      <c r="AD9" s="279"/>
      <c r="AI9" s="281"/>
    </row>
    <row r="10" spans="1:35" s="280" customFormat="1" ht="219" customHeight="1" x14ac:dyDescent="0.2">
      <c r="A10" s="265"/>
      <c r="B10" s="266" t="s">
        <v>483</v>
      </c>
      <c r="C10" s="267" t="s">
        <v>114</v>
      </c>
      <c r="D10" s="268" t="s">
        <v>484</v>
      </c>
      <c r="E10" s="269" t="s">
        <v>485</v>
      </c>
      <c r="F10" s="269" t="s">
        <v>486</v>
      </c>
      <c r="G10" s="270">
        <v>45581</v>
      </c>
      <c r="H10" s="271" t="s">
        <v>508</v>
      </c>
      <c r="I10" s="272">
        <v>15</v>
      </c>
      <c r="J10" s="273">
        <f t="shared" si="0"/>
        <v>803.4</v>
      </c>
      <c r="K10" s="274">
        <v>12051</v>
      </c>
      <c r="L10" s="275">
        <v>0</v>
      </c>
      <c r="M10" s="276">
        <f>SUM(K10:L10)</f>
        <v>12051</v>
      </c>
      <c r="N10" s="298">
        <f t="shared" ref="N10:N12" si="1">IF(K10/15&lt;=SMG,0,L10/2)</f>
        <v>0</v>
      </c>
      <c r="O10" s="314">
        <f t="shared" ref="O10:O12" si="2">(K10+N10)/I10*30.4</f>
        <v>24423.359999999997</v>
      </c>
      <c r="P10" s="314">
        <f t="shared" ref="P10:P12" si="3">VLOOKUP(O10,Tarifa,1)</f>
        <v>15487.72</v>
      </c>
      <c r="Q10" s="298">
        <f t="shared" ref="Q10:Q12" si="4">O10-P10</f>
        <v>8935.6399999999976</v>
      </c>
      <c r="R10" s="299">
        <f t="shared" ref="R10:R12" si="5">VLOOKUP(O10,Tarifa,3)</f>
        <v>0.21360000000000001</v>
      </c>
      <c r="S10" s="298">
        <f t="shared" ref="S10:S12" si="6">Q10*R10</f>
        <v>1908.6527039999996</v>
      </c>
      <c r="T10" s="300">
        <f t="shared" ref="T10:T12" si="7">VLOOKUP(O10,Tarifa,2)</f>
        <v>1640.18</v>
      </c>
      <c r="U10" s="298">
        <f t="shared" ref="U10:U12" si="8">S10+T10</f>
        <v>3548.8327039999995</v>
      </c>
      <c r="V10" s="298">
        <f t="shared" ref="V10:V12" si="9">VLOOKUP(O10,Credito,2)</f>
        <v>0</v>
      </c>
      <c r="W10" s="298">
        <f t="shared" ref="W10:W12" si="10">ROUND((U10-V10)/30.4*I10,2)</f>
        <v>1751.07</v>
      </c>
      <c r="X10" s="276">
        <f>-IF(W10&gt;0,0,0)</f>
        <v>0</v>
      </c>
      <c r="Y10" s="276">
        <f t="shared" ref="Y10" si="11">IF(K10/15&lt;=SMG,0,IF(W10&lt;0,0,W10))</f>
        <v>1751.07</v>
      </c>
      <c r="Z10" s="277">
        <v>0</v>
      </c>
      <c r="AA10" s="276">
        <f t="shared" ref="AA10" si="12">SUM(Y10:Z10)</f>
        <v>1751.07</v>
      </c>
      <c r="AB10" s="276">
        <f t="shared" ref="AB10" si="13">M10+X10-AA10</f>
        <v>10299.93</v>
      </c>
      <c r="AC10" s="278"/>
      <c r="AD10" s="279"/>
      <c r="AI10" s="281"/>
    </row>
    <row r="11" spans="1:35" s="280" customFormat="1" ht="219" customHeight="1" x14ac:dyDescent="0.2">
      <c r="A11" s="265"/>
      <c r="B11" s="266" t="s">
        <v>292</v>
      </c>
      <c r="C11" s="267" t="s">
        <v>114</v>
      </c>
      <c r="D11" s="268" t="s">
        <v>303</v>
      </c>
      <c r="E11" s="269" t="s">
        <v>304</v>
      </c>
      <c r="F11" s="269" t="s">
        <v>306</v>
      </c>
      <c r="G11" s="270">
        <v>45139</v>
      </c>
      <c r="H11" s="271" t="s">
        <v>305</v>
      </c>
      <c r="I11" s="272">
        <v>15</v>
      </c>
      <c r="J11" s="273">
        <f t="shared" si="0"/>
        <v>309.60000000000002</v>
      </c>
      <c r="K11" s="274">
        <v>4644</v>
      </c>
      <c r="L11" s="275">
        <v>0</v>
      </c>
      <c r="M11" s="276">
        <f>SUM(K11:L11)</f>
        <v>4644</v>
      </c>
      <c r="N11" s="298">
        <f t="shared" si="1"/>
        <v>0</v>
      </c>
      <c r="O11" s="314">
        <f t="shared" si="2"/>
        <v>9411.84</v>
      </c>
      <c r="P11" s="314">
        <f t="shared" si="3"/>
        <v>6332.06</v>
      </c>
      <c r="Q11" s="298">
        <f t="shared" si="4"/>
        <v>3079.7799999999997</v>
      </c>
      <c r="R11" s="299">
        <f t="shared" si="5"/>
        <v>0.10879999999999999</v>
      </c>
      <c r="S11" s="298">
        <f t="shared" si="6"/>
        <v>335.08006399999994</v>
      </c>
      <c r="T11" s="300">
        <f t="shared" si="7"/>
        <v>371.83</v>
      </c>
      <c r="U11" s="298">
        <f t="shared" si="8"/>
        <v>706.91006399999992</v>
      </c>
      <c r="V11" s="298">
        <f t="shared" si="9"/>
        <v>475</v>
      </c>
      <c r="W11" s="298">
        <f t="shared" si="10"/>
        <v>114.43</v>
      </c>
      <c r="X11" s="276">
        <f t="shared" ref="X11:X12" si="14">-IF(W11&gt;0,0,0)</f>
        <v>0</v>
      </c>
      <c r="Y11" s="276">
        <f>IF(K11/15&lt;=SMG,0,IF(W11&lt;0,0,W11))</f>
        <v>114.43</v>
      </c>
      <c r="Z11" s="277">
        <v>0</v>
      </c>
      <c r="AA11" s="276">
        <f>SUM(Y11:Z11)</f>
        <v>114.43</v>
      </c>
      <c r="AB11" s="276">
        <f>M11+X11-AA11</f>
        <v>4529.57</v>
      </c>
      <c r="AC11" s="278"/>
      <c r="AD11" s="279"/>
      <c r="AI11" s="281"/>
    </row>
    <row r="12" spans="1:35" s="280" customFormat="1" ht="219" customHeight="1" x14ac:dyDescent="0.2">
      <c r="A12" s="265"/>
      <c r="B12" s="267" t="s">
        <v>181</v>
      </c>
      <c r="C12" s="267" t="s">
        <v>114</v>
      </c>
      <c r="D12" s="268" t="s">
        <v>182</v>
      </c>
      <c r="E12" s="269" t="s">
        <v>183</v>
      </c>
      <c r="F12" s="269" t="s">
        <v>244</v>
      </c>
      <c r="G12" s="270">
        <v>43983</v>
      </c>
      <c r="H12" s="271" t="s">
        <v>655</v>
      </c>
      <c r="I12" s="272">
        <v>15</v>
      </c>
      <c r="J12" s="273">
        <f t="shared" si="0"/>
        <v>803.4</v>
      </c>
      <c r="K12" s="274">
        <v>12051</v>
      </c>
      <c r="L12" s="275">
        <v>0</v>
      </c>
      <c r="M12" s="276">
        <f>SUM(K12:L12)</f>
        <v>12051</v>
      </c>
      <c r="N12" s="298">
        <f t="shared" si="1"/>
        <v>0</v>
      </c>
      <c r="O12" s="314">
        <f t="shared" si="2"/>
        <v>24423.359999999997</v>
      </c>
      <c r="P12" s="314">
        <f t="shared" si="3"/>
        <v>15487.72</v>
      </c>
      <c r="Q12" s="298">
        <f t="shared" si="4"/>
        <v>8935.6399999999976</v>
      </c>
      <c r="R12" s="299">
        <f t="shared" si="5"/>
        <v>0.21360000000000001</v>
      </c>
      <c r="S12" s="298">
        <f t="shared" si="6"/>
        <v>1908.6527039999996</v>
      </c>
      <c r="T12" s="300">
        <f t="shared" si="7"/>
        <v>1640.18</v>
      </c>
      <c r="U12" s="298">
        <f t="shared" si="8"/>
        <v>3548.8327039999995</v>
      </c>
      <c r="V12" s="298">
        <f t="shared" si="9"/>
        <v>0</v>
      </c>
      <c r="W12" s="298">
        <f t="shared" si="10"/>
        <v>1751.07</v>
      </c>
      <c r="X12" s="276">
        <f t="shared" si="14"/>
        <v>0</v>
      </c>
      <c r="Y12" s="276">
        <f t="shared" ref="Y12" si="15">IF(K12/15&lt;=SMG,0,IF(W12&lt;0,0,W12))</f>
        <v>1751.07</v>
      </c>
      <c r="Z12" s="277">
        <v>0</v>
      </c>
      <c r="AA12" s="276">
        <f t="shared" ref="AA12" si="16">SUM(Y12:Z12)</f>
        <v>1751.07</v>
      </c>
      <c r="AB12" s="276">
        <f t="shared" ref="AB12" si="17">M12+X12-AA12</f>
        <v>10299.93</v>
      </c>
      <c r="AC12" s="278"/>
      <c r="AD12" s="279"/>
      <c r="AI12" s="281"/>
    </row>
    <row r="13" spans="1:35" s="280" customFormat="1" ht="219" customHeight="1" x14ac:dyDescent="0.2">
      <c r="A13" s="265"/>
      <c r="B13" s="289" t="s">
        <v>270</v>
      </c>
      <c r="C13" s="283" t="s">
        <v>114</v>
      </c>
      <c r="D13" s="290" t="s">
        <v>267</v>
      </c>
      <c r="E13" s="291" t="s">
        <v>268</v>
      </c>
      <c r="F13" s="291" t="s">
        <v>269</v>
      </c>
      <c r="G13" s="292">
        <v>44958</v>
      </c>
      <c r="H13" s="286" t="s">
        <v>137</v>
      </c>
      <c r="I13" s="287">
        <v>15</v>
      </c>
      <c r="J13" s="273">
        <f t="shared" ref="J13:J14" si="18">K13/I13</f>
        <v>380.43333333333334</v>
      </c>
      <c r="K13" s="274">
        <v>5706.5</v>
      </c>
      <c r="L13" s="275">
        <v>0</v>
      </c>
      <c r="M13" s="276">
        <f>SUM(K13:L13)</f>
        <v>5706.5</v>
      </c>
      <c r="N13" s="298">
        <f t="shared" ref="N13:N14" si="19">IF(K13/15&lt;=SMG,0,L13/2)</f>
        <v>0</v>
      </c>
      <c r="O13" s="314">
        <f t="shared" ref="O13:O14" si="20">(K13+N13)/I13*30.4</f>
        <v>11565.173333333332</v>
      </c>
      <c r="P13" s="314">
        <f t="shared" ref="P13:P14" si="21">VLOOKUP(O13,Tarifa,1)</f>
        <v>11128.02</v>
      </c>
      <c r="Q13" s="298">
        <f t="shared" ref="Q13:Q14" si="22">O13-P13</f>
        <v>437.15333333333183</v>
      </c>
      <c r="R13" s="299">
        <f t="shared" ref="R13:R14" si="23">VLOOKUP(O13,Tarifa,3)</f>
        <v>0.16</v>
      </c>
      <c r="S13" s="298">
        <f t="shared" ref="S13:S14" si="24">Q13*R13</f>
        <v>69.944533333333098</v>
      </c>
      <c r="T13" s="300">
        <f t="shared" ref="T13:T14" si="25">VLOOKUP(O13,Tarifa,2)</f>
        <v>893.63</v>
      </c>
      <c r="U13" s="298">
        <f t="shared" ref="U13:U14" si="26">S13+T13</f>
        <v>963.57453333333308</v>
      </c>
      <c r="V13" s="298">
        <f t="shared" ref="V13:V14" si="27">VLOOKUP(O13,Credito,2)</f>
        <v>0</v>
      </c>
      <c r="W13" s="298">
        <f t="shared" ref="W13:W14" si="28">ROUND((U13-V13)/30.4*I13,2)</f>
        <v>475.45</v>
      </c>
      <c r="X13" s="276">
        <f>-IF(W13&gt;0,0,0)</f>
        <v>0</v>
      </c>
      <c r="Y13" s="276">
        <f>IF(K13/15&lt;=SMG,0,IF(W13&lt;0,0,W13))</f>
        <v>475.45</v>
      </c>
      <c r="Z13" s="277">
        <v>0</v>
      </c>
      <c r="AA13" s="276">
        <f>SUM(Y13:Z13)</f>
        <v>475.45</v>
      </c>
      <c r="AB13" s="276">
        <f>M13+X13-AA13</f>
        <v>5231.05</v>
      </c>
      <c r="AC13" s="288"/>
      <c r="AD13" s="279"/>
      <c r="AI13" s="281"/>
    </row>
    <row r="14" spans="1:35" s="280" customFormat="1" ht="219" customHeight="1" x14ac:dyDescent="0.2">
      <c r="A14" s="265"/>
      <c r="B14" s="266" t="s">
        <v>549</v>
      </c>
      <c r="C14" s="266" t="s">
        <v>114</v>
      </c>
      <c r="D14" s="290" t="s">
        <v>540</v>
      </c>
      <c r="E14" s="291" t="s">
        <v>541</v>
      </c>
      <c r="F14" s="278" t="s">
        <v>542</v>
      </c>
      <c r="G14" s="324">
        <v>45698</v>
      </c>
      <c r="H14" s="271" t="s">
        <v>67</v>
      </c>
      <c r="I14" s="287">
        <v>15</v>
      </c>
      <c r="J14" s="273">
        <f t="shared" si="18"/>
        <v>506.81133333333332</v>
      </c>
      <c r="K14" s="274">
        <v>7602.17</v>
      </c>
      <c r="L14" s="275">
        <v>0</v>
      </c>
      <c r="M14" s="276">
        <f t="shared" ref="M14" si="29">SUM(K14:L14)</f>
        <v>7602.17</v>
      </c>
      <c r="N14" s="298">
        <f t="shared" si="19"/>
        <v>0</v>
      </c>
      <c r="O14" s="314">
        <f t="shared" si="20"/>
        <v>15407.064533333332</v>
      </c>
      <c r="P14" s="314">
        <f t="shared" si="21"/>
        <v>12935.83</v>
      </c>
      <c r="Q14" s="298">
        <f t="shared" si="22"/>
        <v>2471.2345333333324</v>
      </c>
      <c r="R14" s="299">
        <f t="shared" si="23"/>
        <v>0.1792</v>
      </c>
      <c r="S14" s="298">
        <f t="shared" si="24"/>
        <v>442.84522837333316</v>
      </c>
      <c r="T14" s="300">
        <f t="shared" si="25"/>
        <v>1182.8800000000001</v>
      </c>
      <c r="U14" s="298">
        <f t="shared" si="26"/>
        <v>1625.7252283733333</v>
      </c>
      <c r="V14" s="298">
        <f t="shared" si="27"/>
        <v>0</v>
      </c>
      <c r="W14" s="298">
        <f t="shared" si="28"/>
        <v>802.17</v>
      </c>
      <c r="X14" s="276">
        <f t="shared" ref="X14" si="30">-IF(W14&gt;0,0,0)</f>
        <v>0</v>
      </c>
      <c r="Y14" s="276">
        <f t="shared" ref="Y14" si="31">IF(K14/15&lt;=SMG,0,IF(W14&lt;0,0,W14))</f>
        <v>802.17</v>
      </c>
      <c r="Z14" s="277">
        <v>453.33</v>
      </c>
      <c r="AA14" s="276">
        <f t="shared" ref="AA14" si="32">SUM(Y14:Z14)</f>
        <v>1255.5</v>
      </c>
      <c r="AB14" s="276">
        <f t="shared" ref="AB14" si="33">M14+X14-AA14</f>
        <v>6346.67</v>
      </c>
      <c r="AC14" s="288"/>
      <c r="AD14" s="279"/>
      <c r="AI14" s="281"/>
    </row>
    <row r="15" spans="1:35" s="91" customFormat="1" ht="21" customHeight="1" x14ac:dyDescent="0.3">
      <c r="A15" s="143"/>
      <c r="B15" s="244"/>
      <c r="C15" s="214"/>
      <c r="D15" s="215"/>
      <c r="E15" s="216"/>
      <c r="F15" s="216"/>
      <c r="G15" s="243"/>
      <c r="H15" s="150"/>
      <c r="I15" s="151"/>
      <c r="J15" s="152"/>
      <c r="K15" s="220"/>
      <c r="L15" s="221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  <c r="AD15" s="92"/>
      <c r="AI15" s="93"/>
    </row>
    <row r="16" spans="1:35" s="91" customFormat="1" ht="32.25" customHeight="1" x14ac:dyDescent="0.25">
      <c r="A16" s="143"/>
      <c r="B16" s="444" t="s">
        <v>77</v>
      </c>
      <c r="C16" s="444"/>
      <c r="D16" s="444"/>
      <c r="E16" s="444"/>
      <c r="F16" s="444"/>
      <c r="G16" s="444"/>
      <c r="H16" s="444"/>
      <c r="I16" s="444"/>
      <c r="J16" s="444"/>
      <c r="K16" s="444"/>
      <c r="L16" s="444"/>
      <c r="M16" s="444"/>
      <c r="N16" s="444"/>
      <c r="O16" s="444"/>
      <c r="P16" s="444"/>
      <c r="Q16" s="444"/>
      <c r="R16" s="444"/>
      <c r="S16" s="444"/>
      <c r="T16" s="444"/>
      <c r="U16" s="444"/>
      <c r="V16" s="444"/>
      <c r="W16" s="444"/>
      <c r="X16" s="444"/>
      <c r="Y16" s="444"/>
      <c r="Z16" s="444"/>
      <c r="AA16" s="444"/>
      <c r="AB16" s="444"/>
      <c r="AC16" s="444"/>
      <c r="AD16" s="444"/>
      <c r="AI16" s="93"/>
    </row>
    <row r="17" spans="1:35" s="91" customFormat="1" ht="24" customHeight="1" x14ac:dyDescent="0.25">
      <c r="A17" s="143"/>
      <c r="B17" s="444" t="s">
        <v>64</v>
      </c>
      <c r="C17" s="444"/>
      <c r="D17" s="444"/>
      <c r="E17" s="444"/>
      <c r="F17" s="444"/>
      <c r="G17" s="444"/>
      <c r="H17" s="444"/>
      <c r="I17" s="444"/>
      <c r="J17" s="444"/>
      <c r="K17" s="444"/>
      <c r="L17" s="444"/>
      <c r="M17" s="444"/>
      <c r="N17" s="444"/>
      <c r="O17" s="444"/>
      <c r="P17" s="444"/>
      <c r="Q17" s="444"/>
      <c r="R17" s="444"/>
      <c r="S17" s="444"/>
      <c r="T17" s="444"/>
      <c r="U17" s="444"/>
      <c r="V17" s="444"/>
      <c r="W17" s="444"/>
      <c r="X17" s="444"/>
      <c r="Y17" s="444"/>
      <c r="Z17" s="444"/>
      <c r="AA17" s="444"/>
      <c r="AB17" s="444"/>
      <c r="AC17" s="444"/>
      <c r="AD17" s="444"/>
      <c r="AI17" s="93"/>
    </row>
    <row r="18" spans="1:35" s="91" customFormat="1" ht="27.75" customHeight="1" x14ac:dyDescent="0.3">
      <c r="A18" s="143"/>
      <c r="B18" s="465" t="str">
        <f>PRESIDENCIA!A3</f>
        <v>SUELDO  DEL 01 AL 15 DE DICIEMBRE DE 2025</v>
      </c>
      <c r="C18" s="465"/>
      <c r="D18" s="465"/>
      <c r="E18" s="465"/>
      <c r="F18" s="465"/>
      <c r="G18" s="465"/>
      <c r="H18" s="465"/>
      <c r="I18" s="465"/>
      <c r="J18" s="465"/>
      <c r="K18" s="465"/>
      <c r="L18" s="465"/>
      <c r="M18" s="465"/>
      <c r="N18" s="465"/>
      <c r="O18" s="465"/>
      <c r="P18" s="465"/>
      <c r="Q18" s="465"/>
      <c r="R18" s="465"/>
      <c r="S18" s="465"/>
      <c r="T18" s="465"/>
      <c r="U18" s="465"/>
      <c r="V18" s="465"/>
      <c r="W18" s="465"/>
      <c r="X18" s="465"/>
      <c r="Y18" s="465"/>
      <c r="Z18" s="465"/>
      <c r="AA18" s="465"/>
      <c r="AB18" s="465"/>
      <c r="AC18" s="465"/>
      <c r="AD18" s="92"/>
      <c r="AI18" s="93"/>
    </row>
    <row r="19" spans="1:35" s="91" customFormat="1" ht="26.25" customHeight="1" x14ac:dyDescent="0.3">
      <c r="A19" s="143"/>
      <c r="B19" s="244"/>
      <c r="C19" s="214"/>
      <c r="D19" s="215"/>
      <c r="E19" s="216"/>
      <c r="F19" s="216"/>
      <c r="G19" s="243"/>
      <c r="H19" s="150"/>
      <c r="I19" s="151"/>
      <c r="J19" s="152"/>
      <c r="K19" s="220"/>
      <c r="L19" s="221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  <c r="AD19" s="92"/>
      <c r="AI19" s="93"/>
    </row>
    <row r="20" spans="1:35" s="280" customFormat="1" ht="227.25" customHeight="1" x14ac:dyDescent="0.2">
      <c r="A20" s="265"/>
      <c r="B20" s="266" t="s">
        <v>279</v>
      </c>
      <c r="C20" s="266" t="s">
        <v>114</v>
      </c>
      <c r="D20" s="290" t="s">
        <v>277</v>
      </c>
      <c r="E20" s="325" t="s">
        <v>280</v>
      </c>
      <c r="F20" s="326" t="s">
        <v>278</v>
      </c>
      <c r="G20" s="324">
        <v>45042</v>
      </c>
      <c r="H20" s="271" t="s">
        <v>507</v>
      </c>
      <c r="I20" s="287">
        <v>15</v>
      </c>
      <c r="J20" s="273">
        <f t="shared" ref="J20:J23" si="34">K20/I20</f>
        <v>604.86666666666667</v>
      </c>
      <c r="K20" s="274">
        <v>9073</v>
      </c>
      <c r="L20" s="275">
        <v>0</v>
      </c>
      <c r="M20" s="276">
        <f t="shared" ref="M20:M23" si="35">SUM(K20:L20)</f>
        <v>9073</v>
      </c>
      <c r="N20" s="298">
        <f t="shared" ref="N20:N23" si="36">IF(K20/15&lt;=SMG,0,L20/2)</f>
        <v>0</v>
      </c>
      <c r="O20" s="314">
        <f t="shared" ref="O20:O23" si="37">(K20+N20)/I20*30.4</f>
        <v>18387.946666666667</v>
      </c>
      <c r="P20" s="314">
        <f t="shared" ref="P20:P23" si="38">VLOOKUP(O20,Tarifa,1)</f>
        <v>15487.72</v>
      </c>
      <c r="Q20" s="298">
        <f t="shared" ref="Q20:Q23" si="39">O20-P20</f>
        <v>2900.2266666666674</v>
      </c>
      <c r="R20" s="299">
        <f t="shared" ref="R20:R23" si="40">VLOOKUP(O20,Tarifa,3)</f>
        <v>0.21360000000000001</v>
      </c>
      <c r="S20" s="298">
        <f t="shared" ref="S20:S23" si="41">Q20*R20</f>
        <v>619.48841600000014</v>
      </c>
      <c r="T20" s="300">
        <f t="shared" ref="T20:T23" si="42">VLOOKUP(O20,Tarifa,2)</f>
        <v>1640.18</v>
      </c>
      <c r="U20" s="298">
        <f t="shared" ref="U20:U23" si="43">S20+T20</f>
        <v>2259.6684160000004</v>
      </c>
      <c r="V20" s="298">
        <f t="shared" ref="V20:V23" si="44">VLOOKUP(O20,Credito,2)</f>
        <v>0</v>
      </c>
      <c r="W20" s="298">
        <f t="shared" ref="W20:W23" si="45">ROUND((U20-V20)/30.4*I20,2)</f>
        <v>1114.97</v>
      </c>
      <c r="X20" s="276">
        <f t="shared" ref="X20:X23" si="46">-IF(W20&gt;0,0,0)</f>
        <v>0</v>
      </c>
      <c r="Y20" s="276">
        <f t="shared" ref="Y20:Y23" si="47">IF(K20/15&lt;=SMG,0,IF(W20&lt;0,0,W20))</f>
        <v>1114.97</v>
      </c>
      <c r="Z20" s="277">
        <v>0</v>
      </c>
      <c r="AA20" s="276">
        <f t="shared" ref="AA20:AA23" si="48">SUM(Y20:Z20)</f>
        <v>1114.97</v>
      </c>
      <c r="AB20" s="276">
        <f t="shared" ref="AB20:AB22" si="49">M20+X20-AA20</f>
        <v>7958.03</v>
      </c>
      <c r="AC20" s="278"/>
      <c r="AD20" s="279"/>
      <c r="AI20" s="281"/>
    </row>
    <row r="21" spans="1:35" s="280" customFormat="1" ht="227.25" customHeight="1" x14ac:dyDescent="0.2">
      <c r="A21" s="265"/>
      <c r="B21" s="267" t="s">
        <v>521</v>
      </c>
      <c r="C21" s="267" t="s">
        <v>114</v>
      </c>
      <c r="D21" s="328" t="s">
        <v>160</v>
      </c>
      <c r="E21" s="134" t="s">
        <v>165</v>
      </c>
      <c r="F21" s="134" t="s">
        <v>237</v>
      </c>
      <c r="G21" s="210">
        <v>43512</v>
      </c>
      <c r="H21" s="271" t="s">
        <v>507</v>
      </c>
      <c r="I21" s="287">
        <v>15</v>
      </c>
      <c r="J21" s="273">
        <f t="shared" si="34"/>
        <v>604.86666666666667</v>
      </c>
      <c r="K21" s="274">
        <v>9073</v>
      </c>
      <c r="L21" s="275">
        <v>0</v>
      </c>
      <c r="M21" s="276">
        <f t="shared" si="35"/>
        <v>9073</v>
      </c>
      <c r="N21" s="298">
        <f t="shared" si="36"/>
        <v>0</v>
      </c>
      <c r="O21" s="314">
        <f t="shared" si="37"/>
        <v>18387.946666666667</v>
      </c>
      <c r="P21" s="314">
        <f t="shared" si="38"/>
        <v>15487.72</v>
      </c>
      <c r="Q21" s="298">
        <f t="shared" si="39"/>
        <v>2900.2266666666674</v>
      </c>
      <c r="R21" s="299">
        <f t="shared" si="40"/>
        <v>0.21360000000000001</v>
      </c>
      <c r="S21" s="298">
        <f t="shared" si="41"/>
        <v>619.48841600000014</v>
      </c>
      <c r="T21" s="300">
        <f t="shared" si="42"/>
        <v>1640.18</v>
      </c>
      <c r="U21" s="298">
        <f t="shared" si="43"/>
        <v>2259.6684160000004</v>
      </c>
      <c r="V21" s="298">
        <f t="shared" si="44"/>
        <v>0</v>
      </c>
      <c r="W21" s="298">
        <f t="shared" si="45"/>
        <v>1114.97</v>
      </c>
      <c r="X21" s="276">
        <f t="shared" si="46"/>
        <v>0</v>
      </c>
      <c r="Y21" s="276">
        <f t="shared" si="47"/>
        <v>1114.97</v>
      </c>
      <c r="Z21" s="277">
        <v>0</v>
      </c>
      <c r="AA21" s="276">
        <f t="shared" si="48"/>
        <v>1114.97</v>
      </c>
      <c r="AB21" s="276">
        <f t="shared" si="49"/>
        <v>7958.03</v>
      </c>
      <c r="AC21" s="278"/>
      <c r="AI21" s="281"/>
    </row>
    <row r="22" spans="1:35" s="280" customFormat="1" ht="227.25" customHeight="1" x14ac:dyDescent="0.2">
      <c r="A22" s="327"/>
      <c r="B22" s="267" t="s">
        <v>250</v>
      </c>
      <c r="C22" s="267" t="s">
        <v>114</v>
      </c>
      <c r="D22" s="328" t="s">
        <v>251</v>
      </c>
      <c r="E22" s="134" t="s">
        <v>252</v>
      </c>
      <c r="F22" s="134" t="s">
        <v>253</v>
      </c>
      <c r="G22" s="210">
        <v>44728</v>
      </c>
      <c r="H22" s="271" t="s">
        <v>507</v>
      </c>
      <c r="I22" s="287">
        <v>15</v>
      </c>
      <c r="J22" s="273">
        <f t="shared" si="34"/>
        <v>604.86666666666667</v>
      </c>
      <c r="K22" s="274">
        <v>9073</v>
      </c>
      <c r="L22" s="275">
        <v>0</v>
      </c>
      <c r="M22" s="276">
        <f t="shared" si="35"/>
        <v>9073</v>
      </c>
      <c r="N22" s="298">
        <f t="shared" si="36"/>
        <v>0</v>
      </c>
      <c r="O22" s="314">
        <f t="shared" si="37"/>
        <v>18387.946666666667</v>
      </c>
      <c r="P22" s="314">
        <f t="shared" si="38"/>
        <v>15487.72</v>
      </c>
      <c r="Q22" s="298">
        <f t="shared" si="39"/>
        <v>2900.2266666666674</v>
      </c>
      <c r="R22" s="299">
        <f t="shared" si="40"/>
        <v>0.21360000000000001</v>
      </c>
      <c r="S22" s="298">
        <f t="shared" si="41"/>
        <v>619.48841600000014</v>
      </c>
      <c r="T22" s="300">
        <f t="shared" si="42"/>
        <v>1640.18</v>
      </c>
      <c r="U22" s="298">
        <f t="shared" si="43"/>
        <v>2259.6684160000004</v>
      </c>
      <c r="V22" s="298">
        <f t="shared" si="44"/>
        <v>0</v>
      </c>
      <c r="W22" s="298">
        <f t="shared" si="45"/>
        <v>1114.97</v>
      </c>
      <c r="X22" s="276">
        <f t="shared" si="46"/>
        <v>0</v>
      </c>
      <c r="Y22" s="276">
        <f t="shared" si="47"/>
        <v>1114.97</v>
      </c>
      <c r="Z22" s="277">
        <v>0</v>
      </c>
      <c r="AA22" s="276">
        <f t="shared" si="48"/>
        <v>1114.97</v>
      </c>
      <c r="AB22" s="276">
        <f t="shared" si="49"/>
        <v>7958.03</v>
      </c>
      <c r="AC22" s="278"/>
      <c r="AI22" s="281"/>
    </row>
    <row r="23" spans="1:35" s="280" customFormat="1" ht="227.25" customHeight="1" x14ac:dyDescent="0.2">
      <c r="A23" s="327"/>
      <c r="B23" s="267" t="s">
        <v>328</v>
      </c>
      <c r="C23" s="267" t="s">
        <v>114</v>
      </c>
      <c r="D23" s="268" t="s">
        <v>329</v>
      </c>
      <c r="E23" s="269" t="s">
        <v>330</v>
      </c>
      <c r="F23" s="269" t="s">
        <v>331</v>
      </c>
      <c r="G23" s="330">
        <v>45475</v>
      </c>
      <c r="H23" s="271" t="s">
        <v>507</v>
      </c>
      <c r="I23" s="287">
        <v>15</v>
      </c>
      <c r="J23" s="273">
        <f t="shared" si="34"/>
        <v>483.93333333333334</v>
      </c>
      <c r="K23" s="274">
        <v>7259</v>
      </c>
      <c r="L23" s="275">
        <v>0</v>
      </c>
      <c r="M23" s="276">
        <f t="shared" si="35"/>
        <v>7259</v>
      </c>
      <c r="N23" s="298">
        <f t="shared" si="36"/>
        <v>0</v>
      </c>
      <c r="O23" s="314">
        <f t="shared" si="37"/>
        <v>14711.573333333332</v>
      </c>
      <c r="P23" s="314">
        <f t="shared" si="38"/>
        <v>12935.83</v>
      </c>
      <c r="Q23" s="298">
        <f t="shared" si="39"/>
        <v>1775.743333333332</v>
      </c>
      <c r="R23" s="299">
        <f t="shared" si="40"/>
        <v>0.1792</v>
      </c>
      <c r="S23" s="298">
        <f t="shared" si="41"/>
        <v>318.21320533333306</v>
      </c>
      <c r="T23" s="300">
        <f t="shared" si="42"/>
        <v>1182.8800000000001</v>
      </c>
      <c r="U23" s="298">
        <f t="shared" si="43"/>
        <v>1501.0932053333331</v>
      </c>
      <c r="V23" s="298">
        <f t="shared" si="44"/>
        <v>0</v>
      </c>
      <c r="W23" s="298">
        <f t="shared" si="45"/>
        <v>740.67</v>
      </c>
      <c r="X23" s="276">
        <f t="shared" si="46"/>
        <v>0</v>
      </c>
      <c r="Y23" s="276">
        <f t="shared" si="47"/>
        <v>740.67</v>
      </c>
      <c r="Z23" s="277">
        <v>0</v>
      </c>
      <c r="AA23" s="276">
        <f t="shared" si="48"/>
        <v>740.67</v>
      </c>
      <c r="AB23" s="276">
        <f>M23+X23-AA23</f>
        <v>6518.33</v>
      </c>
      <c r="AC23" s="278"/>
      <c r="AD23" s="329"/>
      <c r="AI23" s="281"/>
    </row>
    <row r="24" spans="1:35" s="280" customFormat="1" ht="227.25" customHeight="1" x14ac:dyDescent="0.2">
      <c r="A24" s="327"/>
      <c r="B24" s="267" t="s">
        <v>431</v>
      </c>
      <c r="C24" s="267" t="s">
        <v>114</v>
      </c>
      <c r="D24" s="268" t="s">
        <v>432</v>
      </c>
      <c r="E24" s="269" t="s">
        <v>433</v>
      </c>
      <c r="F24" s="269" t="s">
        <v>434</v>
      </c>
      <c r="G24" s="330">
        <v>45566</v>
      </c>
      <c r="H24" s="271" t="s">
        <v>509</v>
      </c>
      <c r="I24" s="287">
        <v>15</v>
      </c>
      <c r="J24" s="273">
        <f t="shared" ref="J24:J25" si="50">K24/I24</f>
        <v>455.06666666666666</v>
      </c>
      <c r="K24" s="274">
        <v>6826</v>
      </c>
      <c r="L24" s="275">
        <v>0</v>
      </c>
      <c r="M24" s="276">
        <f t="shared" ref="M24:M25" si="51">SUM(K24:L24)</f>
        <v>6826</v>
      </c>
      <c r="N24" s="298">
        <f t="shared" ref="N24:N25" si="52">IF(K24/15&lt;=SMG,0,L24/2)</f>
        <v>0</v>
      </c>
      <c r="O24" s="314">
        <f t="shared" ref="O24:O25" si="53">(K24+N24)/I24*30.4</f>
        <v>13834.026666666667</v>
      </c>
      <c r="P24" s="314">
        <f t="shared" ref="P24:P25" si="54">VLOOKUP(O24,Tarifa,1)</f>
        <v>12935.83</v>
      </c>
      <c r="Q24" s="298">
        <f t="shared" ref="Q24:Q25" si="55">O24-P24</f>
        <v>898.19666666666672</v>
      </c>
      <c r="R24" s="299">
        <f t="shared" ref="R24:R25" si="56">VLOOKUP(O24,Tarifa,3)</f>
        <v>0.1792</v>
      </c>
      <c r="S24" s="298">
        <f t="shared" ref="S24:S25" si="57">Q24*R24</f>
        <v>160.95684266666666</v>
      </c>
      <c r="T24" s="300">
        <f t="shared" ref="T24:T25" si="58">VLOOKUP(O24,Tarifa,2)</f>
        <v>1182.8800000000001</v>
      </c>
      <c r="U24" s="298">
        <f t="shared" ref="U24:U25" si="59">S24+T24</f>
        <v>1343.8368426666668</v>
      </c>
      <c r="V24" s="298">
        <f t="shared" ref="V24:V25" si="60">VLOOKUP(O24,Credito,2)</f>
        <v>0</v>
      </c>
      <c r="W24" s="298">
        <f t="shared" ref="W24:W25" si="61">ROUND((U24-V24)/30.4*I24,2)</f>
        <v>663.08</v>
      </c>
      <c r="X24" s="276">
        <f t="shared" ref="X24:X25" si="62">-IF(W24&gt;0,0,0)</f>
        <v>0</v>
      </c>
      <c r="Y24" s="276">
        <f t="shared" ref="Y24:Y25" si="63">IF(K24/15&lt;=SMG,0,IF(W24&lt;0,0,W24))</f>
        <v>663.08</v>
      </c>
      <c r="Z24" s="277">
        <v>0</v>
      </c>
      <c r="AA24" s="276">
        <f t="shared" ref="AA24:AA25" si="64">SUM(Y24:Z24)</f>
        <v>663.08</v>
      </c>
      <c r="AB24" s="276">
        <f t="shared" ref="AB24:AB25" si="65">M24+X24-AA24</f>
        <v>6162.92</v>
      </c>
      <c r="AC24" s="278"/>
      <c r="AD24" s="329"/>
      <c r="AI24" s="281"/>
    </row>
    <row r="25" spans="1:35" s="91" customFormat="1" ht="227.25" customHeight="1" x14ac:dyDescent="0.25">
      <c r="A25" s="143"/>
      <c r="B25" s="289" t="s">
        <v>371</v>
      </c>
      <c r="C25" s="283" t="s">
        <v>114</v>
      </c>
      <c r="D25" s="268" t="s">
        <v>372</v>
      </c>
      <c r="E25" s="269" t="s">
        <v>373</v>
      </c>
      <c r="F25" s="269" t="s">
        <v>374</v>
      </c>
      <c r="G25" s="270">
        <v>45459</v>
      </c>
      <c r="H25" s="271" t="s">
        <v>510</v>
      </c>
      <c r="I25" s="287">
        <v>15</v>
      </c>
      <c r="J25" s="273">
        <f t="shared" si="50"/>
        <v>373.2</v>
      </c>
      <c r="K25" s="274">
        <v>5598</v>
      </c>
      <c r="L25" s="275">
        <v>0</v>
      </c>
      <c r="M25" s="276">
        <f t="shared" si="51"/>
        <v>5598</v>
      </c>
      <c r="N25" s="298">
        <f t="shared" si="52"/>
        <v>0</v>
      </c>
      <c r="O25" s="314">
        <f t="shared" si="53"/>
        <v>11345.279999999999</v>
      </c>
      <c r="P25" s="314">
        <f t="shared" si="54"/>
        <v>11128.02</v>
      </c>
      <c r="Q25" s="298">
        <f t="shared" si="55"/>
        <v>217.2599999999984</v>
      </c>
      <c r="R25" s="299">
        <f t="shared" si="56"/>
        <v>0.16</v>
      </c>
      <c r="S25" s="298">
        <f t="shared" si="57"/>
        <v>34.761599999999746</v>
      </c>
      <c r="T25" s="300">
        <f t="shared" si="58"/>
        <v>893.63</v>
      </c>
      <c r="U25" s="298">
        <f t="shared" si="59"/>
        <v>928.3915999999997</v>
      </c>
      <c r="V25" s="298">
        <f t="shared" si="60"/>
        <v>0</v>
      </c>
      <c r="W25" s="298">
        <f t="shared" si="61"/>
        <v>458.09</v>
      </c>
      <c r="X25" s="276">
        <f t="shared" si="62"/>
        <v>0</v>
      </c>
      <c r="Y25" s="276">
        <f t="shared" si="63"/>
        <v>458.09</v>
      </c>
      <c r="Z25" s="277">
        <v>0</v>
      </c>
      <c r="AA25" s="276">
        <f t="shared" si="64"/>
        <v>458.09</v>
      </c>
      <c r="AB25" s="276">
        <f t="shared" si="65"/>
        <v>5139.91</v>
      </c>
      <c r="AC25" s="278"/>
      <c r="AI25" s="93"/>
    </row>
    <row r="26" spans="1:35" s="91" customFormat="1" ht="16.5" customHeight="1" x14ac:dyDescent="0.35">
      <c r="A26" s="143"/>
      <c r="B26" s="146"/>
      <c r="C26" s="146"/>
      <c r="D26" s="247"/>
      <c r="E26" s="246"/>
      <c r="F26" s="246"/>
      <c r="G26" s="248"/>
      <c r="H26" s="206"/>
      <c r="I26" s="218"/>
      <c r="J26" s="219"/>
      <c r="K26" s="220"/>
      <c r="L26" s="221"/>
      <c r="M26" s="222"/>
      <c r="N26" s="223"/>
      <c r="O26" s="223"/>
      <c r="P26" s="223"/>
      <c r="Q26" s="223"/>
      <c r="R26" s="224"/>
      <c r="S26" s="223"/>
      <c r="T26" s="225"/>
      <c r="U26" s="223"/>
      <c r="V26" s="223"/>
      <c r="W26" s="223"/>
      <c r="X26" s="222"/>
      <c r="Y26" s="222"/>
      <c r="Z26" s="226"/>
      <c r="AA26" s="222"/>
      <c r="AB26" s="222"/>
      <c r="AC26" s="108"/>
      <c r="AI26" s="93"/>
    </row>
    <row r="27" spans="1:35" s="91" customFormat="1" ht="27.75" customHeight="1" x14ac:dyDescent="0.25">
      <c r="A27" s="143"/>
      <c r="B27" s="444" t="s">
        <v>77</v>
      </c>
      <c r="C27" s="444"/>
      <c r="D27" s="444"/>
      <c r="E27" s="444"/>
      <c r="F27" s="444"/>
      <c r="G27" s="444"/>
      <c r="H27" s="444"/>
      <c r="I27" s="444"/>
      <c r="J27" s="444"/>
      <c r="K27" s="444"/>
      <c r="L27" s="444"/>
      <c r="M27" s="444"/>
      <c r="N27" s="444"/>
      <c r="O27" s="444"/>
      <c r="P27" s="444"/>
      <c r="Q27" s="444"/>
      <c r="R27" s="444"/>
      <c r="S27" s="444"/>
      <c r="T27" s="444"/>
      <c r="U27" s="444"/>
      <c r="V27" s="444"/>
      <c r="W27" s="444"/>
      <c r="X27" s="444"/>
      <c r="Y27" s="444"/>
      <c r="Z27" s="444"/>
      <c r="AA27" s="444"/>
      <c r="AB27" s="444"/>
      <c r="AC27" s="444"/>
      <c r="AD27" s="444"/>
      <c r="AI27" s="93"/>
    </row>
    <row r="28" spans="1:35" s="91" customFormat="1" ht="27.75" customHeight="1" x14ac:dyDescent="0.25">
      <c r="A28" s="143"/>
      <c r="B28" s="444" t="s">
        <v>64</v>
      </c>
      <c r="C28" s="444"/>
      <c r="D28" s="444"/>
      <c r="E28" s="444"/>
      <c r="F28" s="444"/>
      <c r="G28" s="444"/>
      <c r="H28" s="444"/>
      <c r="I28" s="444"/>
      <c r="J28" s="444"/>
      <c r="K28" s="444"/>
      <c r="L28" s="444"/>
      <c r="M28" s="444"/>
      <c r="N28" s="444"/>
      <c r="O28" s="444"/>
      <c r="P28" s="444"/>
      <c r="Q28" s="444"/>
      <c r="R28" s="444"/>
      <c r="S28" s="444"/>
      <c r="T28" s="444"/>
      <c r="U28" s="444"/>
      <c r="V28" s="444"/>
      <c r="W28" s="444"/>
      <c r="X28" s="444"/>
      <c r="Y28" s="444"/>
      <c r="Z28" s="444"/>
      <c r="AA28" s="444"/>
      <c r="AB28" s="444"/>
      <c r="AC28" s="444"/>
      <c r="AD28" s="444"/>
      <c r="AI28" s="93"/>
    </row>
    <row r="29" spans="1:35" s="91" customFormat="1" ht="27.75" customHeight="1" x14ac:dyDescent="0.3">
      <c r="A29" s="143"/>
      <c r="B29" s="466" t="str">
        <f>PRESIDENCIA!A3</f>
        <v>SUELDO  DEL 01 AL 15 DE DICIEMBRE DE 2025</v>
      </c>
      <c r="C29" s="466"/>
      <c r="D29" s="466"/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66"/>
      <c r="Q29" s="466"/>
      <c r="R29" s="466"/>
      <c r="S29" s="466"/>
      <c r="T29" s="466"/>
      <c r="U29" s="466"/>
      <c r="V29" s="466"/>
      <c r="W29" s="466"/>
      <c r="X29" s="466"/>
      <c r="Y29" s="466"/>
      <c r="Z29" s="466"/>
      <c r="AA29" s="466"/>
      <c r="AB29" s="466"/>
      <c r="AC29" s="466"/>
      <c r="AI29" s="93"/>
    </row>
    <row r="30" spans="1:35" s="91" customFormat="1" ht="30.75" customHeight="1" x14ac:dyDescent="0.35">
      <c r="A30" s="143"/>
      <c r="B30" s="146"/>
      <c r="C30" s="146"/>
      <c r="D30" s="247"/>
      <c r="E30" s="246"/>
      <c r="F30" s="246"/>
      <c r="G30" s="248"/>
      <c r="H30" s="206"/>
      <c r="I30" s="218"/>
      <c r="J30" s="219"/>
      <c r="K30" s="220"/>
      <c r="L30" s="221"/>
      <c r="M30" s="222"/>
      <c r="N30" s="223"/>
      <c r="O30" s="223"/>
      <c r="P30" s="223"/>
      <c r="Q30" s="223"/>
      <c r="R30" s="224"/>
      <c r="S30" s="223"/>
      <c r="T30" s="225"/>
      <c r="U30" s="223"/>
      <c r="V30" s="223"/>
      <c r="W30" s="223"/>
      <c r="X30" s="222"/>
      <c r="Y30" s="222"/>
      <c r="Z30" s="226"/>
      <c r="AA30" s="222"/>
      <c r="AB30" s="222"/>
      <c r="AC30" s="108"/>
      <c r="AI30" s="93"/>
    </row>
    <row r="31" spans="1:35" s="91" customFormat="1" ht="176.25" customHeight="1" x14ac:dyDescent="0.25">
      <c r="A31" s="143"/>
      <c r="B31" s="266" t="s">
        <v>611</v>
      </c>
      <c r="C31" s="266" t="s">
        <v>114</v>
      </c>
      <c r="D31" s="290" t="s">
        <v>612</v>
      </c>
      <c r="E31" s="325" t="s">
        <v>613</v>
      </c>
      <c r="F31" s="326" t="s">
        <v>614</v>
      </c>
      <c r="G31" s="324">
        <v>45078</v>
      </c>
      <c r="H31" s="271" t="s">
        <v>615</v>
      </c>
      <c r="I31" s="287">
        <v>15</v>
      </c>
      <c r="J31" s="273">
        <f t="shared" ref="J31" si="66">K31/I31</f>
        <v>604.86666666666667</v>
      </c>
      <c r="K31" s="274">
        <v>9073</v>
      </c>
      <c r="L31" s="275">
        <v>0</v>
      </c>
      <c r="M31" s="276">
        <f t="shared" ref="M31" si="67">SUM(K31:L31)</f>
        <v>9073</v>
      </c>
      <c r="N31" s="298">
        <f t="shared" ref="N31" si="68">IF(K31/15&lt;=SMG,0,L31/2)</f>
        <v>0</v>
      </c>
      <c r="O31" s="314">
        <f t="shared" ref="O31" si="69">(K31+N31)/I31*30.4</f>
        <v>18387.946666666667</v>
      </c>
      <c r="P31" s="314">
        <f t="shared" ref="P31" si="70">VLOOKUP(O31,Tarifa,1)</f>
        <v>15487.72</v>
      </c>
      <c r="Q31" s="298">
        <f t="shared" ref="Q31" si="71">O31-P31</f>
        <v>2900.2266666666674</v>
      </c>
      <c r="R31" s="299">
        <f t="shared" ref="R31" si="72">VLOOKUP(O31,Tarifa,3)</f>
        <v>0.21360000000000001</v>
      </c>
      <c r="S31" s="298">
        <f t="shared" ref="S31" si="73">Q31*R31</f>
        <v>619.48841600000014</v>
      </c>
      <c r="T31" s="300">
        <f t="shared" ref="T31" si="74">VLOOKUP(O31,Tarifa,2)</f>
        <v>1640.18</v>
      </c>
      <c r="U31" s="298">
        <f t="shared" ref="U31" si="75">S31+T31</f>
        <v>2259.6684160000004</v>
      </c>
      <c r="V31" s="298">
        <f t="shared" ref="V31" si="76">VLOOKUP(O31,Credito,2)</f>
        <v>0</v>
      </c>
      <c r="W31" s="298">
        <f t="shared" ref="W31" si="77">ROUND((U31-V31)/30.4*I31,2)</f>
        <v>1114.97</v>
      </c>
      <c r="X31" s="276">
        <f t="shared" ref="X31" si="78">-IF(W31&gt;0,0,0)</f>
        <v>0</v>
      </c>
      <c r="Y31" s="276">
        <f t="shared" ref="Y31" si="79">IF(K31/15&lt;=SMG,0,IF(W31&lt;0,0,W31))</f>
        <v>1114.97</v>
      </c>
      <c r="Z31" s="277">
        <v>0</v>
      </c>
      <c r="AA31" s="276">
        <f t="shared" ref="AA31" si="80">SUM(Y31:Z31)</f>
        <v>1114.97</v>
      </c>
      <c r="AB31" s="276">
        <f t="shared" ref="AB31" si="81">M31+X31-AA31</f>
        <v>7958.03</v>
      </c>
      <c r="AC31" s="278"/>
      <c r="AI31" s="93"/>
    </row>
    <row r="32" spans="1:35" s="280" customFormat="1" ht="176.25" customHeight="1" x14ac:dyDescent="0.2">
      <c r="A32" s="265"/>
      <c r="B32" s="283" t="s">
        <v>375</v>
      </c>
      <c r="C32" s="283" t="s">
        <v>114</v>
      </c>
      <c r="D32" s="264" t="s">
        <v>376</v>
      </c>
      <c r="E32" s="135" t="s">
        <v>378</v>
      </c>
      <c r="F32" s="135" t="s">
        <v>379</v>
      </c>
      <c r="G32" s="161">
        <v>45459</v>
      </c>
      <c r="H32" s="271" t="s">
        <v>510</v>
      </c>
      <c r="I32" s="287">
        <v>15</v>
      </c>
      <c r="J32" s="273">
        <f t="shared" ref="J32" si="82">K32/I32</f>
        <v>373.2</v>
      </c>
      <c r="K32" s="274">
        <v>5598</v>
      </c>
      <c r="L32" s="275">
        <v>0</v>
      </c>
      <c r="M32" s="276">
        <f t="shared" ref="M32" si="83">SUM(K32:L32)</f>
        <v>5598</v>
      </c>
      <c r="N32" s="298">
        <f t="shared" ref="N32" si="84">IF(K32/15&lt;=SMG,0,L32/2)</f>
        <v>0</v>
      </c>
      <c r="O32" s="314">
        <f t="shared" ref="O32" si="85">(K32+N32)/I32*30.4</f>
        <v>11345.279999999999</v>
      </c>
      <c r="P32" s="314">
        <f t="shared" ref="P32" si="86">VLOOKUP(O32,Tarifa,1)</f>
        <v>11128.02</v>
      </c>
      <c r="Q32" s="298">
        <f t="shared" ref="Q32" si="87">O32-P32</f>
        <v>217.2599999999984</v>
      </c>
      <c r="R32" s="299">
        <f t="shared" ref="R32" si="88">VLOOKUP(O32,Tarifa,3)</f>
        <v>0.16</v>
      </c>
      <c r="S32" s="298">
        <f t="shared" ref="S32" si="89">Q32*R32</f>
        <v>34.761599999999746</v>
      </c>
      <c r="T32" s="300">
        <f t="shared" ref="T32" si="90">VLOOKUP(O32,Tarifa,2)</f>
        <v>893.63</v>
      </c>
      <c r="U32" s="298">
        <f t="shared" ref="U32" si="91">S32+T32</f>
        <v>928.3915999999997</v>
      </c>
      <c r="V32" s="298">
        <f t="shared" ref="V32" si="92">VLOOKUP(O32,Credito,2)</f>
        <v>0</v>
      </c>
      <c r="W32" s="298">
        <f t="shared" ref="W32" si="93">ROUND((U32-V32)/30.4*I32,2)</f>
        <v>458.09</v>
      </c>
      <c r="X32" s="276">
        <f t="shared" ref="X32:X33" si="94">-IF(W32&gt;0,0,0)</f>
        <v>0</v>
      </c>
      <c r="Y32" s="276">
        <f t="shared" ref="Y32:Y33" si="95">IF(K32/15&lt;=SMG,0,IF(W32&lt;0,0,W32))</f>
        <v>458.09</v>
      </c>
      <c r="Z32" s="277">
        <v>0</v>
      </c>
      <c r="AA32" s="276">
        <f t="shared" ref="AA32:AA33" si="96">SUM(Y32:Z32)</f>
        <v>458.09</v>
      </c>
      <c r="AB32" s="276">
        <f t="shared" ref="AB32" si="97">M32+X32-AA32</f>
        <v>5139.91</v>
      </c>
      <c r="AC32" s="278"/>
      <c r="AI32" s="281"/>
    </row>
    <row r="33" spans="1:35" s="280" customFormat="1" ht="176.25" customHeight="1" x14ac:dyDescent="0.2">
      <c r="A33" s="265"/>
      <c r="B33" s="267" t="s">
        <v>258</v>
      </c>
      <c r="C33" s="267" t="s">
        <v>114</v>
      </c>
      <c r="D33" s="328" t="s">
        <v>256</v>
      </c>
      <c r="E33" s="134" t="s">
        <v>254</v>
      </c>
      <c r="F33" s="134" t="s">
        <v>255</v>
      </c>
      <c r="G33" s="270">
        <v>44728</v>
      </c>
      <c r="H33" s="271" t="s">
        <v>257</v>
      </c>
      <c r="I33" s="287">
        <v>15</v>
      </c>
      <c r="J33" s="273">
        <f>K33/I33</f>
        <v>442.26666666666665</v>
      </c>
      <c r="K33" s="274">
        <v>6634</v>
      </c>
      <c r="L33" s="275">
        <v>0</v>
      </c>
      <c r="M33" s="274">
        <f>K33</f>
        <v>6634</v>
      </c>
      <c r="N33" s="298">
        <f>IF(K33/15&lt;=SMG,0,L33/2)</f>
        <v>0</v>
      </c>
      <c r="O33" s="314">
        <f>(K33+N33)/I33*30.4</f>
        <v>13444.906666666666</v>
      </c>
      <c r="P33" s="314">
        <f>VLOOKUP(O33,Tarifa,1)</f>
        <v>12935.83</v>
      </c>
      <c r="Q33" s="298">
        <f>O33-P33</f>
        <v>509.07666666666591</v>
      </c>
      <c r="R33" s="299">
        <f>VLOOKUP(O33,Tarifa,3)</f>
        <v>0.1792</v>
      </c>
      <c r="S33" s="298">
        <f>Q33*R33</f>
        <v>91.226538666666528</v>
      </c>
      <c r="T33" s="300">
        <f>VLOOKUP(O33,Tarifa,2)</f>
        <v>1182.8800000000001</v>
      </c>
      <c r="U33" s="298">
        <f>S33+T33</f>
        <v>1274.1065386666667</v>
      </c>
      <c r="V33" s="298">
        <f>VLOOKUP(O33,Credito,2)</f>
        <v>0</v>
      </c>
      <c r="W33" s="298">
        <f>ROUND((U33-V33)/30.4*I33,2)</f>
        <v>628.66999999999996</v>
      </c>
      <c r="X33" s="276">
        <f t="shared" si="94"/>
        <v>0</v>
      </c>
      <c r="Y33" s="276">
        <f t="shared" si="95"/>
        <v>628.66999999999996</v>
      </c>
      <c r="Z33" s="277">
        <v>0</v>
      </c>
      <c r="AA33" s="276">
        <f t="shared" si="96"/>
        <v>628.66999999999996</v>
      </c>
      <c r="AB33" s="276">
        <f>M33+X33-AA33+L33</f>
        <v>6005.33</v>
      </c>
      <c r="AC33" s="288"/>
      <c r="AI33" s="281"/>
    </row>
    <row r="34" spans="1:35" s="280" customFormat="1" ht="176.25" customHeight="1" x14ac:dyDescent="0.2">
      <c r="A34" s="265"/>
      <c r="B34" s="283" t="s">
        <v>284</v>
      </c>
      <c r="C34" s="283" t="s">
        <v>114</v>
      </c>
      <c r="D34" s="290" t="s">
        <v>285</v>
      </c>
      <c r="E34" s="291" t="s">
        <v>286</v>
      </c>
      <c r="F34" s="291" t="s">
        <v>287</v>
      </c>
      <c r="G34" s="331">
        <v>45078</v>
      </c>
      <c r="H34" s="271" t="s">
        <v>513</v>
      </c>
      <c r="I34" s="287">
        <v>15</v>
      </c>
      <c r="J34" s="273">
        <f>K34/I34</f>
        <v>317.46666666666664</v>
      </c>
      <c r="K34" s="274">
        <v>4762</v>
      </c>
      <c r="L34" s="275">
        <v>0</v>
      </c>
      <c r="M34" s="276">
        <f t="shared" ref="M34" si="98">SUM(K34:L34)</f>
        <v>4762</v>
      </c>
      <c r="N34" s="298">
        <f>IF(K34/15&lt;=SMG,0,L34/2)</f>
        <v>0</v>
      </c>
      <c r="O34" s="314">
        <f>(K34+N34)/I34*30.4</f>
        <v>9650.9866666666658</v>
      </c>
      <c r="P34" s="314">
        <f>VLOOKUP(O34,Tarifa,1)</f>
        <v>6332.06</v>
      </c>
      <c r="Q34" s="298">
        <f>O34-P34</f>
        <v>3318.9266666666654</v>
      </c>
      <c r="R34" s="299">
        <f>VLOOKUP(O34,Tarifa,3)</f>
        <v>0.10879999999999999</v>
      </c>
      <c r="S34" s="298">
        <f>Q34*R34</f>
        <v>361.09922133333316</v>
      </c>
      <c r="T34" s="300">
        <f>VLOOKUP(O34,Tarifa,2)</f>
        <v>371.83</v>
      </c>
      <c r="U34" s="298">
        <f>S34+T34</f>
        <v>732.92922133333309</v>
      </c>
      <c r="V34" s="298">
        <f>VLOOKUP(O34,Credito,2)</f>
        <v>475</v>
      </c>
      <c r="W34" s="298">
        <f>ROUND((U34-V34)/30.4*I34,2)</f>
        <v>127.27</v>
      </c>
      <c r="X34" s="276">
        <f>-IF(W34&gt;0,0,0)</f>
        <v>0</v>
      </c>
      <c r="Y34" s="276">
        <f>IF(K34/15&lt;=SMG,0,IF(W34&lt;0,0,W34))</f>
        <v>127.27</v>
      </c>
      <c r="Z34" s="277">
        <v>0</v>
      </c>
      <c r="AA34" s="276">
        <f>SUM(Y34:Z34)</f>
        <v>127.27</v>
      </c>
      <c r="AB34" s="276">
        <f>M34+X34-AA34</f>
        <v>4634.7299999999996</v>
      </c>
      <c r="AC34" s="285"/>
      <c r="AI34" s="281"/>
    </row>
    <row r="35" spans="1:35" s="280" customFormat="1" ht="176.25" customHeight="1" x14ac:dyDescent="0.2">
      <c r="A35" s="265"/>
      <c r="B35" s="289" t="s">
        <v>591</v>
      </c>
      <c r="C35" s="283" t="s">
        <v>114</v>
      </c>
      <c r="D35" s="268" t="s">
        <v>592</v>
      </c>
      <c r="E35" s="269" t="s">
        <v>593</v>
      </c>
      <c r="F35" s="269" t="s">
        <v>594</v>
      </c>
      <c r="G35" s="270">
        <v>45754</v>
      </c>
      <c r="H35" s="271" t="s">
        <v>67</v>
      </c>
      <c r="I35" s="272">
        <v>15</v>
      </c>
      <c r="J35" s="273">
        <f t="shared" ref="J35" si="99">K35/I35</f>
        <v>482.44466666666665</v>
      </c>
      <c r="K35" s="274">
        <v>7236.67</v>
      </c>
      <c r="L35" s="275">
        <v>0</v>
      </c>
      <c r="M35" s="276">
        <f>SUM(K35:L35)</f>
        <v>7236.67</v>
      </c>
      <c r="N35" s="298">
        <f>IF(K35/15&lt;=SMG,0,L35/2)</f>
        <v>0</v>
      </c>
      <c r="O35" s="314">
        <f>(K35+N35)/I35*30.4</f>
        <v>14666.317866666666</v>
      </c>
      <c r="P35" s="314">
        <f>VLOOKUP(O35,Tarifa,1)</f>
        <v>12935.83</v>
      </c>
      <c r="Q35" s="298">
        <f>O35-P35</f>
        <v>1730.4878666666664</v>
      </c>
      <c r="R35" s="299">
        <f>VLOOKUP(O35,Tarifa,3)</f>
        <v>0.1792</v>
      </c>
      <c r="S35" s="298">
        <f>Q35*R35</f>
        <v>310.1034257066666</v>
      </c>
      <c r="T35" s="300">
        <f>VLOOKUP(O35,Tarifa,2)</f>
        <v>1182.8800000000001</v>
      </c>
      <c r="U35" s="298">
        <f>S35+T35</f>
        <v>1492.9834257066668</v>
      </c>
      <c r="V35" s="298">
        <f>VLOOKUP(O35,Credito,2)</f>
        <v>0</v>
      </c>
      <c r="W35" s="298">
        <f>ROUND((U35-V35)/30.4*I35,2)</f>
        <v>736.67</v>
      </c>
      <c r="X35" s="276">
        <f>-IF(W35&gt;0,0,0)</f>
        <v>0</v>
      </c>
      <c r="Y35" s="276">
        <f>IF(K35/15&lt;=SMG,0,IF(W35&lt;0,0,W35))</f>
        <v>736.67</v>
      </c>
      <c r="Z35" s="277">
        <v>0</v>
      </c>
      <c r="AA35" s="276">
        <f>SUM(Y35:Z35)</f>
        <v>736.67</v>
      </c>
      <c r="AB35" s="276">
        <f>M35+X35-AA35</f>
        <v>6500</v>
      </c>
      <c r="AC35" s="285"/>
      <c r="AI35" s="281"/>
    </row>
    <row r="36" spans="1:35" s="52" customFormat="1" ht="39" customHeight="1" thickBot="1" x14ac:dyDescent="0.35">
      <c r="A36" s="441" t="s">
        <v>44</v>
      </c>
      <c r="B36" s="442"/>
      <c r="C36" s="442"/>
      <c r="D36" s="442"/>
      <c r="E36" s="442"/>
      <c r="F36" s="442"/>
      <c r="G36" s="442"/>
      <c r="H36" s="442"/>
      <c r="I36" s="442"/>
      <c r="J36" s="443"/>
      <c r="K36" s="208">
        <f t="shared" ref="K36:AB36" si="100">SUM(K9:K35)</f>
        <v>136473.18</v>
      </c>
      <c r="L36" s="208">
        <f t="shared" si="100"/>
        <v>0</v>
      </c>
      <c r="M36" s="208">
        <f t="shared" si="100"/>
        <v>136473.18</v>
      </c>
      <c r="N36" s="209">
        <f t="shared" si="100"/>
        <v>0</v>
      </c>
      <c r="O36" s="209">
        <f t="shared" si="100"/>
        <v>276585.64479999995</v>
      </c>
      <c r="P36" s="209">
        <f t="shared" si="100"/>
        <v>219141.36999999994</v>
      </c>
      <c r="Q36" s="209">
        <f t="shared" si="100"/>
        <v>57444.274799999999</v>
      </c>
      <c r="R36" s="209">
        <f t="shared" si="100"/>
        <v>3.0888</v>
      </c>
      <c r="S36" s="209">
        <f t="shared" si="100"/>
        <v>11298.75592405333</v>
      </c>
      <c r="T36" s="209">
        <f t="shared" si="100"/>
        <v>20820.210000000003</v>
      </c>
      <c r="U36" s="209">
        <f t="shared" si="100"/>
        <v>32118.965924053329</v>
      </c>
      <c r="V36" s="209">
        <f t="shared" si="100"/>
        <v>950</v>
      </c>
      <c r="W36" s="209">
        <f t="shared" si="100"/>
        <v>15379.449999999999</v>
      </c>
      <c r="X36" s="208">
        <f t="shared" si="100"/>
        <v>0</v>
      </c>
      <c r="Y36" s="208">
        <f t="shared" si="100"/>
        <v>15379.449999999999</v>
      </c>
      <c r="Z36" s="208">
        <f t="shared" si="100"/>
        <v>453.33</v>
      </c>
      <c r="AA36" s="208">
        <f t="shared" si="100"/>
        <v>15832.779999999999</v>
      </c>
      <c r="AB36" s="208">
        <f t="shared" si="100"/>
        <v>120640.40000000001</v>
      </c>
      <c r="AC36" s="108"/>
    </row>
    <row r="37" spans="1:35" s="52" customFormat="1" ht="26.25" customHeight="1" thickTop="1" x14ac:dyDescent="0.25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4"/>
      <c r="L37" s="104"/>
      <c r="M37" s="104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4"/>
      <c r="Y37" s="104"/>
      <c r="Z37" s="104"/>
      <c r="AA37" s="104"/>
      <c r="AB37" s="104"/>
    </row>
    <row r="38" spans="1:35" s="52" customFormat="1" ht="26.25" customHeight="1" x14ac:dyDescent="0.25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4"/>
      <c r="L38" s="104"/>
      <c r="M38" s="104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4"/>
      <c r="Y38" s="104"/>
      <c r="Z38" s="104"/>
      <c r="AA38" s="104"/>
      <c r="AB38" s="104"/>
    </row>
    <row r="39" spans="1:35" s="52" customFormat="1" ht="26.25" customHeight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4"/>
      <c r="L39" s="104"/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4"/>
      <c r="Y39" s="104"/>
      <c r="Z39" s="104"/>
      <c r="AA39" s="104"/>
      <c r="AB39" s="104"/>
    </row>
    <row r="40" spans="1:35" s="52" customFormat="1" ht="26.2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4"/>
      <c r="L40" s="104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4"/>
      <c r="Y40" s="104"/>
      <c r="Z40" s="104"/>
      <c r="AA40" s="104"/>
      <c r="AB40" s="104"/>
    </row>
    <row r="41" spans="1:35" s="52" customFormat="1" ht="26.25" customHeight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35" s="52" customFormat="1" ht="26.2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35" s="52" customFormat="1" ht="26.2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  <c r="AA43" s="104"/>
      <c r="AB43" s="104"/>
    </row>
    <row r="44" spans="1:35" s="52" customFormat="1" ht="26.25" customHeight="1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4"/>
      <c r="L44" s="104"/>
      <c r="M44" s="104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4"/>
      <c r="Y44" s="104"/>
      <c r="Z44" s="104"/>
      <c r="AA44" s="104"/>
      <c r="AB44" s="104"/>
    </row>
    <row r="45" spans="1:35" s="52" customFormat="1" ht="26.25" customHeight="1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4"/>
      <c r="L45" s="104"/>
      <c r="M45" s="104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4"/>
      <c r="Y45" s="104"/>
      <c r="Z45" s="104"/>
      <c r="AA45" s="104"/>
      <c r="AB45" s="104"/>
    </row>
    <row r="46" spans="1:35" s="52" customFormat="1" ht="24.75" customHeight="1" x14ac:dyDescent="0.25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4"/>
      <c r="L46" s="104"/>
      <c r="M46" s="104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4"/>
      <c r="Y46" s="104"/>
      <c r="Z46" s="104"/>
      <c r="AA46" s="104"/>
      <c r="AB46" s="104"/>
    </row>
    <row r="47" spans="1:35" s="52" customFormat="1" ht="14.25" x14ac:dyDescent="0.2"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  <row r="48" spans="1:35" s="52" customFormat="1" ht="18" x14ac:dyDescent="0.25">
      <c r="B48" s="91"/>
      <c r="C48" s="91"/>
      <c r="D48" s="213" t="s">
        <v>476</v>
      </c>
      <c r="E48" s="213"/>
      <c r="F48" s="213"/>
      <c r="G48" s="213"/>
      <c r="H48" s="213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213" t="s">
        <v>143</v>
      </c>
      <c r="Z48" s="108"/>
      <c r="AA48" s="108"/>
      <c r="AB48" s="108"/>
    </row>
    <row r="49" spans="2:29" s="52" customFormat="1" ht="18" x14ac:dyDescent="0.25">
      <c r="B49" s="91"/>
      <c r="C49" s="91"/>
      <c r="D49" s="213" t="s">
        <v>492</v>
      </c>
      <c r="E49" s="213"/>
      <c r="F49" s="213"/>
      <c r="G49" s="213"/>
      <c r="H49" s="213"/>
      <c r="I49" s="213"/>
      <c r="J49" s="213"/>
      <c r="K49" s="213"/>
      <c r="L49" s="213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213" t="s">
        <v>210</v>
      </c>
      <c r="Z49" s="108"/>
      <c r="AA49" s="213"/>
      <c r="AB49" s="213"/>
      <c r="AC49" s="61"/>
    </row>
    <row r="50" spans="2:29" s="52" customFormat="1" ht="14.25" x14ac:dyDescent="0.2"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</row>
  </sheetData>
  <mergeCells count="14">
    <mergeCell ref="A1:AC1"/>
    <mergeCell ref="A2:AC2"/>
    <mergeCell ref="A3:AC3"/>
    <mergeCell ref="K5:M5"/>
    <mergeCell ref="P5:U5"/>
    <mergeCell ref="Y5:AA5"/>
    <mergeCell ref="B17:AD17"/>
    <mergeCell ref="B18:AC18"/>
    <mergeCell ref="B29:AC29"/>
    <mergeCell ref="A36:J36"/>
    <mergeCell ref="C5:C7"/>
    <mergeCell ref="B27:AD27"/>
    <mergeCell ref="B28:AD28"/>
    <mergeCell ref="B16:AD16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6:G26 D33:F35 D23:F25 D21:G22 D30:G30 D32:G32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5"/>
  <sheetViews>
    <sheetView topLeftCell="B40" zoomScale="69" zoomScaleNormal="69" workbookViewId="0">
      <selection activeCell="E33" sqref="E33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0.28515625" customWidth="1"/>
    <col min="5" max="5" width="24.5703125" customWidth="1"/>
    <col min="6" max="6" width="31" customWidth="1"/>
    <col min="7" max="7" width="16.42578125" customWidth="1"/>
    <col min="8" max="8" width="20.140625" customWidth="1"/>
    <col min="9" max="9" width="7.28515625" hidden="1" customWidth="1"/>
    <col min="10" max="10" width="17.85546875" hidden="1" customWidth="1"/>
    <col min="11" max="11" width="17.85546875" customWidth="1"/>
    <col min="12" max="12" width="14.5703125" customWidth="1"/>
    <col min="13" max="13" width="15.1406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4.5703125" customWidth="1"/>
    <col min="27" max="27" width="14.7109375" customWidth="1"/>
    <col min="28" max="28" width="16.28515625" customWidth="1"/>
    <col min="29" max="29" width="63.28515625" customWidth="1"/>
  </cols>
  <sheetData>
    <row r="1" spans="1:29" ht="18" x14ac:dyDescent="0.25">
      <c r="A1" s="455" t="s">
        <v>77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</row>
    <row r="2" spans="1:29" ht="18" x14ac:dyDescent="0.25">
      <c r="A2" s="455" t="s">
        <v>64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</row>
    <row r="3" spans="1:29" ht="19.5" x14ac:dyDescent="0.25">
      <c r="A3" s="445" t="str">
        <f>PRESIDENCIA!A3</f>
        <v>SUELDO  DEL 01 AL 15 DE DICIEMBRE DE 2025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445"/>
      <c r="T3" s="445"/>
      <c r="U3" s="445"/>
      <c r="V3" s="445"/>
      <c r="W3" s="445"/>
      <c r="X3" s="445"/>
      <c r="Y3" s="445"/>
      <c r="Z3" s="445"/>
      <c r="AA3" s="445"/>
      <c r="AB3" s="445"/>
      <c r="AC3" s="445"/>
    </row>
    <row r="4" spans="1:29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70" t="s">
        <v>1</v>
      </c>
      <c r="L5" s="471"/>
      <c r="M5" s="472"/>
      <c r="N5" s="50" t="s">
        <v>25</v>
      </c>
      <c r="O5" s="51"/>
      <c r="P5" s="473" t="s">
        <v>8</v>
      </c>
      <c r="Q5" s="474"/>
      <c r="R5" s="474"/>
      <c r="S5" s="474"/>
      <c r="T5" s="474"/>
      <c r="U5" s="475"/>
      <c r="V5" s="50" t="s">
        <v>29</v>
      </c>
      <c r="W5" s="50" t="s">
        <v>9</v>
      </c>
      <c r="X5" s="49" t="s">
        <v>52</v>
      </c>
      <c r="Y5" s="476" t="s">
        <v>2</v>
      </c>
      <c r="Z5" s="477"/>
      <c r="AA5" s="478"/>
      <c r="AB5" s="49" t="s">
        <v>0</v>
      </c>
      <c r="AC5" s="48"/>
    </row>
    <row r="6" spans="1:29" s="52" customFormat="1" ht="24" x14ac:dyDescent="0.2">
      <c r="A6" s="53" t="s">
        <v>102</v>
      </c>
      <c r="B6" s="47" t="s">
        <v>95</v>
      </c>
      <c r="C6" s="47" t="s">
        <v>120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266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29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121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29" s="4" customFormat="1" ht="39.75" customHeight="1" x14ac:dyDescent="0.25">
      <c r="A8" s="95"/>
      <c r="B8" s="112"/>
      <c r="C8" s="112"/>
      <c r="D8" s="180" t="s">
        <v>69</v>
      </c>
      <c r="E8" s="180" t="s">
        <v>96</v>
      </c>
      <c r="F8" s="180" t="s">
        <v>220</v>
      </c>
      <c r="G8" s="148" t="s">
        <v>272</v>
      </c>
      <c r="H8" s="180" t="s">
        <v>61</v>
      </c>
      <c r="I8" s="180"/>
      <c r="J8" s="180"/>
      <c r="K8" s="181">
        <f>SUM(K9:K26)</f>
        <v>57315.51</v>
      </c>
      <c r="L8" s="181">
        <f>SUM(L9:L26)</f>
        <v>0</v>
      </c>
      <c r="M8" s="181">
        <f>SUM(M9:M26)</f>
        <v>57315.51</v>
      </c>
      <c r="N8" s="180"/>
      <c r="O8" s="180"/>
      <c r="P8" s="180"/>
      <c r="Q8" s="180"/>
      <c r="R8" s="180"/>
      <c r="S8" s="180"/>
      <c r="T8" s="183"/>
      <c r="U8" s="180"/>
      <c r="V8" s="180"/>
      <c r="W8" s="180"/>
      <c r="X8" s="181">
        <f>SUM(X9:X26)</f>
        <v>0</v>
      </c>
      <c r="Y8" s="181">
        <f>SUM(Y9:Y26)</f>
        <v>3596.65</v>
      </c>
      <c r="Z8" s="181">
        <f>SUM(Z9:Z26)</f>
        <v>2000</v>
      </c>
      <c r="AA8" s="181">
        <f>SUM(AA9:AA26)</f>
        <v>5596.65</v>
      </c>
      <c r="AB8" s="181">
        <f>SUM(AB9:AB26)</f>
        <v>51718.86</v>
      </c>
      <c r="AC8" s="96"/>
    </row>
    <row r="9" spans="1:29" s="334" customFormat="1" ht="213.75" customHeight="1" x14ac:dyDescent="0.2">
      <c r="A9" s="332"/>
      <c r="B9" s="283" t="s">
        <v>168</v>
      </c>
      <c r="C9" s="283" t="s">
        <v>114</v>
      </c>
      <c r="D9" s="268" t="s">
        <v>164</v>
      </c>
      <c r="E9" s="269" t="s">
        <v>167</v>
      </c>
      <c r="F9" s="269" t="s">
        <v>239</v>
      </c>
      <c r="G9" s="270">
        <v>43512</v>
      </c>
      <c r="H9" s="271" t="s">
        <v>163</v>
      </c>
      <c r="I9" s="272">
        <v>15</v>
      </c>
      <c r="J9" s="273">
        <f>K9/I9</f>
        <v>362.33333333333331</v>
      </c>
      <c r="K9" s="274">
        <v>5435</v>
      </c>
      <c r="L9" s="275">
        <v>0</v>
      </c>
      <c r="M9" s="276">
        <f>SUM(K9:L9)</f>
        <v>5435</v>
      </c>
      <c r="N9" s="298">
        <f>IF(K9/15&lt;=SMG,0,L9/2)</f>
        <v>0</v>
      </c>
      <c r="O9" s="314">
        <f>(K9+N9)/I9*30.4</f>
        <v>11014.933333333332</v>
      </c>
      <c r="P9" s="314">
        <f>VLOOKUP(O9,Tarifa,1)</f>
        <v>6332.06</v>
      </c>
      <c r="Q9" s="298">
        <f>O9-P9</f>
        <v>4682.8733333333321</v>
      </c>
      <c r="R9" s="299">
        <f>VLOOKUP(O9,Tarifa,3)</f>
        <v>0.10879999999999999</v>
      </c>
      <c r="S9" s="298">
        <f>Q9*R9</f>
        <v>509.49661866666651</v>
      </c>
      <c r="T9" s="300">
        <f>VLOOKUP(O9,Tarifa,2)</f>
        <v>371.83</v>
      </c>
      <c r="U9" s="298">
        <f>S9+T9</f>
        <v>881.32661866666649</v>
      </c>
      <c r="V9" s="298">
        <f>VLOOKUP(O9,Credito,2)</f>
        <v>0</v>
      </c>
      <c r="W9" s="298">
        <f>ROUND((U9-V9)/30.4*I9,2)</f>
        <v>434.87</v>
      </c>
      <c r="X9" s="276">
        <f>-IF(W9&gt;0,0,0)</f>
        <v>0</v>
      </c>
      <c r="Y9" s="276">
        <f>IF(K9/15&lt;=SMG,0,IF(W9&lt;0,0,W9))</f>
        <v>434.87</v>
      </c>
      <c r="Z9" s="277">
        <v>0</v>
      </c>
      <c r="AA9" s="276">
        <f>SUM(Y9:Z9)</f>
        <v>434.87</v>
      </c>
      <c r="AB9" s="276">
        <f>M9+X9-AA9</f>
        <v>5000.13</v>
      </c>
      <c r="AC9" s="333"/>
    </row>
    <row r="10" spans="1:29" s="334" customFormat="1" ht="213.75" customHeight="1" x14ac:dyDescent="0.2">
      <c r="A10" s="332"/>
      <c r="B10" s="283" t="s">
        <v>259</v>
      </c>
      <c r="C10" s="283" t="s">
        <v>114</v>
      </c>
      <c r="D10" s="268" t="s">
        <v>262</v>
      </c>
      <c r="E10" s="278" t="s">
        <v>263</v>
      </c>
      <c r="F10" s="278" t="s">
        <v>264</v>
      </c>
      <c r="G10" s="324">
        <v>44743</v>
      </c>
      <c r="H10" s="271" t="s">
        <v>163</v>
      </c>
      <c r="I10" s="272">
        <v>15</v>
      </c>
      <c r="J10" s="273">
        <f>K10/I10</f>
        <v>362.33333333333331</v>
      </c>
      <c r="K10" s="274">
        <v>5435</v>
      </c>
      <c r="L10" s="275">
        <v>0</v>
      </c>
      <c r="M10" s="276">
        <f>SUM(K10:L10)</f>
        <v>5435</v>
      </c>
      <c r="N10" s="298">
        <f>IF(K10/15&lt;=SMG,0,L10/2)</f>
        <v>0</v>
      </c>
      <c r="O10" s="314">
        <f>(K10+N10)/I10*30.4</f>
        <v>11014.933333333332</v>
      </c>
      <c r="P10" s="314">
        <f>VLOOKUP(O10,Tarifa,1)</f>
        <v>6332.06</v>
      </c>
      <c r="Q10" s="298">
        <f>O10-P10</f>
        <v>4682.8733333333321</v>
      </c>
      <c r="R10" s="299">
        <f>VLOOKUP(O10,Tarifa,3)</f>
        <v>0.10879999999999999</v>
      </c>
      <c r="S10" s="298">
        <f>Q10*R10</f>
        <v>509.49661866666651</v>
      </c>
      <c r="T10" s="300">
        <f>VLOOKUP(O10,Tarifa,2)</f>
        <v>371.83</v>
      </c>
      <c r="U10" s="298">
        <f>S10+T10</f>
        <v>881.32661866666649</v>
      </c>
      <c r="V10" s="298">
        <f>VLOOKUP(O10,Credito,2)</f>
        <v>0</v>
      </c>
      <c r="W10" s="298">
        <f>ROUND((U10-V10)/30.4*I10,2)</f>
        <v>434.87</v>
      </c>
      <c r="X10" s="276">
        <f t="shared" ref="X10" si="0">-IF(W10&gt;0,0,0)</f>
        <v>0</v>
      </c>
      <c r="Y10" s="276">
        <f>IF(K10/15&lt;=SMG,0,IF(W10&lt;0,0,W10))</f>
        <v>434.87</v>
      </c>
      <c r="Z10" s="277">
        <v>0</v>
      </c>
      <c r="AA10" s="276">
        <f>SUM(Y10:Z10)</f>
        <v>434.87</v>
      </c>
      <c r="AB10" s="276">
        <f>M10+X10-AA10</f>
        <v>5000.13</v>
      </c>
      <c r="AC10" s="333"/>
    </row>
    <row r="11" spans="1:29" s="334" customFormat="1" ht="213.75" customHeight="1" x14ac:dyDescent="0.2">
      <c r="A11" s="332"/>
      <c r="B11" s="283" t="s">
        <v>98</v>
      </c>
      <c r="C11" s="283" t="s">
        <v>114</v>
      </c>
      <c r="D11" s="268" t="s">
        <v>70</v>
      </c>
      <c r="E11" s="269" t="s">
        <v>100</v>
      </c>
      <c r="F11" s="269" t="s">
        <v>224</v>
      </c>
      <c r="G11" s="270">
        <v>39448</v>
      </c>
      <c r="H11" s="271" t="s">
        <v>511</v>
      </c>
      <c r="I11" s="272">
        <v>15</v>
      </c>
      <c r="J11" s="273">
        <f>K11/I11</f>
        <v>362.33333333333331</v>
      </c>
      <c r="K11" s="274">
        <v>5435</v>
      </c>
      <c r="L11" s="275">
        <v>0</v>
      </c>
      <c r="M11" s="276">
        <f>SUM(K11:L11)</f>
        <v>5435</v>
      </c>
      <c r="N11" s="298">
        <f>IF(K11/15&lt;=SMG,0,L11/2)</f>
        <v>0</v>
      </c>
      <c r="O11" s="314">
        <f>(K11+N11)/I11*30.4</f>
        <v>11014.933333333332</v>
      </c>
      <c r="P11" s="314">
        <f>VLOOKUP(O11,Tarifa,1)</f>
        <v>6332.06</v>
      </c>
      <c r="Q11" s="298">
        <f>O11-P11</f>
        <v>4682.8733333333321</v>
      </c>
      <c r="R11" s="299">
        <f>VLOOKUP(O11,Tarifa,3)</f>
        <v>0.10879999999999999</v>
      </c>
      <c r="S11" s="298">
        <f>Q11*R11</f>
        <v>509.49661866666651</v>
      </c>
      <c r="T11" s="300">
        <f>VLOOKUP(O11,Tarifa,2)</f>
        <v>371.83</v>
      </c>
      <c r="U11" s="298">
        <f>S11+T11</f>
        <v>881.32661866666649</v>
      </c>
      <c r="V11" s="298">
        <f>VLOOKUP(O11,Credito,2)</f>
        <v>0</v>
      </c>
      <c r="W11" s="298">
        <f>ROUND((U11-V11)/30.4*I11,2)</f>
        <v>434.87</v>
      </c>
      <c r="X11" s="276">
        <f t="shared" ref="X11:X38" si="1">-IF(W11&gt;0,0,0)</f>
        <v>0</v>
      </c>
      <c r="Y11" s="276">
        <f>IF(K11/15&lt;=SMG,0,IF(W11&lt;0,0,W11))</f>
        <v>434.87</v>
      </c>
      <c r="Z11" s="277">
        <v>0</v>
      </c>
      <c r="AA11" s="276">
        <f>SUM(Y11:Z11)</f>
        <v>434.87</v>
      </c>
      <c r="AB11" s="276">
        <f>M11+X11-AA11</f>
        <v>5000.13</v>
      </c>
      <c r="AC11" s="333"/>
    </row>
    <row r="12" spans="1:29" s="334" customFormat="1" ht="213.75" customHeight="1" x14ac:dyDescent="0.2">
      <c r="A12" s="332"/>
      <c r="B12" s="289" t="s">
        <v>176</v>
      </c>
      <c r="C12" s="283" t="s">
        <v>114</v>
      </c>
      <c r="D12" s="290" t="s">
        <v>174</v>
      </c>
      <c r="E12" s="291" t="s">
        <v>175</v>
      </c>
      <c r="F12" s="291" t="s">
        <v>242</v>
      </c>
      <c r="G12" s="292">
        <v>43617</v>
      </c>
      <c r="H12" s="271" t="s">
        <v>511</v>
      </c>
      <c r="I12" s="272">
        <v>15</v>
      </c>
      <c r="J12" s="273">
        <f>K12/I12</f>
        <v>362.33333333333331</v>
      </c>
      <c r="K12" s="274">
        <v>5435</v>
      </c>
      <c r="L12" s="275">
        <v>0</v>
      </c>
      <c r="M12" s="276">
        <f>SUM(K12:L12)</f>
        <v>5435</v>
      </c>
      <c r="N12" s="298">
        <f>IF(K12/15&lt;=SMG,0,L12/2)</f>
        <v>0</v>
      </c>
      <c r="O12" s="314">
        <f>(K12+N12)/I12*30.4</f>
        <v>11014.933333333332</v>
      </c>
      <c r="P12" s="314">
        <f>VLOOKUP(O12,Tarifa,1)</f>
        <v>6332.06</v>
      </c>
      <c r="Q12" s="298">
        <f>O12-P12</f>
        <v>4682.8733333333321</v>
      </c>
      <c r="R12" s="299">
        <f>VLOOKUP(O12,Tarifa,3)</f>
        <v>0.10879999999999999</v>
      </c>
      <c r="S12" s="298">
        <f>Q12*R12</f>
        <v>509.49661866666651</v>
      </c>
      <c r="T12" s="300">
        <f>VLOOKUP(O12,Tarifa,2)</f>
        <v>371.83</v>
      </c>
      <c r="U12" s="298">
        <f>S12+T12</f>
        <v>881.32661866666649</v>
      </c>
      <c r="V12" s="298">
        <f>VLOOKUP(O12,Credito,2)</f>
        <v>0</v>
      </c>
      <c r="W12" s="298">
        <f>ROUND((U12-V12)/30.4*I12,2)</f>
        <v>434.87</v>
      </c>
      <c r="X12" s="276">
        <f t="shared" ref="X12:X13" si="2">-IF(W12&gt;0,0,0)</f>
        <v>0</v>
      </c>
      <c r="Y12" s="276">
        <f>IF(K12/15&lt;=SMG,0,IF(W12&lt;0,0,W12))</f>
        <v>434.87</v>
      </c>
      <c r="Z12" s="277">
        <v>0</v>
      </c>
      <c r="AA12" s="276">
        <f>SUM(Y12:Z12)</f>
        <v>434.87</v>
      </c>
      <c r="AB12" s="276">
        <f>M12+X12-AA12</f>
        <v>5000.13</v>
      </c>
      <c r="AC12" s="333"/>
    </row>
    <row r="13" spans="1:29" s="334" customFormat="1" ht="213.75" customHeight="1" x14ac:dyDescent="0.2">
      <c r="A13" s="332"/>
      <c r="B13" s="283" t="s">
        <v>126</v>
      </c>
      <c r="C13" s="283" t="s">
        <v>114</v>
      </c>
      <c r="D13" s="290" t="s">
        <v>125</v>
      </c>
      <c r="E13" s="291" t="s">
        <v>127</v>
      </c>
      <c r="F13" s="291" t="s">
        <v>229</v>
      </c>
      <c r="G13" s="331">
        <v>42948</v>
      </c>
      <c r="H13" s="271" t="s">
        <v>512</v>
      </c>
      <c r="I13" s="272">
        <v>15</v>
      </c>
      <c r="J13" s="273">
        <f>K13/I13</f>
        <v>441.834</v>
      </c>
      <c r="K13" s="274">
        <v>6627.51</v>
      </c>
      <c r="L13" s="275">
        <v>0</v>
      </c>
      <c r="M13" s="274">
        <f>K13</f>
        <v>6627.51</v>
      </c>
      <c r="N13" s="298">
        <f>IF(K13/15&lt;=SMG,0,L13/2)</f>
        <v>0</v>
      </c>
      <c r="O13" s="314">
        <f>(K13+N13)/I13*30.4</f>
        <v>13431.7536</v>
      </c>
      <c r="P13" s="314">
        <f>VLOOKUP(O13,Tarifa,1)</f>
        <v>12935.83</v>
      </c>
      <c r="Q13" s="298">
        <f>O13-P13</f>
        <v>495.92360000000008</v>
      </c>
      <c r="R13" s="299">
        <f>VLOOKUP(O13,Tarifa,3)</f>
        <v>0.1792</v>
      </c>
      <c r="S13" s="298">
        <f>Q13*R13</f>
        <v>88.869509120000018</v>
      </c>
      <c r="T13" s="300">
        <f>VLOOKUP(O13,Tarifa,2)</f>
        <v>1182.8800000000001</v>
      </c>
      <c r="U13" s="298">
        <f>S13+T13</f>
        <v>1271.7495091200001</v>
      </c>
      <c r="V13" s="298">
        <f>VLOOKUP(O13,Credito,2)</f>
        <v>0</v>
      </c>
      <c r="W13" s="298">
        <f>ROUND((U13-V13)/30.4*I13,2)</f>
        <v>627.51</v>
      </c>
      <c r="X13" s="276">
        <f t="shared" si="2"/>
        <v>0</v>
      </c>
      <c r="Y13" s="276">
        <f t="shared" ref="Y13" si="3">IF(K13/15&lt;=SMG,0,IF(W13&lt;0,0,W13))</f>
        <v>627.51</v>
      </c>
      <c r="Z13" s="277">
        <v>0</v>
      </c>
      <c r="AA13" s="276">
        <f t="shared" ref="AA13" si="4">SUM(Y13:Z13)</f>
        <v>627.51</v>
      </c>
      <c r="AB13" s="276">
        <f>M13+X13-AA13+L13</f>
        <v>6000</v>
      </c>
      <c r="AC13" s="333"/>
    </row>
    <row r="14" spans="1:29" s="4" customFormat="1" ht="12.75" customHeight="1" x14ac:dyDescent="0.3">
      <c r="A14" s="204"/>
      <c r="B14" s="214"/>
      <c r="C14" s="214"/>
      <c r="D14" s="215"/>
      <c r="E14" s="216"/>
      <c r="F14" s="216"/>
      <c r="G14" s="217"/>
      <c r="H14" s="206"/>
      <c r="I14" s="218"/>
      <c r="J14" s="219"/>
      <c r="K14" s="220"/>
      <c r="L14" s="221"/>
      <c r="M14" s="222"/>
      <c r="N14" s="223"/>
      <c r="O14" s="223"/>
      <c r="P14" s="223"/>
      <c r="Q14" s="223"/>
      <c r="R14" s="224"/>
      <c r="S14" s="223"/>
      <c r="T14" s="225"/>
      <c r="U14" s="223"/>
      <c r="V14" s="223"/>
      <c r="W14" s="223"/>
      <c r="X14" s="222"/>
      <c r="Y14" s="222"/>
      <c r="Z14" s="226"/>
      <c r="AA14" s="222"/>
      <c r="AB14" s="222"/>
    </row>
    <row r="15" spans="1:29" s="4" customFormat="1" ht="12.75" customHeight="1" x14ac:dyDescent="0.3">
      <c r="A15" s="204"/>
      <c r="B15" s="214"/>
      <c r="C15" s="214"/>
      <c r="D15" s="215"/>
      <c r="E15" s="216"/>
      <c r="F15" s="216"/>
      <c r="G15" s="217"/>
      <c r="H15" s="206"/>
      <c r="I15" s="218"/>
      <c r="J15" s="219"/>
      <c r="K15" s="220"/>
      <c r="L15" s="221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</row>
    <row r="16" spans="1:29" s="4" customFormat="1" ht="8.25" customHeight="1" x14ac:dyDescent="0.3">
      <c r="A16" s="204"/>
      <c r="B16" s="214"/>
      <c r="C16" s="214"/>
      <c r="D16" s="215"/>
      <c r="E16" s="216"/>
      <c r="F16" s="216"/>
      <c r="G16" s="217"/>
      <c r="H16" s="206"/>
      <c r="I16" s="218"/>
      <c r="J16" s="219"/>
      <c r="K16" s="220"/>
      <c r="L16" s="221"/>
      <c r="M16" s="222"/>
      <c r="N16" s="223"/>
      <c r="O16" s="223"/>
      <c r="P16" s="223"/>
      <c r="Q16" s="223"/>
      <c r="R16" s="224"/>
      <c r="S16" s="223"/>
      <c r="T16" s="225"/>
      <c r="U16" s="223"/>
      <c r="V16" s="223"/>
      <c r="W16" s="223"/>
      <c r="X16" s="222"/>
      <c r="Y16" s="222"/>
      <c r="Z16" s="226"/>
      <c r="AA16" s="222"/>
      <c r="AB16" s="222"/>
    </row>
    <row r="17" spans="1:30" s="4" customFormat="1" ht="27" customHeight="1" x14ac:dyDescent="0.25">
      <c r="A17" s="204"/>
      <c r="B17" s="455" t="s">
        <v>77</v>
      </c>
      <c r="C17" s="455"/>
      <c r="D17" s="455"/>
      <c r="E17" s="455"/>
      <c r="F17" s="455"/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55"/>
      <c r="R17" s="455"/>
      <c r="S17" s="455"/>
      <c r="T17" s="455"/>
      <c r="U17" s="455"/>
      <c r="V17" s="455"/>
      <c r="W17" s="455"/>
      <c r="X17" s="455"/>
      <c r="Y17" s="455"/>
      <c r="Z17" s="455"/>
      <c r="AA17" s="455"/>
      <c r="AB17" s="455"/>
      <c r="AC17" s="455"/>
      <c r="AD17" s="455"/>
    </row>
    <row r="18" spans="1:30" s="4" customFormat="1" ht="27" customHeight="1" x14ac:dyDescent="0.25">
      <c r="A18" s="204"/>
      <c r="B18" s="455" t="s">
        <v>64</v>
      </c>
      <c r="C18" s="455"/>
      <c r="D18" s="455"/>
      <c r="E18" s="455"/>
      <c r="F18" s="455"/>
      <c r="G18" s="455"/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  <c r="X18" s="455"/>
      <c r="Y18" s="455"/>
      <c r="Z18" s="455"/>
      <c r="AA18" s="455"/>
      <c r="AB18" s="455"/>
      <c r="AC18" s="455"/>
      <c r="AD18" s="455"/>
    </row>
    <row r="19" spans="1:30" s="4" customFormat="1" ht="27" customHeight="1" x14ac:dyDescent="0.3">
      <c r="A19" s="204"/>
      <c r="B19" s="479" t="str">
        <f>PRESIDENCIA!A3</f>
        <v>SUELDO  DEL 01 AL 15 DE DICIEMBRE DE 2025</v>
      </c>
      <c r="C19" s="479"/>
      <c r="D19" s="479"/>
      <c r="E19" s="479"/>
      <c r="F19" s="479"/>
      <c r="G19" s="479"/>
      <c r="H19" s="479"/>
      <c r="I19" s="479"/>
      <c r="J19" s="479"/>
      <c r="K19" s="479"/>
      <c r="L19" s="479"/>
      <c r="M19" s="479"/>
      <c r="N19" s="479"/>
      <c r="O19" s="479"/>
      <c r="P19" s="479"/>
      <c r="Q19" s="479"/>
      <c r="R19" s="479"/>
      <c r="S19" s="479"/>
      <c r="T19" s="479"/>
      <c r="U19" s="479"/>
      <c r="V19" s="479"/>
      <c r="W19" s="479"/>
      <c r="X19" s="479"/>
      <c r="Y19" s="479"/>
      <c r="Z19" s="479"/>
      <c r="AA19" s="479"/>
      <c r="AB19" s="479"/>
      <c r="AC19" s="479"/>
    </row>
    <row r="20" spans="1:30" s="4" customFormat="1" ht="18.75" customHeight="1" x14ac:dyDescent="0.3">
      <c r="A20" s="204"/>
      <c r="B20" s="214"/>
      <c r="C20" s="214"/>
      <c r="D20" s="215"/>
      <c r="E20" s="216"/>
      <c r="F20" s="216"/>
      <c r="G20" s="217"/>
      <c r="H20" s="206"/>
      <c r="I20" s="218"/>
      <c r="J20" s="219"/>
      <c r="K20" s="220"/>
      <c r="L20" s="221"/>
      <c r="M20" s="222"/>
      <c r="N20" s="223"/>
      <c r="O20" s="223"/>
      <c r="P20" s="223"/>
      <c r="Q20" s="223"/>
      <c r="R20" s="224"/>
      <c r="S20" s="223"/>
      <c r="T20" s="225"/>
      <c r="U20" s="223"/>
      <c r="V20" s="223"/>
      <c r="W20" s="223"/>
      <c r="X20" s="222"/>
      <c r="Y20" s="222"/>
      <c r="Z20" s="226"/>
      <c r="AA20" s="222"/>
      <c r="AB20" s="222"/>
    </row>
    <row r="21" spans="1:30" s="334" customFormat="1" ht="156.75" customHeight="1" x14ac:dyDescent="0.2">
      <c r="A21" s="335"/>
      <c r="B21" s="336" t="s">
        <v>420</v>
      </c>
      <c r="C21" s="336" t="s">
        <v>114</v>
      </c>
      <c r="D21" s="337" t="s">
        <v>410</v>
      </c>
      <c r="E21" s="338" t="s">
        <v>421</v>
      </c>
      <c r="F21" s="338" t="s">
        <v>422</v>
      </c>
      <c r="G21" s="339">
        <v>45566</v>
      </c>
      <c r="H21" s="340" t="s">
        <v>97</v>
      </c>
      <c r="I21" s="272">
        <v>15</v>
      </c>
      <c r="J21" s="273">
        <f t="shared" ref="J21:J25" si="5">K21/I21</f>
        <v>317.46666666666664</v>
      </c>
      <c r="K21" s="341">
        <v>4762</v>
      </c>
      <c r="L21" s="342">
        <v>0</v>
      </c>
      <c r="M21" s="343">
        <f t="shared" ref="M21" si="6">SUM(K21:L21)</f>
        <v>4762</v>
      </c>
      <c r="N21" s="298">
        <f>IF(K21/15&lt;=SMG,0,L21/2)</f>
        <v>0</v>
      </c>
      <c r="O21" s="314">
        <f>(K21+N21)/I21*30.4</f>
        <v>9650.9866666666658</v>
      </c>
      <c r="P21" s="314">
        <f>VLOOKUP(O21,Tarifa,1)</f>
        <v>6332.06</v>
      </c>
      <c r="Q21" s="298">
        <f>O21-P21</f>
        <v>3318.9266666666654</v>
      </c>
      <c r="R21" s="299">
        <f>VLOOKUP(O21,Tarifa,3)</f>
        <v>0.10879999999999999</v>
      </c>
      <c r="S21" s="298">
        <f>Q21*R21</f>
        <v>361.09922133333316</v>
      </c>
      <c r="T21" s="300">
        <f>VLOOKUP(O21,Tarifa,2)</f>
        <v>371.83</v>
      </c>
      <c r="U21" s="298">
        <f>S21+T21</f>
        <v>732.92922133333309</v>
      </c>
      <c r="V21" s="298">
        <f>VLOOKUP(O21,Credito,2)</f>
        <v>475</v>
      </c>
      <c r="W21" s="298">
        <f>ROUND((U21-V21)/30.4*I21,2)</f>
        <v>127.27</v>
      </c>
      <c r="X21" s="343">
        <f t="shared" ref="X21:X22" si="7">-IF(W21&gt;0,0,0)</f>
        <v>0</v>
      </c>
      <c r="Y21" s="343">
        <f t="shared" ref="Y21:Y22" si="8">IF(K21/15&lt;=SMG,0,IF(W21&lt;0,0,W21))</f>
        <v>127.27</v>
      </c>
      <c r="Z21" s="344">
        <v>0</v>
      </c>
      <c r="AA21" s="343">
        <f t="shared" ref="AA21" si="9">SUM(Y21:Z21)</f>
        <v>127.27</v>
      </c>
      <c r="AB21" s="343">
        <f t="shared" ref="AB21" si="10">M21+X21-AA21</f>
        <v>4634.7299999999996</v>
      </c>
      <c r="AC21" s="345"/>
    </row>
    <row r="22" spans="1:30" s="334" customFormat="1" ht="156.75" customHeight="1" x14ac:dyDescent="0.2">
      <c r="A22" s="335"/>
      <c r="B22" s="283" t="s">
        <v>300</v>
      </c>
      <c r="C22" s="283" t="s">
        <v>114</v>
      </c>
      <c r="D22" s="290" t="s">
        <v>299</v>
      </c>
      <c r="E22" s="291" t="s">
        <v>301</v>
      </c>
      <c r="F22" s="291" t="s">
        <v>302</v>
      </c>
      <c r="G22" s="331">
        <v>45123</v>
      </c>
      <c r="H22" s="271" t="s">
        <v>298</v>
      </c>
      <c r="I22" s="272">
        <v>15</v>
      </c>
      <c r="J22" s="273">
        <f t="shared" si="5"/>
        <v>305.06666666666666</v>
      </c>
      <c r="K22" s="274">
        <v>4576</v>
      </c>
      <c r="L22" s="275">
        <v>0</v>
      </c>
      <c r="M22" s="276">
        <f>SUM(K22:L22)</f>
        <v>4576</v>
      </c>
      <c r="N22" s="298">
        <f>IF(K22/15&lt;=SMG,0,L22/2)</f>
        <v>0</v>
      </c>
      <c r="O22" s="314">
        <f>(K22+N22)/I22*30.4</f>
        <v>9274.0266666666666</v>
      </c>
      <c r="P22" s="314">
        <f>VLOOKUP(O22,Tarifa,1)</f>
        <v>6332.06</v>
      </c>
      <c r="Q22" s="298">
        <f>O22-P22</f>
        <v>2941.9666666666662</v>
      </c>
      <c r="R22" s="299">
        <f>VLOOKUP(O22,Tarifa,3)</f>
        <v>0.10879999999999999</v>
      </c>
      <c r="S22" s="298">
        <f>Q22*R22</f>
        <v>320.08597333333324</v>
      </c>
      <c r="T22" s="300">
        <f>VLOOKUP(O22,Tarifa,2)</f>
        <v>371.83</v>
      </c>
      <c r="U22" s="298">
        <f>S22+T22</f>
        <v>691.91597333333323</v>
      </c>
      <c r="V22" s="298">
        <f>VLOOKUP(O22,Credito,2)</f>
        <v>475</v>
      </c>
      <c r="W22" s="298">
        <f>ROUND((U22-V22)/30.4*I22,2)</f>
        <v>107.03</v>
      </c>
      <c r="X22" s="276">
        <f t="shared" si="7"/>
        <v>0</v>
      </c>
      <c r="Y22" s="276">
        <f t="shared" si="8"/>
        <v>107.03</v>
      </c>
      <c r="Z22" s="277">
        <v>0</v>
      </c>
      <c r="AA22" s="276">
        <f>SUM(Y22:Z22)</f>
        <v>107.03</v>
      </c>
      <c r="AB22" s="276">
        <f>M22+X22-AA22</f>
        <v>4468.97</v>
      </c>
      <c r="AC22" s="345"/>
    </row>
    <row r="23" spans="1:30" s="334" customFormat="1" ht="156.75" customHeight="1" x14ac:dyDescent="0.2">
      <c r="A23" s="332"/>
      <c r="B23" s="283" t="s">
        <v>177</v>
      </c>
      <c r="C23" s="283" t="s">
        <v>114</v>
      </c>
      <c r="D23" s="290" t="s">
        <v>178</v>
      </c>
      <c r="E23" s="291" t="s">
        <v>179</v>
      </c>
      <c r="F23" s="291" t="s">
        <v>243</v>
      </c>
      <c r="G23" s="331">
        <v>43709</v>
      </c>
      <c r="H23" s="271" t="s">
        <v>212</v>
      </c>
      <c r="I23" s="272">
        <v>15</v>
      </c>
      <c r="J23" s="273">
        <f t="shared" si="5"/>
        <v>288</v>
      </c>
      <c r="K23" s="274">
        <v>4320</v>
      </c>
      <c r="L23" s="275">
        <v>0</v>
      </c>
      <c r="M23" s="276">
        <f>SUM(K23:L23)</f>
        <v>4320</v>
      </c>
      <c r="N23" s="298">
        <f>IF(K23/15&lt;=SMG,0,L23/2)</f>
        <v>0</v>
      </c>
      <c r="O23" s="314">
        <f>(K23+N23)/I23*30.4</f>
        <v>8755.1999999999989</v>
      </c>
      <c r="P23" s="314">
        <f>VLOOKUP(O23,Tarifa,1)</f>
        <v>6332.06</v>
      </c>
      <c r="Q23" s="298">
        <f>O23-P23</f>
        <v>2423.1399999999985</v>
      </c>
      <c r="R23" s="299">
        <f>VLOOKUP(O23,Tarifa,3)</f>
        <v>0.10879999999999999</v>
      </c>
      <c r="S23" s="298">
        <f>Q23*R23</f>
        <v>263.63763199999983</v>
      </c>
      <c r="T23" s="300">
        <f>VLOOKUP(O23,Tarifa,2)</f>
        <v>371.83</v>
      </c>
      <c r="U23" s="298">
        <f>S23+T23</f>
        <v>635.46763199999987</v>
      </c>
      <c r="V23" s="298">
        <f>VLOOKUP(O23,Credito,2)</f>
        <v>475</v>
      </c>
      <c r="W23" s="298">
        <f>ROUND((U23-V23)/30.4*I23,2)</f>
        <v>79.180000000000007</v>
      </c>
      <c r="X23" s="276">
        <f t="shared" si="1"/>
        <v>0</v>
      </c>
      <c r="Y23" s="276">
        <f>IF(K23/15&lt;=SMG,0,IF(W23&lt;0,0,W23))</f>
        <v>79.180000000000007</v>
      </c>
      <c r="Z23" s="277">
        <v>2000</v>
      </c>
      <c r="AA23" s="276">
        <f>SUM(Y23:Z23)</f>
        <v>2079.1799999999998</v>
      </c>
      <c r="AB23" s="276">
        <f>M23+X23-AA23</f>
        <v>2240.8200000000002</v>
      </c>
      <c r="AC23" s="333"/>
    </row>
    <row r="24" spans="1:30" s="334" customFormat="1" ht="156.75" customHeight="1" x14ac:dyDescent="0.2">
      <c r="A24" s="332"/>
      <c r="B24" s="289" t="s">
        <v>216</v>
      </c>
      <c r="C24" s="283" t="s">
        <v>114</v>
      </c>
      <c r="D24" s="268" t="s">
        <v>202</v>
      </c>
      <c r="E24" s="269" t="s">
        <v>203</v>
      </c>
      <c r="F24" s="269" t="s">
        <v>228</v>
      </c>
      <c r="G24" s="270">
        <v>44473</v>
      </c>
      <c r="H24" s="271" t="s">
        <v>409</v>
      </c>
      <c r="I24" s="272">
        <v>15</v>
      </c>
      <c r="J24" s="273">
        <f t="shared" si="5"/>
        <v>272.93333333333334</v>
      </c>
      <c r="K24" s="274">
        <v>4094</v>
      </c>
      <c r="L24" s="275">
        <v>0</v>
      </c>
      <c r="M24" s="276">
        <f>SUM(K24:L24)</f>
        <v>4094</v>
      </c>
      <c r="N24" s="298">
        <f>IF(K24/15&lt;=SMG,0,L24/2)</f>
        <v>0</v>
      </c>
      <c r="O24" s="314">
        <f>(K24+N24)/I24*30.4</f>
        <v>8297.1733333333323</v>
      </c>
      <c r="P24" s="314">
        <f>VLOOKUP(O24,Tarifa,1)</f>
        <v>6332.06</v>
      </c>
      <c r="Q24" s="298">
        <f>O24-P24</f>
        <v>1965.1133333333319</v>
      </c>
      <c r="R24" s="299">
        <f>VLOOKUP(O24,Tarifa,3)</f>
        <v>0.10879999999999999</v>
      </c>
      <c r="S24" s="298">
        <f>Q24*R24</f>
        <v>213.80433066666649</v>
      </c>
      <c r="T24" s="300">
        <f>VLOOKUP(O24,Tarifa,2)</f>
        <v>371.83</v>
      </c>
      <c r="U24" s="298">
        <f>S24+T24</f>
        <v>585.63433066666653</v>
      </c>
      <c r="V24" s="298">
        <f>VLOOKUP(O24,Credito,2)</f>
        <v>475</v>
      </c>
      <c r="W24" s="298">
        <f>ROUND((U24-V24)/30.4*I24,2)</f>
        <v>54.59</v>
      </c>
      <c r="X24" s="276">
        <f>-IF(W24&gt;0,0,0)</f>
        <v>0</v>
      </c>
      <c r="Y24" s="276">
        <f t="shared" ref="Y24:Y25" si="11">IF(K24/15&lt;=SMG,0,IF(W24&lt;0,0,W24))</f>
        <v>0</v>
      </c>
      <c r="Z24" s="277">
        <v>0</v>
      </c>
      <c r="AA24" s="276">
        <f>SUM(Y24:Z24)</f>
        <v>0</v>
      </c>
      <c r="AB24" s="276">
        <f>M24+X24-AA24</f>
        <v>4094</v>
      </c>
      <c r="AC24" s="333"/>
    </row>
    <row r="25" spans="1:30" s="334" customFormat="1" ht="156.75" customHeight="1" x14ac:dyDescent="0.2">
      <c r="A25" s="332"/>
      <c r="B25" s="289" t="s">
        <v>523</v>
      </c>
      <c r="C25" s="283" t="s">
        <v>114</v>
      </c>
      <c r="D25" s="268" t="s">
        <v>525</v>
      </c>
      <c r="E25" s="269" t="s">
        <v>526</v>
      </c>
      <c r="F25" s="269" t="s">
        <v>527</v>
      </c>
      <c r="G25" s="270">
        <v>45673</v>
      </c>
      <c r="H25" s="271" t="s">
        <v>377</v>
      </c>
      <c r="I25" s="272">
        <v>15</v>
      </c>
      <c r="J25" s="273">
        <f t="shared" si="5"/>
        <v>373.2</v>
      </c>
      <c r="K25" s="274">
        <v>5598</v>
      </c>
      <c r="L25" s="275">
        <v>0</v>
      </c>
      <c r="M25" s="276">
        <f t="shared" ref="M25" si="12">SUM(K25:L25)</f>
        <v>5598</v>
      </c>
      <c r="N25" s="298">
        <f t="shared" ref="N25" si="13">IF(K25/15&lt;=SMG,0,L25/2)</f>
        <v>0</v>
      </c>
      <c r="O25" s="314">
        <f t="shared" ref="O25" si="14">(K25+N25)/I25*30.4</f>
        <v>11345.279999999999</v>
      </c>
      <c r="P25" s="314">
        <f t="shared" ref="P25" si="15">VLOOKUP(O25,Tarifa,1)</f>
        <v>11128.02</v>
      </c>
      <c r="Q25" s="298">
        <f t="shared" ref="Q25" si="16">O25-P25</f>
        <v>217.2599999999984</v>
      </c>
      <c r="R25" s="299">
        <f t="shared" ref="R25" si="17">VLOOKUP(O25,Tarifa,3)</f>
        <v>0.16</v>
      </c>
      <c r="S25" s="298">
        <f t="shared" ref="S25" si="18">Q25*R25</f>
        <v>34.761599999999746</v>
      </c>
      <c r="T25" s="300">
        <f t="shared" ref="T25" si="19">VLOOKUP(O25,Tarifa,2)</f>
        <v>893.63</v>
      </c>
      <c r="U25" s="298">
        <f t="shared" ref="U25" si="20">S25+T25</f>
        <v>928.3915999999997</v>
      </c>
      <c r="V25" s="298">
        <f t="shared" ref="V25" si="21">VLOOKUP(O25,Credito,2)</f>
        <v>0</v>
      </c>
      <c r="W25" s="298">
        <f t="shared" ref="W25" si="22">ROUND((U25-V25)/30.4*I25,2)</f>
        <v>458.09</v>
      </c>
      <c r="X25" s="276">
        <f t="shared" ref="X25" si="23">-IF(W25&gt;0,0,0)</f>
        <v>0</v>
      </c>
      <c r="Y25" s="276">
        <f t="shared" si="11"/>
        <v>458.09</v>
      </c>
      <c r="Z25" s="277">
        <v>0</v>
      </c>
      <c r="AA25" s="276">
        <f t="shared" ref="AA25" si="24">SUM(Y25:Z25)</f>
        <v>458.09</v>
      </c>
      <c r="AB25" s="276">
        <f t="shared" ref="AB25" si="25">M25+X25-AA25</f>
        <v>5139.91</v>
      </c>
      <c r="AC25" s="333"/>
    </row>
    <row r="26" spans="1:30" s="334" customFormat="1" ht="156.75" customHeight="1" x14ac:dyDescent="0.2">
      <c r="A26" s="332"/>
      <c r="B26" s="289" t="s">
        <v>524</v>
      </c>
      <c r="C26" s="283" t="s">
        <v>114</v>
      </c>
      <c r="D26" s="268" t="s">
        <v>528</v>
      </c>
      <c r="E26" s="269" t="s">
        <v>530</v>
      </c>
      <c r="F26" s="269" t="s">
        <v>529</v>
      </c>
      <c r="G26" s="270">
        <v>45673</v>
      </c>
      <c r="H26" s="271" t="s">
        <v>377</v>
      </c>
      <c r="I26" s="272">
        <v>15</v>
      </c>
      <c r="J26" s="273">
        <f t="shared" ref="J26" si="26">K26/I26</f>
        <v>373.2</v>
      </c>
      <c r="K26" s="274">
        <v>5598</v>
      </c>
      <c r="L26" s="275">
        <v>0</v>
      </c>
      <c r="M26" s="276">
        <f t="shared" ref="M26" si="27">SUM(K26:L26)</f>
        <v>5598</v>
      </c>
      <c r="N26" s="298">
        <f t="shared" ref="N26" si="28">IF(K26/15&lt;=SMG,0,L26/2)</f>
        <v>0</v>
      </c>
      <c r="O26" s="314">
        <f t="shared" ref="O26" si="29">(K26+N26)/I26*30.4</f>
        <v>11345.279999999999</v>
      </c>
      <c r="P26" s="314">
        <f t="shared" ref="P26" si="30">VLOOKUP(O26,Tarifa,1)</f>
        <v>11128.02</v>
      </c>
      <c r="Q26" s="298">
        <f t="shared" ref="Q26" si="31">O26-P26</f>
        <v>217.2599999999984</v>
      </c>
      <c r="R26" s="299">
        <f t="shared" ref="R26" si="32">VLOOKUP(O26,Tarifa,3)</f>
        <v>0.16</v>
      </c>
      <c r="S26" s="298">
        <f t="shared" ref="S26" si="33">Q26*R26</f>
        <v>34.761599999999746</v>
      </c>
      <c r="T26" s="300">
        <f t="shared" ref="T26" si="34">VLOOKUP(O26,Tarifa,2)</f>
        <v>893.63</v>
      </c>
      <c r="U26" s="298">
        <f t="shared" ref="U26" si="35">S26+T26</f>
        <v>928.3915999999997</v>
      </c>
      <c r="V26" s="298">
        <f t="shared" ref="V26" si="36">VLOOKUP(O26,Credito,2)</f>
        <v>0</v>
      </c>
      <c r="W26" s="298">
        <f t="shared" ref="W26" si="37">ROUND((U26-V26)/30.4*I26,2)</f>
        <v>458.09</v>
      </c>
      <c r="X26" s="276">
        <f t="shared" ref="X26" si="38">-IF(W26&gt;0,0,0)</f>
        <v>0</v>
      </c>
      <c r="Y26" s="276">
        <f t="shared" ref="Y26" si="39">IF(K26/15&lt;=SMG,0,IF(W26&lt;0,0,W26))</f>
        <v>458.09</v>
      </c>
      <c r="Z26" s="277">
        <v>0</v>
      </c>
      <c r="AA26" s="276">
        <f t="shared" ref="AA26" si="40">SUM(Y26:Z26)</f>
        <v>458.09</v>
      </c>
      <c r="AB26" s="276">
        <f t="shared" ref="AB26" si="41">M26+X26-AA26</f>
        <v>5139.91</v>
      </c>
      <c r="AC26" s="333"/>
    </row>
    <row r="27" spans="1:30" s="334" customFormat="1" ht="48" customHeight="1" x14ac:dyDescent="0.25">
      <c r="A27" s="405"/>
      <c r="B27" s="111" t="s">
        <v>95</v>
      </c>
      <c r="C27" s="111" t="s">
        <v>120</v>
      </c>
      <c r="D27" s="180" t="s">
        <v>119</v>
      </c>
      <c r="E27" s="180" t="s">
        <v>96</v>
      </c>
      <c r="F27" s="180" t="s">
        <v>220</v>
      </c>
      <c r="G27" s="148" t="s">
        <v>272</v>
      </c>
      <c r="H27" s="180" t="s">
        <v>61</v>
      </c>
      <c r="I27" s="180"/>
      <c r="J27" s="180"/>
      <c r="K27" s="181">
        <f>SUM(K28:K28)</f>
        <v>5598</v>
      </c>
      <c r="L27" s="181">
        <f>SUM(L28:L28)</f>
        <v>0</v>
      </c>
      <c r="M27" s="181">
        <f>SUM(M28:M28)</f>
        <v>5598</v>
      </c>
      <c r="N27" s="180"/>
      <c r="O27" s="180"/>
      <c r="P27" s="180"/>
      <c r="Q27" s="180"/>
      <c r="R27" s="180"/>
      <c r="S27" s="180"/>
      <c r="T27" s="183"/>
      <c r="U27" s="180"/>
      <c r="V27" s="180"/>
      <c r="W27" s="180"/>
      <c r="X27" s="181">
        <f>SUM(X28:X28)</f>
        <v>0</v>
      </c>
      <c r="Y27" s="181">
        <f>SUM(Y28:Y28)</f>
        <v>458.09</v>
      </c>
      <c r="Z27" s="181">
        <f>SUM(Z28:Z28)</f>
        <v>0</v>
      </c>
      <c r="AA27" s="181">
        <f>SUM(AA28:AA28)</f>
        <v>458.09</v>
      </c>
      <c r="AB27" s="181">
        <f>SUM(AB28:AB28)</f>
        <v>5139.91</v>
      </c>
      <c r="AC27" s="96"/>
    </row>
    <row r="28" spans="1:30" s="334" customFormat="1" ht="161.25" customHeight="1" x14ac:dyDescent="0.2">
      <c r="A28" s="405"/>
      <c r="B28" s="289" t="s">
        <v>641</v>
      </c>
      <c r="C28" s="283" t="s">
        <v>114</v>
      </c>
      <c r="D28" s="268" t="s">
        <v>637</v>
      </c>
      <c r="E28" s="269" t="s">
        <v>638</v>
      </c>
      <c r="F28" s="269" t="s">
        <v>639</v>
      </c>
      <c r="G28" s="270">
        <v>45901</v>
      </c>
      <c r="H28" s="271" t="s">
        <v>377</v>
      </c>
      <c r="I28" s="272">
        <v>15</v>
      </c>
      <c r="J28" s="273">
        <f>K28/I28</f>
        <v>373.2</v>
      </c>
      <c r="K28" s="274">
        <v>5598</v>
      </c>
      <c r="L28" s="275">
        <v>0</v>
      </c>
      <c r="M28" s="276">
        <f t="shared" ref="M28" si="42">SUM(K28:L28)</f>
        <v>5598</v>
      </c>
      <c r="N28" s="298">
        <f t="shared" ref="N28" si="43">IF(K28/15&lt;=SMG,0,L28/2)</f>
        <v>0</v>
      </c>
      <c r="O28" s="314">
        <f t="shared" ref="O28" si="44">(K28+N28)/I28*30.4</f>
        <v>11345.279999999999</v>
      </c>
      <c r="P28" s="314">
        <f t="shared" ref="P28" si="45">VLOOKUP(O28,Tarifa,1)</f>
        <v>11128.02</v>
      </c>
      <c r="Q28" s="298">
        <f t="shared" ref="Q28" si="46">O28-P28</f>
        <v>217.2599999999984</v>
      </c>
      <c r="R28" s="299">
        <f t="shared" ref="R28" si="47">VLOOKUP(O28,Tarifa,3)</f>
        <v>0.16</v>
      </c>
      <c r="S28" s="298">
        <f t="shared" ref="S28" si="48">Q28*R28</f>
        <v>34.761599999999746</v>
      </c>
      <c r="T28" s="300">
        <f t="shared" ref="T28" si="49">VLOOKUP(O28,Tarifa,2)</f>
        <v>893.63</v>
      </c>
      <c r="U28" s="298">
        <f t="shared" ref="U28" si="50">S28+T28</f>
        <v>928.3915999999997</v>
      </c>
      <c r="V28" s="298">
        <f t="shared" ref="V28" si="51">VLOOKUP(O28,Credito,2)</f>
        <v>0</v>
      </c>
      <c r="W28" s="298">
        <f t="shared" ref="W28" si="52">ROUND((U28-V28)/30.4*I28,2)</f>
        <v>458.09</v>
      </c>
      <c r="X28" s="276">
        <f t="shared" ref="X28" si="53">-IF(W28&gt;0,0,0)</f>
        <v>0</v>
      </c>
      <c r="Y28" s="276">
        <f t="shared" ref="Y28" si="54">IF(K28/15&lt;=SMG,0,IF(W28&lt;0,0,W28))</f>
        <v>458.09</v>
      </c>
      <c r="Z28" s="277">
        <v>0</v>
      </c>
      <c r="AA28" s="276">
        <f t="shared" ref="AA28" si="55">SUM(Y28:Z28)</f>
        <v>458.09</v>
      </c>
      <c r="AB28" s="276">
        <f t="shared" ref="AB28" si="56">M28+X28-AA28</f>
        <v>5139.91</v>
      </c>
      <c r="AC28" s="333"/>
    </row>
    <row r="29" spans="1:30" s="334" customFormat="1" ht="20.25" customHeight="1" x14ac:dyDescent="0.2">
      <c r="A29" s="405"/>
      <c r="B29" s="392"/>
      <c r="C29" s="393"/>
      <c r="D29" s="394"/>
      <c r="E29" s="395"/>
      <c r="F29" s="395"/>
      <c r="G29" s="396"/>
      <c r="H29" s="397"/>
      <c r="I29" s="398"/>
      <c r="J29" s="399"/>
      <c r="K29" s="400"/>
      <c r="L29" s="401"/>
      <c r="M29" s="402"/>
      <c r="N29" s="384"/>
      <c r="O29" s="385"/>
      <c r="P29" s="385"/>
      <c r="Q29" s="384"/>
      <c r="R29" s="386"/>
      <c r="S29" s="384"/>
      <c r="T29" s="387"/>
      <c r="U29" s="384"/>
      <c r="V29" s="384"/>
      <c r="W29" s="384"/>
      <c r="X29" s="402"/>
      <c r="Y29" s="402"/>
      <c r="Z29" s="403"/>
      <c r="AA29" s="402"/>
      <c r="AB29" s="402"/>
      <c r="AC29" s="431"/>
    </row>
    <row r="30" spans="1:30" s="4" customFormat="1" ht="34.5" customHeight="1" x14ac:dyDescent="0.25">
      <c r="A30" s="249"/>
      <c r="B30" s="455" t="s">
        <v>77</v>
      </c>
      <c r="C30" s="455"/>
      <c r="D30" s="455"/>
      <c r="E30" s="455"/>
      <c r="F30" s="455"/>
      <c r="G30" s="455"/>
      <c r="H30" s="455"/>
      <c r="I30" s="455"/>
      <c r="J30" s="455"/>
      <c r="K30" s="455"/>
      <c r="L30" s="455"/>
      <c r="M30" s="455"/>
      <c r="N30" s="455"/>
      <c r="O30" s="455"/>
      <c r="P30" s="455"/>
      <c r="Q30" s="455"/>
      <c r="R30" s="455"/>
      <c r="S30" s="455"/>
      <c r="T30" s="455"/>
      <c r="U30" s="455"/>
      <c r="V30" s="455"/>
      <c r="W30" s="455"/>
      <c r="X30" s="455"/>
      <c r="Y30" s="455"/>
      <c r="Z30" s="455"/>
      <c r="AA30" s="455"/>
      <c r="AB30" s="455"/>
      <c r="AC30" s="455"/>
      <c r="AD30" s="455"/>
    </row>
    <row r="31" spans="1:30" s="4" customFormat="1" ht="27" customHeight="1" x14ac:dyDescent="0.25">
      <c r="A31" s="249"/>
      <c r="B31" s="455" t="s">
        <v>64</v>
      </c>
      <c r="C31" s="455"/>
      <c r="D31" s="455"/>
      <c r="E31" s="455"/>
      <c r="F31" s="455"/>
      <c r="G31" s="455"/>
      <c r="H31" s="455"/>
      <c r="I31" s="455"/>
      <c r="J31" s="455"/>
      <c r="K31" s="455"/>
      <c r="L31" s="455"/>
      <c r="M31" s="455"/>
      <c r="N31" s="455"/>
      <c r="O31" s="455"/>
      <c r="P31" s="455"/>
      <c r="Q31" s="455"/>
      <c r="R31" s="455"/>
      <c r="S31" s="455"/>
      <c r="T31" s="455"/>
      <c r="U31" s="455"/>
      <c r="V31" s="455"/>
      <c r="W31" s="455"/>
      <c r="X31" s="455"/>
      <c r="Y31" s="455"/>
      <c r="Z31" s="455"/>
      <c r="AA31" s="455"/>
      <c r="AB31" s="455"/>
      <c r="AC31" s="455"/>
      <c r="AD31" s="455"/>
    </row>
    <row r="32" spans="1:30" s="4" customFormat="1" ht="24" customHeight="1" x14ac:dyDescent="0.25">
      <c r="A32" s="249"/>
      <c r="B32" s="445" t="str">
        <f>PRESIDENCIA!A3</f>
        <v>SUELDO  DEL 01 AL 15 DE DICIEMBRE DE 2025</v>
      </c>
      <c r="C32" s="445"/>
      <c r="D32" s="445"/>
      <c r="E32" s="445"/>
      <c r="F32" s="445"/>
      <c r="G32" s="445"/>
      <c r="H32" s="445"/>
      <c r="I32" s="445"/>
      <c r="J32" s="445"/>
      <c r="K32" s="445"/>
      <c r="L32" s="445"/>
      <c r="M32" s="445"/>
      <c r="N32" s="445"/>
      <c r="O32" s="445"/>
      <c r="P32" s="445"/>
      <c r="Q32" s="445"/>
      <c r="R32" s="445"/>
      <c r="S32" s="445"/>
      <c r="T32" s="445"/>
      <c r="U32" s="445"/>
      <c r="V32" s="445"/>
      <c r="W32" s="445"/>
      <c r="X32" s="445"/>
      <c r="Y32" s="445"/>
      <c r="Z32" s="445"/>
      <c r="AA32" s="445"/>
      <c r="AB32" s="445"/>
      <c r="AC32" s="445"/>
      <c r="AD32" s="445"/>
    </row>
    <row r="33" spans="1:35" s="4" customFormat="1" ht="23.25" customHeight="1" x14ac:dyDescent="0.3">
      <c r="A33" s="249"/>
      <c r="B33" s="244"/>
      <c r="C33" s="214"/>
      <c r="D33" s="206"/>
      <c r="E33" s="207"/>
      <c r="F33" s="207"/>
      <c r="G33" s="253"/>
      <c r="H33" s="206"/>
      <c r="I33" s="218"/>
      <c r="J33" s="219"/>
      <c r="K33" s="220"/>
      <c r="L33" s="221"/>
      <c r="M33" s="222"/>
      <c r="N33" s="223"/>
      <c r="O33" s="223"/>
      <c r="P33" s="223"/>
      <c r="Q33" s="223"/>
      <c r="R33" s="224"/>
      <c r="S33" s="223"/>
      <c r="T33" s="225"/>
      <c r="U33" s="223"/>
      <c r="V33" s="223"/>
      <c r="W33" s="223"/>
      <c r="X33" s="222"/>
      <c r="Y33" s="222"/>
      <c r="Z33" s="226"/>
      <c r="AA33" s="222"/>
      <c r="AB33" s="222"/>
    </row>
    <row r="34" spans="1:35" s="4" customFormat="1" ht="49.5" customHeight="1" x14ac:dyDescent="0.25">
      <c r="A34" s="249"/>
      <c r="B34" s="111" t="s">
        <v>95</v>
      </c>
      <c r="C34" s="111" t="s">
        <v>120</v>
      </c>
      <c r="D34" s="180" t="s">
        <v>119</v>
      </c>
      <c r="E34" s="180" t="s">
        <v>96</v>
      </c>
      <c r="F34" s="180" t="s">
        <v>220</v>
      </c>
      <c r="G34" s="148" t="s">
        <v>272</v>
      </c>
      <c r="H34" s="180" t="s">
        <v>61</v>
      </c>
      <c r="I34" s="180"/>
      <c r="J34" s="180"/>
      <c r="K34" s="181">
        <f>SUM(K35:K35)</f>
        <v>7078</v>
      </c>
      <c r="L34" s="181">
        <f>SUM(L35:L35)</f>
        <v>0</v>
      </c>
      <c r="M34" s="181">
        <f>SUM(M35:M35)</f>
        <v>7078</v>
      </c>
      <c r="N34" s="180"/>
      <c r="O34" s="180"/>
      <c r="P34" s="180"/>
      <c r="Q34" s="180"/>
      <c r="R34" s="180"/>
      <c r="S34" s="180"/>
      <c r="T34" s="183"/>
      <c r="U34" s="180"/>
      <c r="V34" s="180"/>
      <c r="W34" s="180"/>
      <c r="X34" s="181">
        <f>SUM(X35:X35)</f>
        <v>0</v>
      </c>
      <c r="Y34" s="181">
        <f>SUM(Y35:Y35)</f>
        <v>708.24</v>
      </c>
      <c r="Z34" s="181">
        <f>SUM(Z35:Z35)</f>
        <v>0</v>
      </c>
      <c r="AA34" s="181">
        <f>SUM(AA35:AA35)</f>
        <v>708.24</v>
      </c>
      <c r="AB34" s="181">
        <f>SUM(AB35:AB35)</f>
        <v>6369.76</v>
      </c>
      <c r="AC34" s="96"/>
    </row>
    <row r="35" spans="1:35" s="4" customFormat="1" ht="186.75" customHeight="1" x14ac:dyDescent="0.2">
      <c r="A35" s="249"/>
      <c r="B35" s="289" t="s">
        <v>169</v>
      </c>
      <c r="C35" s="283" t="s">
        <v>114</v>
      </c>
      <c r="D35" s="268" t="s">
        <v>161</v>
      </c>
      <c r="E35" s="269" t="s">
        <v>166</v>
      </c>
      <c r="F35" s="269" t="s">
        <v>240</v>
      </c>
      <c r="G35" s="270">
        <v>43512</v>
      </c>
      <c r="H35" s="271" t="s">
        <v>514</v>
      </c>
      <c r="I35" s="272">
        <v>15</v>
      </c>
      <c r="J35" s="273">
        <f>K35/I35</f>
        <v>471.86666666666667</v>
      </c>
      <c r="K35" s="274">
        <v>7078</v>
      </c>
      <c r="L35" s="275">
        <v>0</v>
      </c>
      <c r="M35" s="276">
        <f>SUM(K35:L35)</f>
        <v>7078</v>
      </c>
      <c r="N35" s="298">
        <f>IF(K35/15&lt;=SMG,0,L35/2)</f>
        <v>0</v>
      </c>
      <c r="O35" s="314">
        <f>(K35+N35)/I35*30.4</f>
        <v>14344.746666666666</v>
      </c>
      <c r="P35" s="314">
        <f>VLOOKUP(O35,Tarifa,1)</f>
        <v>12935.83</v>
      </c>
      <c r="Q35" s="298">
        <f>O35-P35</f>
        <v>1408.9166666666661</v>
      </c>
      <c r="R35" s="299">
        <f>VLOOKUP(O35,Tarifa,3)</f>
        <v>0.1792</v>
      </c>
      <c r="S35" s="298">
        <f>Q35*R35</f>
        <v>252.47786666666656</v>
      </c>
      <c r="T35" s="300">
        <f>VLOOKUP(O35,Tarifa,2)</f>
        <v>1182.8800000000001</v>
      </c>
      <c r="U35" s="298">
        <f>S35+T35</f>
        <v>1435.3578666666667</v>
      </c>
      <c r="V35" s="298">
        <f>VLOOKUP(O35,Credito,2)</f>
        <v>0</v>
      </c>
      <c r="W35" s="298">
        <f>ROUND((U35-V35)/30.4*I35,2)</f>
        <v>708.24</v>
      </c>
      <c r="X35" s="276">
        <f>-IF(W35&gt;0,0,0)</f>
        <v>0</v>
      </c>
      <c r="Y35" s="276">
        <f>IF(K35/15&lt;=SMG,0,IF(W35&lt;0,0,W35))</f>
        <v>708.24</v>
      </c>
      <c r="Z35" s="277">
        <v>0</v>
      </c>
      <c r="AA35" s="276">
        <f>SUM(Y35:Z35)</f>
        <v>708.24</v>
      </c>
      <c r="AB35" s="276">
        <f>M35+X35-AA35</f>
        <v>6369.76</v>
      </c>
      <c r="AC35" s="333"/>
    </row>
    <row r="36" spans="1:35" s="4" customFormat="1" ht="48.75" customHeight="1" x14ac:dyDescent="0.25">
      <c r="A36" s="44"/>
      <c r="B36" s="111" t="s">
        <v>95</v>
      </c>
      <c r="C36" s="111" t="s">
        <v>120</v>
      </c>
      <c r="D36" s="180" t="s">
        <v>69</v>
      </c>
      <c r="E36" s="180" t="s">
        <v>96</v>
      </c>
      <c r="F36" s="180" t="s">
        <v>220</v>
      </c>
      <c r="G36" s="148" t="s">
        <v>272</v>
      </c>
      <c r="H36" s="180" t="s">
        <v>61</v>
      </c>
      <c r="I36" s="180"/>
      <c r="J36" s="180"/>
      <c r="K36" s="181">
        <f>SUM(K37:K38)</f>
        <v>13353.5</v>
      </c>
      <c r="L36" s="181">
        <f>SUM(L37:L38)</f>
        <v>0</v>
      </c>
      <c r="M36" s="181">
        <f>SUM(M37:M38)</f>
        <v>13353.5</v>
      </c>
      <c r="N36" s="180"/>
      <c r="O36" s="180"/>
      <c r="P36" s="180"/>
      <c r="Q36" s="180"/>
      <c r="R36" s="180"/>
      <c r="S36" s="180"/>
      <c r="T36" s="183"/>
      <c r="U36" s="180"/>
      <c r="V36" s="180"/>
      <c r="W36" s="180"/>
      <c r="X36" s="181">
        <f>SUM(X37:X38)</f>
        <v>0</v>
      </c>
      <c r="Y36" s="181">
        <f>SUM(Y37:Y38)</f>
        <v>1303.24</v>
      </c>
      <c r="Z36" s="181">
        <f>SUM(Z37:Z38)</f>
        <v>0</v>
      </c>
      <c r="AA36" s="181">
        <f>SUM(AA37:AA38)</f>
        <v>1303.24</v>
      </c>
      <c r="AB36" s="181">
        <f>SUM(AB37:AB38)</f>
        <v>12050.26</v>
      </c>
      <c r="AC36" s="96"/>
    </row>
    <row r="37" spans="1:35" s="334" customFormat="1" ht="186.75" customHeight="1" x14ac:dyDescent="0.2">
      <c r="A37" s="332"/>
      <c r="B37" s="289" t="s">
        <v>199</v>
      </c>
      <c r="C37" s="283" t="s">
        <v>114</v>
      </c>
      <c r="D37" s="268" t="s">
        <v>204</v>
      </c>
      <c r="E37" s="269" t="s">
        <v>205</v>
      </c>
      <c r="F37" s="269" t="s">
        <v>247</v>
      </c>
      <c r="G37" s="270">
        <v>44470</v>
      </c>
      <c r="H37" s="320" t="s">
        <v>71</v>
      </c>
      <c r="I37" s="272">
        <v>15</v>
      </c>
      <c r="J37" s="273">
        <f>K37/I37</f>
        <v>527.9</v>
      </c>
      <c r="K37" s="274">
        <v>7918.5</v>
      </c>
      <c r="L37" s="275">
        <v>0</v>
      </c>
      <c r="M37" s="276">
        <f t="shared" ref="M37" si="57">SUM(K37:L37)</f>
        <v>7918.5</v>
      </c>
      <c r="N37" s="298">
        <f>IF(K37/15&lt;=SMG,0,L37/2)</f>
        <v>0</v>
      </c>
      <c r="O37" s="314">
        <f>(K37+N37)/I37*30.4</f>
        <v>16048.159999999998</v>
      </c>
      <c r="P37" s="314">
        <f>VLOOKUP(O37,Tarifa,1)</f>
        <v>15487.72</v>
      </c>
      <c r="Q37" s="298">
        <f>O37-P37</f>
        <v>560.43999999999869</v>
      </c>
      <c r="R37" s="299">
        <f>VLOOKUP(O37,Tarifa,3)</f>
        <v>0.21360000000000001</v>
      </c>
      <c r="S37" s="298">
        <f>Q37*R37</f>
        <v>119.70998399999972</v>
      </c>
      <c r="T37" s="300">
        <f>VLOOKUP(O37,Tarifa,2)</f>
        <v>1640.18</v>
      </c>
      <c r="U37" s="298">
        <f>S37+T37</f>
        <v>1759.8899839999997</v>
      </c>
      <c r="V37" s="298">
        <f>VLOOKUP(O37,Credito,2)</f>
        <v>0</v>
      </c>
      <c r="W37" s="298">
        <f>ROUND((U37-V37)/30.4*I37,2)</f>
        <v>868.37</v>
      </c>
      <c r="X37" s="276">
        <f t="shared" si="1"/>
        <v>0</v>
      </c>
      <c r="Y37" s="276">
        <f t="shared" ref="Y37" si="58">IF(K37/15&lt;=SMG,0,IF(W37&lt;0,0,W37))</f>
        <v>868.37</v>
      </c>
      <c r="Z37" s="277">
        <v>0</v>
      </c>
      <c r="AA37" s="276">
        <f t="shared" ref="AA37" si="59">SUM(Y37:Z37)</f>
        <v>868.37</v>
      </c>
      <c r="AB37" s="276">
        <f t="shared" ref="AB37" si="60">M37+X37-AA37</f>
        <v>7050.13</v>
      </c>
      <c r="AC37" s="333"/>
    </row>
    <row r="38" spans="1:35" s="334" customFormat="1" ht="186.75" customHeight="1" x14ac:dyDescent="0.2">
      <c r="A38" s="332"/>
      <c r="B38" s="289" t="s">
        <v>308</v>
      </c>
      <c r="C38" s="283" t="s">
        <v>114</v>
      </c>
      <c r="D38" s="268" t="s">
        <v>309</v>
      </c>
      <c r="E38" s="269" t="s">
        <v>310</v>
      </c>
      <c r="F38" s="269" t="s">
        <v>311</v>
      </c>
      <c r="G38" s="270">
        <v>45173</v>
      </c>
      <c r="H38" s="271" t="s">
        <v>162</v>
      </c>
      <c r="I38" s="272">
        <v>15</v>
      </c>
      <c r="J38" s="273">
        <f>K38/I38</f>
        <v>362.33333333333331</v>
      </c>
      <c r="K38" s="274">
        <v>5435</v>
      </c>
      <c r="L38" s="275">
        <v>0</v>
      </c>
      <c r="M38" s="276">
        <f>SUM(K38:L38)</f>
        <v>5435</v>
      </c>
      <c r="N38" s="298">
        <f>IF(K38/15&lt;=SMG,0,L38/2)</f>
        <v>0</v>
      </c>
      <c r="O38" s="314">
        <f>(K38+N38)/I38*30.4</f>
        <v>11014.933333333332</v>
      </c>
      <c r="P38" s="314">
        <f>VLOOKUP(O38,Tarifa,1)</f>
        <v>6332.06</v>
      </c>
      <c r="Q38" s="298">
        <f>O38-P38</f>
        <v>4682.8733333333321</v>
      </c>
      <c r="R38" s="299">
        <f>VLOOKUP(O38,Tarifa,3)</f>
        <v>0.10879999999999999</v>
      </c>
      <c r="S38" s="298">
        <f>Q38*R38</f>
        <v>509.49661866666651</v>
      </c>
      <c r="T38" s="300">
        <f>VLOOKUP(O38,Tarifa,2)</f>
        <v>371.83</v>
      </c>
      <c r="U38" s="298">
        <f>S38+T38</f>
        <v>881.32661866666649</v>
      </c>
      <c r="V38" s="298">
        <f>VLOOKUP(O38,Credito,2)</f>
        <v>0</v>
      </c>
      <c r="W38" s="298">
        <f>ROUND((U38-V38)/30.4*I38,2)</f>
        <v>434.87</v>
      </c>
      <c r="X38" s="276">
        <f t="shared" si="1"/>
        <v>0</v>
      </c>
      <c r="Y38" s="276">
        <f t="shared" ref="Y38" si="61">IF(K38/15&lt;=SMG,0,IF(W38&lt;0,0,W38))</f>
        <v>434.87</v>
      </c>
      <c r="Z38" s="277">
        <v>0</v>
      </c>
      <c r="AA38" s="276">
        <f>SUM(Y38:Z38)</f>
        <v>434.87</v>
      </c>
      <c r="AB38" s="276">
        <f>M38+X38-AA38</f>
        <v>5000.13</v>
      </c>
      <c r="AC38" s="333"/>
    </row>
    <row r="39" spans="1:35" s="4" customFormat="1" ht="50.25" customHeight="1" x14ac:dyDescent="0.25">
      <c r="A39" s="106"/>
      <c r="B39" s="111" t="s">
        <v>95</v>
      </c>
      <c r="C39" s="111" t="s">
        <v>120</v>
      </c>
      <c r="D39" s="180" t="s">
        <v>119</v>
      </c>
      <c r="E39" s="180" t="s">
        <v>96</v>
      </c>
      <c r="F39" s="180" t="s">
        <v>220</v>
      </c>
      <c r="G39" s="148" t="s">
        <v>272</v>
      </c>
      <c r="H39" s="180" t="s">
        <v>61</v>
      </c>
      <c r="I39" s="180"/>
      <c r="J39" s="180"/>
      <c r="K39" s="181">
        <f>SUM(K40:K40)</f>
        <v>6826.5</v>
      </c>
      <c r="L39" s="181">
        <f>SUM(L40:L40)</f>
        <v>0</v>
      </c>
      <c r="M39" s="181">
        <f>SUM(M40:M40)</f>
        <v>6826.5</v>
      </c>
      <c r="N39" s="180"/>
      <c r="O39" s="180"/>
      <c r="P39" s="180"/>
      <c r="Q39" s="180"/>
      <c r="R39" s="180"/>
      <c r="S39" s="180"/>
      <c r="T39" s="183"/>
      <c r="U39" s="180"/>
      <c r="V39" s="180"/>
      <c r="W39" s="180"/>
      <c r="X39" s="181">
        <f>SUM(X40:X40)</f>
        <v>0</v>
      </c>
      <c r="Y39" s="181">
        <f>SUM(Y40:Y40)</f>
        <v>663.17</v>
      </c>
      <c r="Z39" s="181">
        <f>SUM(Z40:Z40)</f>
        <v>0</v>
      </c>
      <c r="AA39" s="181">
        <f>SUM(AA40:AA40)</f>
        <v>663.17</v>
      </c>
      <c r="AB39" s="181">
        <f>SUM(AB40:AB40)</f>
        <v>6163.33</v>
      </c>
      <c r="AC39" s="96"/>
    </row>
    <row r="40" spans="1:35" s="334" customFormat="1" ht="186.75" customHeight="1" x14ac:dyDescent="0.2">
      <c r="A40" s="265" t="s">
        <v>83</v>
      </c>
      <c r="B40" s="289" t="s">
        <v>155</v>
      </c>
      <c r="C40" s="283" t="s">
        <v>114</v>
      </c>
      <c r="D40" s="268" t="s">
        <v>136</v>
      </c>
      <c r="E40" s="269" t="s">
        <v>151</v>
      </c>
      <c r="F40" s="269" t="s">
        <v>232</v>
      </c>
      <c r="G40" s="270">
        <v>43374</v>
      </c>
      <c r="H40" s="271" t="s">
        <v>135</v>
      </c>
      <c r="I40" s="272">
        <v>15</v>
      </c>
      <c r="J40" s="273">
        <f>K40/I40</f>
        <v>455.1</v>
      </c>
      <c r="K40" s="274">
        <v>6826.5</v>
      </c>
      <c r="L40" s="275">
        <v>0</v>
      </c>
      <c r="M40" s="276">
        <f>SUM(K40:L40)</f>
        <v>6826.5</v>
      </c>
      <c r="N40" s="298">
        <f>IF(K40/15&lt;=SMG,0,L40/2)</f>
        <v>0</v>
      </c>
      <c r="O40" s="314">
        <f>(K40+N40)/I40*30.4</f>
        <v>13835.04</v>
      </c>
      <c r="P40" s="314">
        <f>VLOOKUP(O40,Tarifa,1)</f>
        <v>12935.83</v>
      </c>
      <c r="Q40" s="298">
        <f>O40-P40</f>
        <v>899.21000000000095</v>
      </c>
      <c r="R40" s="299">
        <f>VLOOKUP(O40,Tarifa,3)</f>
        <v>0.1792</v>
      </c>
      <c r="S40" s="298">
        <f>Q40*R40</f>
        <v>161.13843200000017</v>
      </c>
      <c r="T40" s="300">
        <f>VLOOKUP(O40,Tarifa,2)</f>
        <v>1182.8800000000001</v>
      </c>
      <c r="U40" s="298">
        <f>S40+T40</f>
        <v>1344.0184320000003</v>
      </c>
      <c r="V40" s="298">
        <f>VLOOKUP(O40,Credito,2)</f>
        <v>0</v>
      </c>
      <c r="W40" s="298">
        <f>ROUND((U40-V40)/30.4*I40,2)</f>
        <v>663.17</v>
      </c>
      <c r="X40" s="276">
        <f>-IF(W40&gt;0,0,0)</f>
        <v>0</v>
      </c>
      <c r="Y40" s="276">
        <f>IF(K40/15&lt;=SMG,0,IF(W40&lt;0,0,W40))</f>
        <v>663.17</v>
      </c>
      <c r="Z40" s="277">
        <v>0</v>
      </c>
      <c r="AA40" s="276">
        <f>SUM(Y40:Z40)</f>
        <v>663.17</v>
      </c>
      <c r="AB40" s="276">
        <f>M40+X40-AA40</f>
        <v>6163.33</v>
      </c>
      <c r="AC40" s="333"/>
      <c r="AI40" s="346"/>
    </row>
    <row r="41" spans="1:35" s="4" customFormat="1" ht="27.75" customHeight="1" x14ac:dyDescent="0.25">
      <c r="A41" s="138"/>
      <c r="B41" s="138"/>
      <c r="C41" s="138"/>
      <c r="D41" s="138"/>
      <c r="E41" s="138"/>
      <c r="F41" s="138"/>
      <c r="G41" s="138"/>
      <c r="H41" s="138"/>
      <c r="I41" s="138"/>
      <c r="J41" s="138"/>
      <c r="K41" s="144"/>
      <c r="L41" s="144"/>
      <c r="M41" s="144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</row>
    <row r="42" spans="1:35" s="4" customFormat="1" ht="39.75" customHeight="1" thickBot="1" x14ac:dyDescent="0.35">
      <c r="A42" s="441" t="s">
        <v>44</v>
      </c>
      <c r="B42" s="442"/>
      <c r="C42" s="442"/>
      <c r="D42" s="442"/>
      <c r="E42" s="442"/>
      <c r="F42" s="442"/>
      <c r="G42" s="442"/>
      <c r="H42" s="442"/>
      <c r="I42" s="442"/>
      <c r="J42" s="443"/>
      <c r="K42" s="208">
        <f>K8+K27+K36+K39+K34</f>
        <v>90171.510000000009</v>
      </c>
      <c r="L42" s="208">
        <f>L8+L27+L36+L39+L34</f>
        <v>0</v>
      </c>
      <c r="M42" s="208">
        <f>M8+M27+M36+M39+M34</f>
        <v>90171.510000000009</v>
      </c>
      <c r="N42" s="209">
        <f t="shared" ref="N42:W42" si="62">SUM(N9:N41)</f>
        <v>0</v>
      </c>
      <c r="O42" s="209">
        <f t="shared" si="62"/>
        <v>182747.59359999999</v>
      </c>
      <c r="P42" s="209">
        <f t="shared" si="62"/>
        <v>144667.81</v>
      </c>
      <c r="Q42" s="209">
        <f t="shared" si="62"/>
        <v>38079.783599999981</v>
      </c>
      <c r="R42" s="209">
        <f t="shared" si="62"/>
        <v>2.2103999999999995</v>
      </c>
      <c r="S42" s="209">
        <f t="shared" si="62"/>
        <v>4432.59084245333</v>
      </c>
      <c r="T42" s="209">
        <f t="shared" si="62"/>
        <v>11216.18</v>
      </c>
      <c r="U42" s="209">
        <f t="shared" si="62"/>
        <v>15648.77084245333</v>
      </c>
      <c r="V42" s="209">
        <f t="shared" si="62"/>
        <v>1900</v>
      </c>
      <c r="W42" s="209">
        <f t="shared" si="62"/>
        <v>6783.98</v>
      </c>
      <c r="X42" s="208">
        <f>X8+X27+X36+X39+X34</f>
        <v>0</v>
      </c>
      <c r="Y42" s="208">
        <f>Y8+Y27+Y36+Y39+Y34</f>
        <v>6729.39</v>
      </c>
      <c r="Z42" s="208">
        <f>Z8+Z27+Z36+Z39+Z34</f>
        <v>2000</v>
      </c>
      <c r="AA42" s="208">
        <f>AA8+AA27+AA36+AA39+AA34</f>
        <v>8729.39</v>
      </c>
      <c r="AB42" s="208">
        <f>AB8+AB27+AB36+AB39+AB34</f>
        <v>81442.12</v>
      </c>
    </row>
    <row r="43" spans="1:35" s="4" customFormat="1" ht="18" customHeight="1" thickTop="1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1"/>
      <c r="L43" s="131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1"/>
      <c r="Y43" s="131"/>
      <c r="Z43" s="131"/>
      <c r="AA43" s="131"/>
      <c r="AB43" s="131"/>
    </row>
    <row r="44" spans="1:35" s="4" customFormat="1" ht="18" customHeight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35" s="4" customFormat="1" ht="18" customHeight="1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1"/>
      <c r="L45" s="131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1"/>
      <c r="Y45" s="131"/>
      <c r="Z45" s="131"/>
      <c r="AA45" s="131"/>
      <c r="AB45" s="131"/>
    </row>
    <row r="46" spans="1:35" s="4" customFormat="1" ht="18" customHeight="1" x14ac:dyDescent="0.25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1"/>
      <c r="L46" s="131"/>
      <c r="M46" s="131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1"/>
      <c r="Y46" s="131"/>
      <c r="Z46" s="131"/>
      <c r="AA46" s="131"/>
      <c r="AB46" s="131"/>
    </row>
    <row r="47" spans="1:35" s="4" customFormat="1" ht="18" customHeight="1" x14ac:dyDescent="0.25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1"/>
      <c r="L47" s="131"/>
      <c r="M47" s="131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1"/>
      <c r="Y47" s="131"/>
      <c r="Z47" s="131"/>
      <c r="AA47" s="131"/>
      <c r="AB47" s="131"/>
    </row>
    <row r="48" spans="1:35" s="4" customFormat="1" ht="18" customHeight="1" x14ac:dyDescent="0.25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1"/>
      <c r="L48" s="131"/>
      <c r="M48" s="131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1"/>
      <c r="Y48" s="131"/>
      <c r="Z48" s="131"/>
      <c r="AA48" s="131"/>
      <c r="AB48" s="131"/>
    </row>
    <row r="49" spans="1:41" s="4" customFormat="1" ht="18" customHeight="1" x14ac:dyDescent="0.25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1"/>
      <c r="L49" s="131"/>
      <c r="M49" s="131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1"/>
      <c r="Y49" s="131"/>
      <c r="Z49" s="131"/>
      <c r="AA49" s="131"/>
      <c r="AB49" s="131"/>
    </row>
    <row r="50" spans="1:41" s="4" customFormat="1" x14ac:dyDescent="0.2"/>
    <row r="51" spans="1:41" s="4" customFormat="1" ht="20.25" x14ac:dyDescent="0.3">
      <c r="D51" s="211" t="s">
        <v>476</v>
      </c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1" t="s">
        <v>143</v>
      </c>
      <c r="Z51" s="212"/>
      <c r="AA51" s="212"/>
      <c r="AB51" s="212"/>
      <c r="AC51" s="212"/>
    </row>
    <row r="52" spans="1:41" s="4" customFormat="1" ht="20.25" x14ac:dyDescent="0.3">
      <c r="D52" s="211" t="s">
        <v>491</v>
      </c>
      <c r="E52" s="211"/>
      <c r="F52" s="211"/>
      <c r="G52" s="211"/>
      <c r="H52" s="211"/>
      <c r="I52" s="211"/>
      <c r="J52" s="211"/>
      <c r="K52" s="211"/>
      <c r="L52" s="211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1" t="s">
        <v>210</v>
      </c>
      <c r="Z52" s="212"/>
      <c r="AA52" s="211"/>
      <c r="AB52" s="211"/>
      <c r="AC52" s="211"/>
      <c r="AD52" s="42"/>
      <c r="AE52" s="42"/>
      <c r="AF52" s="42"/>
      <c r="AG52" s="42"/>
      <c r="AH52" s="42"/>
      <c r="AI52" s="42"/>
      <c r="AJ52" s="42"/>
      <c r="AK52" s="42"/>
      <c r="AN52" s="42"/>
      <c r="AO52" s="42"/>
    </row>
    <row r="53" spans="1:41" s="4" customFormat="1" ht="20.25" x14ac:dyDescent="0.3"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2"/>
      <c r="AC53" s="212"/>
    </row>
    <row r="54" spans="1:41" s="4" customFormat="1" x14ac:dyDescent="0.2"/>
    <row r="55" spans="1:41" s="4" customFormat="1" x14ac:dyDescent="0.2"/>
  </sheetData>
  <mergeCells count="13">
    <mergeCell ref="A42:J42"/>
    <mergeCell ref="A1:AC1"/>
    <mergeCell ref="A2:AC2"/>
    <mergeCell ref="A3:AC3"/>
    <mergeCell ref="K5:M5"/>
    <mergeCell ref="P5:U5"/>
    <mergeCell ref="Y5:AA5"/>
    <mergeCell ref="B17:AD17"/>
    <mergeCell ref="B18:AD18"/>
    <mergeCell ref="B19:AC19"/>
    <mergeCell ref="B30:AD30"/>
    <mergeCell ref="B31:AD31"/>
    <mergeCell ref="B32:AD32"/>
  </mergeCells>
  <pageMargins left="0.27559055118110237" right="0.19685039370078741" top="0.74803149606299213" bottom="0.35433070866141736" header="0.31496062992125984" footer="0.31496062992125984"/>
  <pageSetup scale="41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6"/>
  <sheetViews>
    <sheetView tabSelected="1" topLeftCell="B11" zoomScale="55" zoomScaleNormal="55" workbookViewId="0">
      <selection activeCell="Z16" sqref="Z16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85546875" customWidth="1"/>
    <col min="9" max="9" width="7.42578125" hidden="1" customWidth="1"/>
    <col min="10" max="10" width="17" hidden="1" customWidth="1"/>
    <col min="11" max="11" width="18.7109375" customWidth="1"/>
    <col min="12" max="12" width="16.85546875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76.140625" customWidth="1"/>
  </cols>
  <sheetData>
    <row r="1" spans="1:33" ht="19.5" x14ac:dyDescent="0.25">
      <c r="A1" s="444" t="s">
        <v>77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</row>
    <row r="2" spans="1:33" ht="19.5" x14ac:dyDescent="0.25">
      <c r="A2" s="444" t="s">
        <v>64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  <c r="V2" s="444"/>
      <c r="W2" s="444"/>
      <c r="X2" s="444"/>
      <c r="Y2" s="444"/>
      <c r="Z2" s="444"/>
      <c r="AA2" s="444"/>
      <c r="AB2" s="444"/>
      <c r="AC2" s="444"/>
    </row>
    <row r="3" spans="1:33" ht="19.5" x14ac:dyDescent="0.25">
      <c r="A3" s="445" t="str">
        <f>PRESIDENCIA!A3</f>
        <v>SUELDO  DEL 01 AL 15 DE DICIEMBRE DE 2025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445"/>
      <c r="T3" s="445"/>
      <c r="U3" s="445"/>
      <c r="V3" s="445"/>
      <c r="W3" s="445"/>
      <c r="X3" s="445"/>
      <c r="Y3" s="445"/>
      <c r="Z3" s="445"/>
      <c r="AA3" s="445"/>
      <c r="AB3" s="445"/>
      <c r="AC3" s="445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480" t="s">
        <v>120</v>
      </c>
      <c r="D5" s="48"/>
      <c r="E5" s="48"/>
      <c r="F5" s="48"/>
      <c r="G5" s="48"/>
      <c r="H5" s="48"/>
      <c r="I5" s="49" t="s">
        <v>22</v>
      </c>
      <c r="J5" s="49" t="s">
        <v>5</v>
      </c>
      <c r="K5" s="446" t="s">
        <v>1</v>
      </c>
      <c r="L5" s="447"/>
      <c r="M5" s="448"/>
      <c r="N5" s="116" t="s">
        <v>25</v>
      </c>
      <c r="O5" s="117"/>
      <c r="P5" s="449" t="s">
        <v>8</v>
      </c>
      <c r="Q5" s="450"/>
      <c r="R5" s="450"/>
      <c r="S5" s="450"/>
      <c r="T5" s="450"/>
      <c r="U5" s="451"/>
      <c r="V5" s="116" t="s">
        <v>29</v>
      </c>
      <c r="W5" s="116" t="s">
        <v>9</v>
      </c>
      <c r="X5" s="115" t="s">
        <v>52</v>
      </c>
      <c r="Y5" s="452" t="s">
        <v>2</v>
      </c>
      <c r="Z5" s="453"/>
      <c r="AA5" s="454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95</v>
      </c>
      <c r="C6" s="481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266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482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7" t="s">
        <v>14</v>
      </c>
      <c r="U7" s="116" t="s">
        <v>38</v>
      </c>
      <c r="V7" s="120" t="s">
        <v>18</v>
      </c>
      <c r="W7" s="124" t="s">
        <v>196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95</v>
      </c>
      <c r="C8" s="148" t="s">
        <v>120</v>
      </c>
      <c r="D8" s="227" t="s">
        <v>139</v>
      </c>
      <c r="E8" s="228" t="s">
        <v>96</v>
      </c>
      <c r="F8" s="228" t="s">
        <v>220</v>
      </c>
      <c r="G8" s="227" t="s">
        <v>272</v>
      </c>
      <c r="H8" s="228" t="s">
        <v>61</v>
      </c>
      <c r="I8" s="228"/>
      <c r="J8" s="228"/>
      <c r="K8" s="229">
        <f>SUM(K9:K10)</f>
        <v>13165</v>
      </c>
      <c r="L8" s="229">
        <f>SUM(L9:L10)</f>
        <v>0</v>
      </c>
      <c r="M8" s="229">
        <f>SUM(M9:M10)</f>
        <v>13165</v>
      </c>
      <c r="N8" s="229">
        <f t="shared" ref="N8:W8" si="0">SUM(N9:N10)</f>
        <v>0</v>
      </c>
      <c r="O8" s="229">
        <f t="shared" si="0"/>
        <v>26681.066666666666</v>
      </c>
      <c r="P8" s="229">
        <f t="shared" si="0"/>
        <v>21819.78</v>
      </c>
      <c r="Q8" s="229">
        <f t="shared" si="0"/>
        <v>4861.286666666666</v>
      </c>
      <c r="R8" s="229">
        <f t="shared" si="0"/>
        <v>0.32240000000000002</v>
      </c>
      <c r="S8" s="229">
        <f t="shared" si="0"/>
        <v>547.60570666666661</v>
      </c>
      <c r="T8" s="229">
        <f t="shared" si="0"/>
        <v>2012.01</v>
      </c>
      <c r="U8" s="229">
        <f t="shared" si="0"/>
        <v>2559.6157066666665</v>
      </c>
      <c r="V8" s="229">
        <f t="shared" si="0"/>
        <v>0</v>
      </c>
      <c r="W8" s="229">
        <f t="shared" si="0"/>
        <v>1262.97</v>
      </c>
      <c r="X8" s="229">
        <f>SUM(X9:X10)</f>
        <v>0</v>
      </c>
      <c r="Y8" s="229">
        <f>SUM(Y9:Y10)</f>
        <v>1262.97</v>
      </c>
      <c r="Z8" s="229">
        <f>SUM(Z9:Z10)</f>
        <v>0</v>
      </c>
      <c r="AA8" s="229">
        <f>SUM(AA9:AA10)</f>
        <v>1262.97</v>
      </c>
      <c r="AB8" s="229">
        <f>SUM(AB9:AB10)</f>
        <v>11902.029999999999</v>
      </c>
      <c r="AC8" s="97"/>
    </row>
    <row r="9" spans="1:33" s="303" customFormat="1" ht="192.75" customHeight="1" x14ac:dyDescent="0.2">
      <c r="A9" s="347"/>
      <c r="B9" s="348">
        <v>377</v>
      </c>
      <c r="C9" s="349" t="s">
        <v>114</v>
      </c>
      <c r="D9" s="350" t="s">
        <v>403</v>
      </c>
      <c r="E9" s="351" t="s">
        <v>404</v>
      </c>
      <c r="F9" s="351" t="s">
        <v>405</v>
      </c>
      <c r="G9" s="352">
        <v>45566</v>
      </c>
      <c r="H9" s="353" t="s">
        <v>325</v>
      </c>
      <c r="I9" s="272">
        <v>15</v>
      </c>
      <c r="J9" s="273">
        <f>K9/I9</f>
        <v>515.33333333333337</v>
      </c>
      <c r="K9" s="274">
        <v>7730</v>
      </c>
      <c r="L9" s="275">
        <v>0</v>
      </c>
      <c r="M9" s="276">
        <f>SUM(K9:L9)</f>
        <v>7730</v>
      </c>
      <c r="N9" s="298">
        <f>IF(K9/15&lt;=SMG,0,L9/2)</f>
        <v>0</v>
      </c>
      <c r="O9" s="314">
        <f>(K9+N9)/I9*30.4</f>
        <v>15666.133333333333</v>
      </c>
      <c r="P9" s="314">
        <f>VLOOKUP(O9,Tarifa,1)</f>
        <v>15487.72</v>
      </c>
      <c r="Q9" s="298">
        <f>O9-P9</f>
        <v>178.41333333333387</v>
      </c>
      <c r="R9" s="299">
        <f>VLOOKUP(O9,Tarifa,3)</f>
        <v>0.21360000000000001</v>
      </c>
      <c r="S9" s="298">
        <f>Q9*R9</f>
        <v>38.109088000000114</v>
      </c>
      <c r="T9" s="300">
        <f>VLOOKUP(O9,Tarifa,2)</f>
        <v>1640.18</v>
      </c>
      <c r="U9" s="298">
        <f>S9+T9</f>
        <v>1678.2890880000002</v>
      </c>
      <c r="V9" s="298">
        <f>VLOOKUP(O9,Credito,2)</f>
        <v>0</v>
      </c>
      <c r="W9" s="298">
        <f>ROUND((U9-V9)/30.4*I9,2)</f>
        <v>828.1</v>
      </c>
      <c r="X9" s="276">
        <f>-IF(W9&gt;0,0,0)</f>
        <v>0</v>
      </c>
      <c r="Y9" s="276">
        <f>IF(K9/15&lt;=SMG,0,IF(W9&lt;0,0,W9))</f>
        <v>828.1</v>
      </c>
      <c r="Z9" s="277">
        <v>0</v>
      </c>
      <c r="AA9" s="276">
        <f>SUM(Y9:Z9)</f>
        <v>828.1</v>
      </c>
      <c r="AB9" s="276">
        <f>M9+X9-AA9</f>
        <v>6901.9</v>
      </c>
      <c r="AC9" s="354"/>
    </row>
    <row r="10" spans="1:33" s="303" customFormat="1" ht="192.75" customHeight="1" x14ac:dyDescent="0.2">
      <c r="A10" s="347"/>
      <c r="B10" s="289" t="s">
        <v>408</v>
      </c>
      <c r="C10" s="283" t="s">
        <v>114</v>
      </c>
      <c r="D10" s="264" t="s">
        <v>406</v>
      </c>
      <c r="E10" s="135" t="s">
        <v>475</v>
      </c>
      <c r="F10" s="293" t="s">
        <v>407</v>
      </c>
      <c r="G10" s="270">
        <v>45566</v>
      </c>
      <c r="H10" s="271" t="s">
        <v>260</v>
      </c>
      <c r="I10" s="272">
        <v>15</v>
      </c>
      <c r="J10" s="273">
        <f>K10/I10</f>
        <v>362.33333333333331</v>
      </c>
      <c r="K10" s="274">
        <v>5435</v>
      </c>
      <c r="L10" s="275">
        <v>0</v>
      </c>
      <c r="M10" s="276">
        <f>SUM(K10:L10)</f>
        <v>5435</v>
      </c>
      <c r="N10" s="298">
        <f>IF(K10/15&lt;=SMG,0,L10/2)</f>
        <v>0</v>
      </c>
      <c r="O10" s="314">
        <f>(K10+N10)/I10*30.4</f>
        <v>11014.933333333332</v>
      </c>
      <c r="P10" s="314">
        <f>VLOOKUP(O10,Tarifa,1)</f>
        <v>6332.06</v>
      </c>
      <c r="Q10" s="298">
        <f>O10-P10</f>
        <v>4682.8733333333321</v>
      </c>
      <c r="R10" s="299">
        <f>VLOOKUP(O10,Tarifa,3)</f>
        <v>0.10879999999999999</v>
      </c>
      <c r="S10" s="298">
        <f>Q10*R10</f>
        <v>509.49661866666651</v>
      </c>
      <c r="T10" s="300">
        <f>VLOOKUP(O10,Tarifa,2)</f>
        <v>371.83</v>
      </c>
      <c r="U10" s="298">
        <f>S10+T10</f>
        <v>881.32661866666649</v>
      </c>
      <c r="V10" s="298">
        <f>VLOOKUP(O10,Credito,2)</f>
        <v>0</v>
      </c>
      <c r="W10" s="298">
        <f>ROUND((U10-V10)/30.4*I10,2)</f>
        <v>434.87</v>
      </c>
      <c r="X10" s="276">
        <f>-IF(W10&gt;0,0,0)</f>
        <v>0</v>
      </c>
      <c r="Y10" s="276">
        <f>IF(K10/15&lt;=SMG,0,IF(W10&lt;0,0,W10))</f>
        <v>434.87</v>
      </c>
      <c r="Z10" s="277">
        <v>0</v>
      </c>
      <c r="AA10" s="276">
        <f>SUM(Y10:Z10)</f>
        <v>434.87</v>
      </c>
      <c r="AB10" s="276">
        <f>M10+X10-AA10</f>
        <v>5000.13</v>
      </c>
      <c r="AC10" s="354"/>
    </row>
    <row r="11" spans="1:33" s="52" customFormat="1" ht="53.25" customHeight="1" x14ac:dyDescent="0.3">
      <c r="A11" s="46"/>
      <c r="B11" s="148" t="s">
        <v>95</v>
      </c>
      <c r="C11" s="148" t="s">
        <v>120</v>
      </c>
      <c r="D11" s="228" t="s">
        <v>122</v>
      </c>
      <c r="E11" s="228" t="s">
        <v>96</v>
      </c>
      <c r="F11" s="228" t="s">
        <v>220</v>
      </c>
      <c r="G11" s="227" t="s">
        <v>272</v>
      </c>
      <c r="H11" s="228" t="s">
        <v>61</v>
      </c>
      <c r="I11" s="228"/>
      <c r="J11" s="228"/>
      <c r="K11" s="229">
        <f>SUM(K12:K13)</f>
        <v>11850</v>
      </c>
      <c r="L11" s="229">
        <f>SUM(L12:L13)</f>
        <v>0</v>
      </c>
      <c r="M11" s="229">
        <f>SUM(M12:M13)</f>
        <v>11850</v>
      </c>
      <c r="N11" s="228"/>
      <c r="O11" s="228"/>
      <c r="P11" s="228"/>
      <c r="Q11" s="228"/>
      <c r="R11" s="228"/>
      <c r="S11" s="228"/>
      <c r="T11" s="230"/>
      <c r="U11" s="228"/>
      <c r="V11" s="228"/>
      <c r="W11" s="228"/>
      <c r="X11" s="229">
        <f>SUM(X12:X13)</f>
        <v>0</v>
      </c>
      <c r="Y11" s="229">
        <f>SUM(Y12:Y13)</f>
        <v>828.1</v>
      </c>
      <c r="Z11" s="229">
        <f>SUM(Z12:Z13)</f>
        <v>0</v>
      </c>
      <c r="AA11" s="229">
        <f>SUM(AA12:AA13)</f>
        <v>828.1</v>
      </c>
      <c r="AB11" s="229">
        <f>SUM(AB12:AB13)</f>
        <v>11021.9</v>
      </c>
      <c r="AC11" s="97"/>
      <c r="AG11" s="60"/>
    </row>
    <row r="12" spans="1:33" s="303" customFormat="1" ht="192.75" customHeight="1" x14ac:dyDescent="0.2">
      <c r="A12" s="355" t="s">
        <v>86</v>
      </c>
      <c r="B12" s="283" t="s">
        <v>603</v>
      </c>
      <c r="C12" s="283" t="s">
        <v>114</v>
      </c>
      <c r="D12" s="264" t="s">
        <v>604</v>
      </c>
      <c r="E12" s="135" t="s">
        <v>605</v>
      </c>
      <c r="F12" s="135" t="s">
        <v>606</v>
      </c>
      <c r="G12" s="161">
        <v>45839</v>
      </c>
      <c r="H12" s="286" t="s">
        <v>92</v>
      </c>
      <c r="I12" s="272">
        <v>15</v>
      </c>
      <c r="J12" s="273">
        <f>K12/I12</f>
        <v>515.33333333333337</v>
      </c>
      <c r="K12" s="274">
        <v>7730</v>
      </c>
      <c r="L12" s="275">
        <v>0</v>
      </c>
      <c r="M12" s="276">
        <f>SUM(K12:L12)</f>
        <v>7730</v>
      </c>
      <c r="N12" s="298">
        <f>IF(K12/15&lt;=SMG,0,L12/2)</f>
        <v>0</v>
      </c>
      <c r="O12" s="314">
        <f>(K12+N12)/I12*30.4</f>
        <v>15666.133333333333</v>
      </c>
      <c r="P12" s="314">
        <f>VLOOKUP(O12,Tarifa,1)</f>
        <v>15487.72</v>
      </c>
      <c r="Q12" s="298">
        <f>O12-P12</f>
        <v>178.41333333333387</v>
      </c>
      <c r="R12" s="299">
        <f>VLOOKUP(O12,Tarifa,3)</f>
        <v>0.21360000000000001</v>
      </c>
      <c r="S12" s="298">
        <f>Q12*R12</f>
        <v>38.109088000000114</v>
      </c>
      <c r="T12" s="300">
        <f>VLOOKUP(O12,Tarifa,2)</f>
        <v>1640.18</v>
      </c>
      <c r="U12" s="298">
        <f>S12+T12</f>
        <v>1678.2890880000002</v>
      </c>
      <c r="V12" s="298">
        <f>VLOOKUP(O12,Credito,2)</f>
        <v>0</v>
      </c>
      <c r="W12" s="298">
        <f>ROUND((U12-V12)/30.4*I12,2)</f>
        <v>828.1</v>
      </c>
      <c r="X12" s="276">
        <f>-IF(W12&gt;0,0,0)</f>
        <v>0</v>
      </c>
      <c r="Y12" s="276">
        <f>IF(K12/15&lt;=SMG,0,IF(W12&lt;0,0,W12))</f>
        <v>828.1</v>
      </c>
      <c r="Z12" s="277">
        <v>0</v>
      </c>
      <c r="AA12" s="276">
        <f>SUM(Y12:Z12)</f>
        <v>828.1</v>
      </c>
      <c r="AB12" s="276">
        <f>M12+X12-AA12</f>
        <v>6901.9</v>
      </c>
      <c r="AC12" s="288"/>
      <c r="AG12" s="356"/>
    </row>
    <row r="13" spans="1:33" s="303" customFormat="1" ht="192.75" customHeight="1" x14ac:dyDescent="0.2">
      <c r="A13" s="357"/>
      <c r="B13" s="283" t="s">
        <v>633</v>
      </c>
      <c r="C13" s="283" t="s">
        <v>114</v>
      </c>
      <c r="D13" s="264" t="s">
        <v>634</v>
      </c>
      <c r="E13" s="135" t="s">
        <v>635</v>
      </c>
      <c r="F13" s="135" t="s">
        <v>636</v>
      </c>
      <c r="G13" s="161">
        <v>45459</v>
      </c>
      <c r="H13" s="286" t="s">
        <v>377</v>
      </c>
      <c r="I13" s="272">
        <v>15</v>
      </c>
      <c r="J13" s="273">
        <f>K13/I13</f>
        <v>274.66666666666669</v>
      </c>
      <c r="K13" s="274">
        <v>4120</v>
      </c>
      <c r="L13" s="275">
        <v>0</v>
      </c>
      <c r="M13" s="276">
        <f>SUM(K13:L13)</f>
        <v>4120</v>
      </c>
      <c r="N13" s="298">
        <f>IF(K13/15&lt;=SMG,0,L13/2)</f>
        <v>0</v>
      </c>
      <c r="O13" s="314">
        <f>(K13+N13)/I13*30.4</f>
        <v>8349.8666666666668</v>
      </c>
      <c r="P13" s="314">
        <f>VLOOKUP(O13,Tarifa,1)</f>
        <v>6332.06</v>
      </c>
      <c r="Q13" s="298">
        <f>O13-P13</f>
        <v>2017.8066666666664</v>
      </c>
      <c r="R13" s="299">
        <f>VLOOKUP(O13,Tarifa,3)</f>
        <v>0.10879999999999999</v>
      </c>
      <c r="S13" s="298">
        <f>Q13*R13</f>
        <v>219.5373653333333</v>
      </c>
      <c r="T13" s="300">
        <f>VLOOKUP(O13,Tarifa,2)</f>
        <v>371.83</v>
      </c>
      <c r="U13" s="298">
        <f>S13+T13</f>
        <v>591.36736533333328</v>
      </c>
      <c r="V13" s="298">
        <f>VLOOKUP(O13,Credito,2)</f>
        <v>475</v>
      </c>
      <c r="W13" s="298">
        <f>ROUND((U13-V13)/30.4*I13,2)</f>
        <v>57.42</v>
      </c>
      <c r="X13" s="276">
        <f>-IF(W13&gt;0,0,0)</f>
        <v>0</v>
      </c>
      <c r="Y13" s="276">
        <f>IF(K13/15&lt;=SMG,0,IF(W13&lt;0,0,W13))</f>
        <v>0</v>
      </c>
      <c r="Z13" s="277">
        <v>0</v>
      </c>
      <c r="AA13" s="276">
        <f>SUM(Y13:Z13)</f>
        <v>0</v>
      </c>
      <c r="AB13" s="276">
        <f>M13+X13-AA13</f>
        <v>4120</v>
      </c>
      <c r="AC13" s="288"/>
      <c r="AG13" s="356"/>
    </row>
    <row r="14" spans="1:33" s="52" customFormat="1" ht="57.75" customHeight="1" x14ac:dyDescent="0.3">
      <c r="A14" s="157"/>
      <c r="B14" s="148" t="s">
        <v>95</v>
      </c>
      <c r="C14" s="148" t="s">
        <v>120</v>
      </c>
      <c r="D14" s="228" t="s">
        <v>265</v>
      </c>
      <c r="E14" s="228" t="s">
        <v>96</v>
      </c>
      <c r="F14" s="228" t="s">
        <v>220</v>
      </c>
      <c r="G14" s="227" t="s">
        <v>272</v>
      </c>
      <c r="H14" s="228" t="s">
        <v>61</v>
      </c>
      <c r="I14" s="228"/>
      <c r="J14" s="228"/>
      <c r="K14" s="229">
        <f>SUM(K16:K22)</f>
        <v>8142.5</v>
      </c>
      <c r="L14" s="229">
        <f>SUM(L16:L22)</f>
        <v>0</v>
      </c>
      <c r="M14" s="229">
        <f>SUM(M16:M22)</f>
        <v>8142.5</v>
      </c>
      <c r="N14" s="229">
        <f t="shared" ref="N14:W14" si="1">SUM(N16)</f>
        <v>0</v>
      </c>
      <c r="O14" s="229">
        <f t="shared" si="1"/>
        <v>7749.9733333333334</v>
      </c>
      <c r="P14" s="229">
        <f t="shared" si="1"/>
        <v>6332.06</v>
      </c>
      <c r="Q14" s="229">
        <f t="shared" si="1"/>
        <v>1417.913333333333</v>
      </c>
      <c r="R14" s="229">
        <f t="shared" si="1"/>
        <v>0.10879999999999999</v>
      </c>
      <c r="S14" s="229">
        <f t="shared" si="1"/>
        <v>154.2689706666666</v>
      </c>
      <c r="T14" s="229">
        <f t="shared" si="1"/>
        <v>371.83</v>
      </c>
      <c r="U14" s="229">
        <f t="shared" si="1"/>
        <v>526.09897066666656</v>
      </c>
      <c r="V14" s="229">
        <f t="shared" si="1"/>
        <v>475</v>
      </c>
      <c r="W14" s="229">
        <f t="shared" si="1"/>
        <v>25.21</v>
      </c>
      <c r="X14" s="229">
        <f>SUM(X16:X22)</f>
        <v>0</v>
      </c>
      <c r="Y14" s="229">
        <f>SUM(Y16:Y22)</f>
        <v>79.010000000000005</v>
      </c>
      <c r="Z14" s="229">
        <f>SUM(Z16:Z22)</f>
        <v>0</v>
      </c>
      <c r="AA14" s="229">
        <f>SUM(AA16:AA22)</f>
        <v>79.010000000000005</v>
      </c>
      <c r="AB14" s="229">
        <f>SUM(AB16:AB22)</f>
        <v>8063.49</v>
      </c>
      <c r="AC14" s="97"/>
      <c r="AG14" s="66"/>
    </row>
    <row r="15" spans="1:33" s="52" customFormat="1" ht="210.75" customHeight="1" x14ac:dyDescent="0.2">
      <c r="A15" s="157"/>
      <c r="B15" s="283" t="s">
        <v>597</v>
      </c>
      <c r="C15" s="283" t="s">
        <v>114</v>
      </c>
      <c r="D15" s="264" t="s">
        <v>596</v>
      </c>
      <c r="E15" s="135" t="s">
        <v>598</v>
      </c>
      <c r="F15" s="135" t="s">
        <v>599</v>
      </c>
      <c r="G15" s="161">
        <v>45778</v>
      </c>
      <c r="H15" s="286" t="s">
        <v>595</v>
      </c>
      <c r="I15" s="272">
        <v>15</v>
      </c>
      <c r="J15" s="273">
        <f>K15/I15</f>
        <v>820.3606666666667</v>
      </c>
      <c r="K15" s="274">
        <v>12305.41</v>
      </c>
      <c r="L15" s="275">
        <v>0</v>
      </c>
      <c r="M15" s="276">
        <f>SUM(K15:L15)</f>
        <v>12305.41</v>
      </c>
      <c r="N15" s="298">
        <f t="shared" ref="N15" si="2">IF(K15/15&lt;=SMG,0,L15/2)</f>
        <v>0</v>
      </c>
      <c r="O15" s="314">
        <f t="shared" ref="O15" si="3">(K15+N15)/I15*30.4</f>
        <v>24938.964266666666</v>
      </c>
      <c r="P15" s="314">
        <f t="shared" ref="P15" si="4">VLOOKUP(O15,Tarifa,1)</f>
        <v>15487.72</v>
      </c>
      <c r="Q15" s="298">
        <f t="shared" ref="Q15" si="5">O15-P15</f>
        <v>9451.2442666666666</v>
      </c>
      <c r="R15" s="299">
        <f t="shared" ref="R15" si="6">VLOOKUP(O15,Tarifa,3)</f>
        <v>0.21360000000000001</v>
      </c>
      <c r="S15" s="298">
        <f t="shared" ref="S15" si="7">Q15*R15</f>
        <v>2018.7857753600001</v>
      </c>
      <c r="T15" s="300">
        <f t="shared" ref="T15" si="8">VLOOKUP(O15,Tarifa,2)</f>
        <v>1640.18</v>
      </c>
      <c r="U15" s="298">
        <f t="shared" ref="U15" si="9">S15+T15</f>
        <v>3658.9657753600004</v>
      </c>
      <c r="V15" s="298">
        <f t="shared" ref="V15" si="10">VLOOKUP(O15,Credito,2)</f>
        <v>0</v>
      </c>
      <c r="W15" s="298">
        <f t="shared" ref="W15" si="11">ROUND((U15-V15)/30.4*I15,2)</f>
        <v>1805.41</v>
      </c>
      <c r="X15" s="276">
        <f>-IF(W15&gt;0,0,0)</f>
        <v>0</v>
      </c>
      <c r="Y15" s="276">
        <f t="shared" ref="Y15" si="12">IF(K15/15&lt;=SMG,0,IF(W15&lt;0,0,W15))</f>
        <v>1805.41</v>
      </c>
      <c r="Z15" s="277">
        <v>3000</v>
      </c>
      <c r="AA15" s="276">
        <f t="shared" ref="AA15" si="13">SUM(Y15:Z15)</f>
        <v>4805.41</v>
      </c>
      <c r="AB15" s="276">
        <f t="shared" ref="AB15" si="14">M15+X15-AA15</f>
        <v>7500</v>
      </c>
      <c r="AC15" s="412"/>
      <c r="AG15" s="66"/>
    </row>
    <row r="16" spans="1:33" s="303" customFormat="1" ht="210.75" customHeight="1" x14ac:dyDescent="0.2">
      <c r="A16" s="357"/>
      <c r="B16" s="289" t="s">
        <v>312</v>
      </c>
      <c r="C16" s="283" t="s">
        <v>114</v>
      </c>
      <c r="D16" s="268" t="s">
        <v>313</v>
      </c>
      <c r="E16" s="269" t="s">
        <v>314</v>
      </c>
      <c r="F16" s="269" t="s">
        <v>315</v>
      </c>
      <c r="G16" s="270">
        <v>45154</v>
      </c>
      <c r="H16" s="271" t="s">
        <v>316</v>
      </c>
      <c r="I16" s="272">
        <v>15</v>
      </c>
      <c r="J16" s="273">
        <f>K16/I16</f>
        <v>254.93333333333334</v>
      </c>
      <c r="K16" s="274">
        <v>3824</v>
      </c>
      <c r="L16" s="275">
        <v>0</v>
      </c>
      <c r="M16" s="276">
        <f t="shared" ref="M16" si="15">SUM(K16:L16)</f>
        <v>3824</v>
      </c>
      <c r="N16" s="298">
        <f>IF(K16/15&lt;=SMG,0,L16/2)</f>
        <v>0</v>
      </c>
      <c r="O16" s="314">
        <f>(K16+N16)/I16*30.4</f>
        <v>7749.9733333333334</v>
      </c>
      <c r="P16" s="314">
        <f>VLOOKUP(O16,Tarifa,1)</f>
        <v>6332.06</v>
      </c>
      <c r="Q16" s="298">
        <f>O16-P16</f>
        <v>1417.913333333333</v>
      </c>
      <c r="R16" s="299">
        <f>VLOOKUP(O16,Tarifa,3)</f>
        <v>0.10879999999999999</v>
      </c>
      <c r="S16" s="298">
        <f>Q16*R16</f>
        <v>154.2689706666666</v>
      </c>
      <c r="T16" s="300">
        <f>VLOOKUP(O16,Tarifa,2)</f>
        <v>371.83</v>
      </c>
      <c r="U16" s="298">
        <f>S16+T16</f>
        <v>526.09897066666656</v>
      </c>
      <c r="V16" s="298">
        <f>VLOOKUP(O16,Credito,2)</f>
        <v>475</v>
      </c>
      <c r="W16" s="298">
        <f>ROUND((U16-V16)/30.4*I16,2)</f>
        <v>25.21</v>
      </c>
      <c r="X16" s="276">
        <f>-IF(W16&gt;0,0,0)</f>
        <v>0</v>
      </c>
      <c r="Y16" s="276">
        <f t="shared" ref="Y16" si="16">IF(K16/15&lt;=SMG,0,IF(W16&lt;0,0,W16))</f>
        <v>0</v>
      </c>
      <c r="Z16" s="277">
        <v>0</v>
      </c>
      <c r="AA16" s="276">
        <f t="shared" ref="AA16" si="17">SUM(Y16:Z16)</f>
        <v>0</v>
      </c>
      <c r="AB16" s="276">
        <f t="shared" ref="AB16" si="18">M16+X16-AA16</f>
        <v>3824</v>
      </c>
      <c r="AC16" s="288"/>
      <c r="AG16" s="356"/>
    </row>
    <row r="17" spans="1:33" s="52" customFormat="1" ht="24.75" customHeight="1" x14ac:dyDescent="0.3">
      <c r="A17" s="157"/>
      <c r="B17" s="244"/>
      <c r="C17" s="214"/>
      <c r="D17" s="215"/>
      <c r="E17" s="216"/>
      <c r="F17" s="216"/>
      <c r="G17" s="217"/>
      <c r="H17" s="206"/>
      <c r="I17" s="218"/>
      <c r="J17" s="219"/>
      <c r="K17" s="220"/>
      <c r="L17" s="221"/>
      <c r="M17" s="222"/>
      <c r="N17" s="223"/>
      <c r="O17" s="223"/>
      <c r="P17" s="223"/>
      <c r="Q17" s="223"/>
      <c r="R17" s="224"/>
      <c r="S17" s="223"/>
      <c r="T17" s="225"/>
      <c r="U17" s="223"/>
      <c r="V17" s="223"/>
      <c r="W17" s="223"/>
      <c r="X17" s="222"/>
      <c r="Y17" s="222"/>
      <c r="Z17" s="226"/>
      <c r="AA17" s="222"/>
      <c r="AB17" s="222"/>
      <c r="AC17" s="91"/>
      <c r="AG17" s="66"/>
    </row>
    <row r="18" spans="1:33" s="52" customFormat="1" ht="34.5" customHeight="1" x14ac:dyDescent="0.25">
      <c r="A18" s="157"/>
      <c r="B18" s="444" t="s">
        <v>77</v>
      </c>
      <c r="C18" s="444"/>
      <c r="D18" s="444"/>
      <c r="E18" s="444"/>
      <c r="F18" s="444"/>
      <c r="G18" s="444"/>
      <c r="H18" s="444"/>
      <c r="I18" s="444"/>
      <c r="J18" s="444"/>
      <c r="K18" s="444"/>
      <c r="L18" s="444"/>
      <c r="M18" s="444"/>
      <c r="N18" s="444"/>
      <c r="O18" s="444"/>
      <c r="P18" s="444"/>
      <c r="Q18" s="444"/>
      <c r="R18" s="444"/>
      <c r="S18" s="444"/>
      <c r="T18" s="444"/>
      <c r="U18" s="444"/>
      <c r="V18" s="444"/>
      <c r="W18" s="444"/>
      <c r="X18" s="444"/>
      <c r="Y18" s="444"/>
      <c r="Z18" s="444"/>
      <c r="AA18" s="444"/>
      <c r="AB18" s="444"/>
      <c r="AC18" s="444"/>
      <c r="AD18" s="444"/>
      <c r="AG18" s="66"/>
    </row>
    <row r="19" spans="1:33" s="52" customFormat="1" ht="36.75" customHeight="1" x14ac:dyDescent="0.25">
      <c r="A19" s="157"/>
      <c r="B19" s="444" t="s">
        <v>64</v>
      </c>
      <c r="C19" s="444"/>
      <c r="D19" s="444"/>
      <c r="E19" s="444"/>
      <c r="F19" s="444"/>
      <c r="G19" s="444"/>
      <c r="H19" s="444"/>
      <c r="I19" s="444"/>
      <c r="J19" s="444"/>
      <c r="K19" s="444"/>
      <c r="L19" s="444"/>
      <c r="M19" s="444"/>
      <c r="N19" s="444"/>
      <c r="O19" s="444"/>
      <c r="P19" s="444"/>
      <c r="Q19" s="444"/>
      <c r="R19" s="444"/>
      <c r="S19" s="444"/>
      <c r="T19" s="444"/>
      <c r="U19" s="444"/>
      <c r="V19" s="444"/>
      <c r="W19" s="444"/>
      <c r="X19" s="444"/>
      <c r="Y19" s="444"/>
      <c r="Z19" s="444"/>
      <c r="AA19" s="444"/>
      <c r="AB19" s="444"/>
      <c r="AC19" s="444"/>
      <c r="AD19" s="444"/>
      <c r="AG19" s="66"/>
    </row>
    <row r="20" spans="1:33" s="52" customFormat="1" ht="31.5" customHeight="1" x14ac:dyDescent="0.25">
      <c r="A20" s="157"/>
      <c r="B20" s="445" t="str">
        <f>PRESIDENCIA!A3</f>
        <v>SUELDO  DEL 01 AL 15 DE DICIEMBRE DE 2025</v>
      </c>
      <c r="C20" s="445"/>
      <c r="D20" s="445"/>
      <c r="E20" s="445"/>
      <c r="F20" s="445"/>
      <c r="G20" s="445"/>
      <c r="H20" s="445"/>
      <c r="I20" s="445"/>
      <c r="J20" s="445"/>
      <c r="K20" s="445"/>
      <c r="L20" s="445"/>
      <c r="M20" s="445"/>
      <c r="N20" s="445"/>
      <c r="O20" s="445"/>
      <c r="P20" s="445"/>
      <c r="Q20" s="445"/>
      <c r="R20" s="445"/>
      <c r="S20" s="445"/>
      <c r="T20" s="445"/>
      <c r="U20" s="445"/>
      <c r="V20" s="445"/>
      <c r="W20" s="445"/>
      <c r="X20" s="445"/>
      <c r="Y20" s="445"/>
      <c r="Z20" s="445"/>
      <c r="AA20" s="445"/>
      <c r="AB20" s="445"/>
      <c r="AC20" s="445"/>
      <c r="AD20" s="445"/>
      <c r="AG20" s="66"/>
    </row>
    <row r="21" spans="1:33" s="52" customFormat="1" ht="26.25" customHeight="1" x14ac:dyDescent="0.3">
      <c r="A21" s="157"/>
      <c r="B21" s="244"/>
      <c r="C21" s="214"/>
      <c r="D21" s="215"/>
      <c r="E21" s="216"/>
      <c r="F21" s="216"/>
      <c r="G21" s="217"/>
      <c r="H21" s="206"/>
      <c r="I21" s="218"/>
      <c r="J21" s="219"/>
      <c r="K21" s="220"/>
      <c r="L21" s="221"/>
      <c r="M21" s="222"/>
      <c r="N21" s="223"/>
      <c r="O21" s="223"/>
      <c r="P21" s="223"/>
      <c r="Q21" s="223"/>
      <c r="R21" s="224"/>
      <c r="S21" s="223"/>
      <c r="T21" s="225"/>
      <c r="U21" s="223"/>
      <c r="V21" s="223"/>
      <c r="W21" s="223"/>
      <c r="X21" s="222"/>
      <c r="Y21" s="222"/>
      <c r="Z21" s="226"/>
      <c r="AA21" s="222"/>
      <c r="AB21" s="222"/>
      <c r="AC21" s="91"/>
      <c r="AG21" s="66"/>
    </row>
    <row r="22" spans="1:33" s="303" customFormat="1" ht="240.75" customHeight="1" x14ac:dyDescent="0.2">
      <c r="A22" s="357"/>
      <c r="B22" s="289" t="s">
        <v>650</v>
      </c>
      <c r="C22" s="283" t="s">
        <v>114</v>
      </c>
      <c r="D22" s="290" t="s">
        <v>651</v>
      </c>
      <c r="E22" s="291" t="s">
        <v>652</v>
      </c>
      <c r="F22" s="291" t="s">
        <v>653</v>
      </c>
      <c r="G22" s="331">
        <v>45945</v>
      </c>
      <c r="H22" s="271" t="s">
        <v>402</v>
      </c>
      <c r="I22" s="272">
        <v>15</v>
      </c>
      <c r="J22" s="273">
        <f>K22/I22</f>
        <v>287.89999999999998</v>
      </c>
      <c r="K22" s="274">
        <v>4318.5</v>
      </c>
      <c r="L22" s="275">
        <v>0</v>
      </c>
      <c r="M22" s="276">
        <f t="shared" ref="M22" si="19">SUM(K22:L22)</f>
        <v>4318.5</v>
      </c>
      <c r="N22" s="298">
        <f>IF(K22/15&lt;=SMG,0,L22/2)</f>
        <v>0</v>
      </c>
      <c r="O22" s="314">
        <f>(K22+N22)/I22*30.4</f>
        <v>8752.159999999998</v>
      </c>
      <c r="P22" s="314">
        <f>VLOOKUP(O22,Tarifa,1)</f>
        <v>6332.06</v>
      </c>
      <c r="Q22" s="298">
        <f>O22-P22</f>
        <v>2420.0999999999976</v>
      </c>
      <c r="R22" s="299">
        <f>VLOOKUP(O22,Tarifa,3)</f>
        <v>0.10879999999999999</v>
      </c>
      <c r="S22" s="298">
        <f>Q22*R22</f>
        <v>263.30687999999975</v>
      </c>
      <c r="T22" s="300">
        <f>VLOOKUP(O22,Tarifa,2)</f>
        <v>371.83</v>
      </c>
      <c r="U22" s="298">
        <f>S22+T22</f>
        <v>635.13687999999979</v>
      </c>
      <c r="V22" s="298">
        <f>VLOOKUP(O22,Credito,2)</f>
        <v>475</v>
      </c>
      <c r="W22" s="298">
        <f>ROUND((U22-V22)/30.4*I22,2)</f>
        <v>79.010000000000005</v>
      </c>
      <c r="X22" s="276">
        <f>-IF(W22&gt;0,0,0)</f>
        <v>0</v>
      </c>
      <c r="Y22" s="276">
        <f t="shared" ref="Y22" si="20">IF(K22/15&lt;=SMG,0,IF(W22&lt;0,0,W22))</f>
        <v>79.010000000000005</v>
      </c>
      <c r="Z22" s="277">
        <v>0</v>
      </c>
      <c r="AA22" s="276">
        <f t="shared" ref="AA22" si="21">SUM(Y22:Z22)</f>
        <v>79.010000000000005</v>
      </c>
      <c r="AB22" s="276">
        <f t="shared" ref="AB22" si="22">M22+X22-AA22</f>
        <v>4239.49</v>
      </c>
      <c r="AC22" s="288"/>
      <c r="AG22" s="356"/>
    </row>
    <row r="23" spans="1:33" s="52" customFormat="1" ht="60.75" customHeight="1" x14ac:dyDescent="0.3">
      <c r="A23" s="157"/>
      <c r="B23" s="148" t="s">
        <v>95</v>
      </c>
      <c r="C23" s="148" t="s">
        <v>120</v>
      </c>
      <c r="D23" s="228" t="s">
        <v>293</v>
      </c>
      <c r="E23" s="228" t="s">
        <v>96</v>
      </c>
      <c r="F23" s="228" t="s">
        <v>220</v>
      </c>
      <c r="G23" s="227" t="s">
        <v>272</v>
      </c>
      <c r="H23" s="228" t="s">
        <v>61</v>
      </c>
      <c r="I23" s="228"/>
      <c r="J23" s="228"/>
      <c r="K23" s="229">
        <f>SUM(K24:K25)</f>
        <v>13133.5</v>
      </c>
      <c r="L23" s="229">
        <f>SUM(L24:L25)</f>
        <v>0</v>
      </c>
      <c r="M23" s="229">
        <f>SUM(M24:M25)</f>
        <v>13133.5</v>
      </c>
      <c r="N23" s="229" t="e">
        <f>#REF!+N24+N25</f>
        <v>#REF!</v>
      </c>
      <c r="O23" s="229" t="e">
        <f>#REF!+O24+O25</f>
        <v>#REF!</v>
      </c>
      <c r="P23" s="229" t="e">
        <f>#REF!+P24+P25</f>
        <v>#REF!</v>
      </c>
      <c r="Q23" s="229" t="e">
        <f>#REF!+Q24+Q25</f>
        <v>#REF!</v>
      </c>
      <c r="R23" s="229" t="e">
        <f>#REF!+R24+R25</f>
        <v>#REF!</v>
      </c>
      <c r="S23" s="229" t="e">
        <f>#REF!+S24+S25</f>
        <v>#REF!</v>
      </c>
      <c r="T23" s="229" t="e">
        <f>#REF!+T24+T25</f>
        <v>#REF!</v>
      </c>
      <c r="U23" s="229" t="e">
        <f>#REF!+U24+U25</f>
        <v>#REF!</v>
      </c>
      <c r="V23" s="229" t="e">
        <f>#REF!+V24+V25</f>
        <v>#REF!</v>
      </c>
      <c r="W23" s="229" t="e">
        <f>#REF!+W24+W25</f>
        <v>#REF!</v>
      </c>
      <c r="X23" s="229">
        <f>SUM(X24:X25)</f>
        <v>0</v>
      </c>
      <c r="Y23" s="229">
        <f>SUM(Y24:Y25)</f>
        <v>1100.98</v>
      </c>
      <c r="Z23" s="229">
        <f>SUM(Z24:Z25)</f>
        <v>0</v>
      </c>
      <c r="AA23" s="229">
        <f>SUM(AA24:AA25)</f>
        <v>1100.98</v>
      </c>
      <c r="AB23" s="229">
        <f>SUM(AB24:AB25)</f>
        <v>12032.52</v>
      </c>
      <c r="AC23" s="97"/>
      <c r="AG23" s="66"/>
    </row>
    <row r="24" spans="1:33" s="303" customFormat="1" ht="240.75" customHeight="1" x14ac:dyDescent="0.2">
      <c r="A24" s="357"/>
      <c r="B24" s="289" t="s">
        <v>307</v>
      </c>
      <c r="C24" s="283" t="s">
        <v>114</v>
      </c>
      <c r="D24" s="290" t="s">
        <v>294</v>
      </c>
      <c r="E24" s="291" t="s">
        <v>295</v>
      </c>
      <c r="F24" s="291" t="s">
        <v>296</v>
      </c>
      <c r="G24" s="331">
        <v>45108</v>
      </c>
      <c r="H24" s="271" t="s">
        <v>297</v>
      </c>
      <c r="I24" s="272">
        <v>15</v>
      </c>
      <c r="J24" s="273">
        <f>K24/I24</f>
        <v>600.5</v>
      </c>
      <c r="K24" s="274">
        <v>9007.5</v>
      </c>
      <c r="L24" s="275">
        <v>0</v>
      </c>
      <c r="M24" s="276">
        <f t="shared" ref="M24" si="23">SUM(K24:L24)</f>
        <v>9007.5</v>
      </c>
      <c r="N24" s="298">
        <f>IF(K24/15&lt;=SMG,0,L24/2)</f>
        <v>0</v>
      </c>
      <c r="O24" s="314">
        <f>(K24+N24)/I24*30.4</f>
        <v>18255.2</v>
      </c>
      <c r="P24" s="314">
        <f>VLOOKUP(O24,Tarifa,1)</f>
        <v>15487.72</v>
      </c>
      <c r="Q24" s="298">
        <f>O24-P24</f>
        <v>2767.4800000000014</v>
      </c>
      <c r="R24" s="299">
        <f>VLOOKUP(O24,Tarifa,3)</f>
        <v>0.21360000000000001</v>
      </c>
      <c r="S24" s="298">
        <f>Q24*R24</f>
        <v>591.13372800000036</v>
      </c>
      <c r="T24" s="300">
        <f>VLOOKUP(O24,Tarifa,2)</f>
        <v>1640.18</v>
      </c>
      <c r="U24" s="298">
        <f>S24+T24</f>
        <v>2231.3137280000005</v>
      </c>
      <c r="V24" s="298">
        <f>VLOOKUP(O24,Credito,2)</f>
        <v>0</v>
      </c>
      <c r="W24" s="298">
        <f>ROUND((U24-V24)/30.4*I24,2)</f>
        <v>1100.98</v>
      </c>
      <c r="X24" s="276">
        <f>-IF(W24&gt;0,0,0)</f>
        <v>0</v>
      </c>
      <c r="Y24" s="276">
        <f t="shared" ref="Y24" si="24">IF(K24/15&lt;=SMG,0,IF(W24&lt;0,0,W24))</f>
        <v>1100.98</v>
      </c>
      <c r="Z24" s="277">
        <v>0</v>
      </c>
      <c r="AA24" s="276">
        <f t="shared" ref="AA24" si="25">SUM(Y24:Z24)</f>
        <v>1100.98</v>
      </c>
      <c r="AB24" s="276">
        <f t="shared" ref="AB24" si="26">M24+X24-AA24</f>
        <v>7906.52</v>
      </c>
      <c r="AC24" s="288"/>
      <c r="AG24" s="356"/>
    </row>
    <row r="25" spans="1:33" s="303" customFormat="1" ht="240.75" customHeight="1" x14ac:dyDescent="0.2">
      <c r="A25" s="357"/>
      <c r="B25" s="289" t="s">
        <v>317</v>
      </c>
      <c r="C25" s="283" t="s">
        <v>114</v>
      </c>
      <c r="D25" s="290" t="s">
        <v>321</v>
      </c>
      <c r="E25" s="291" t="s">
        <v>322</v>
      </c>
      <c r="F25" s="291" t="s">
        <v>323</v>
      </c>
      <c r="G25" s="331">
        <v>45200</v>
      </c>
      <c r="H25" s="271" t="s">
        <v>324</v>
      </c>
      <c r="I25" s="272">
        <v>15</v>
      </c>
      <c r="J25" s="273">
        <f>K25/I25</f>
        <v>275.06666666666666</v>
      </c>
      <c r="K25" s="274">
        <v>4126</v>
      </c>
      <c r="L25" s="275">
        <v>0</v>
      </c>
      <c r="M25" s="276">
        <f>SUM(K25:L25)</f>
        <v>4126</v>
      </c>
      <c r="N25" s="298">
        <f>IF(K25/15&lt;=SMG,0,L25/2)</f>
        <v>0</v>
      </c>
      <c r="O25" s="314">
        <f>(K25+N25)/I25*30.4</f>
        <v>8362.0266666666666</v>
      </c>
      <c r="P25" s="314">
        <f>VLOOKUP(O25,Tarifa,1)</f>
        <v>6332.06</v>
      </c>
      <c r="Q25" s="298">
        <f>O25-P25</f>
        <v>2029.9666666666662</v>
      </c>
      <c r="R25" s="299">
        <f>VLOOKUP(O25,Tarifa,3)</f>
        <v>0.10879999999999999</v>
      </c>
      <c r="S25" s="298">
        <f>Q25*R25</f>
        <v>220.86037333333329</v>
      </c>
      <c r="T25" s="300">
        <f>VLOOKUP(O25,Tarifa,2)</f>
        <v>371.83</v>
      </c>
      <c r="U25" s="298">
        <f>S25+T25</f>
        <v>592.69037333333324</v>
      </c>
      <c r="V25" s="298">
        <f>VLOOKUP(O25,Credito,2)</f>
        <v>475</v>
      </c>
      <c r="W25" s="298">
        <f>ROUND((U25-V25)/30.4*I25,2)</f>
        <v>58.07</v>
      </c>
      <c r="X25" s="276">
        <f>-IF(W25&gt;0,0,0)</f>
        <v>0</v>
      </c>
      <c r="Y25" s="276">
        <f>IF(K25/15&lt;=SMG,0,IF(W25&lt;0,0,W25))</f>
        <v>0</v>
      </c>
      <c r="Z25" s="277">
        <v>0</v>
      </c>
      <c r="AA25" s="276">
        <f>SUM(Y25:Z25)</f>
        <v>0</v>
      </c>
      <c r="AB25" s="276">
        <f>M25+X25-AA25</f>
        <v>4126</v>
      </c>
      <c r="AC25" s="288"/>
      <c r="AG25" s="356"/>
    </row>
    <row r="26" spans="1:33" s="52" customFormat="1" ht="47.25" customHeight="1" x14ac:dyDescent="0.25">
      <c r="A26" s="157"/>
      <c r="B26" s="205" t="s">
        <v>95</v>
      </c>
      <c r="C26" s="205" t="s">
        <v>120</v>
      </c>
      <c r="D26" s="205" t="s">
        <v>423</v>
      </c>
      <c r="E26" s="250" t="s">
        <v>96</v>
      </c>
      <c r="F26" s="250" t="s">
        <v>220</v>
      </c>
      <c r="G26" s="205" t="s">
        <v>272</v>
      </c>
      <c r="H26" s="250" t="s">
        <v>61</v>
      </c>
      <c r="I26" s="250"/>
      <c r="J26" s="250"/>
      <c r="K26" s="251">
        <f>SUM(K27)</f>
        <v>6207.5</v>
      </c>
      <c r="L26" s="251">
        <f>SUM(L27)</f>
        <v>0</v>
      </c>
      <c r="M26" s="251">
        <f>SUM(M27)</f>
        <v>6207.5</v>
      </c>
      <c r="N26" s="250"/>
      <c r="O26" s="250"/>
      <c r="P26" s="250"/>
      <c r="Q26" s="250"/>
      <c r="R26" s="250"/>
      <c r="S26" s="250"/>
      <c r="T26" s="252"/>
      <c r="U26" s="250"/>
      <c r="V26" s="250"/>
      <c r="W26" s="250"/>
      <c r="X26" s="251">
        <f>SUM(X27)</f>
        <v>0</v>
      </c>
      <c r="Y26" s="251">
        <f>SUM(Y27)</f>
        <v>555.61</v>
      </c>
      <c r="Z26" s="251">
        <f>SUM(Z27)</f>
        <v>0</v>
      </c>
      <c r="AA26" s="251">
        <f>SUM(AA27)</f>
        <v>555.61</v>
      </c>
      <c r="AB26" s="251">
        <f>SUM(AB27)</f>
        <v>5651.89</v>
      </c>
      <c r="AC26" s="182"/>
      <c r="AG26" s="66"/>
    </row>
    <row r="27" spans="1:33" s="303" customFormat="1" ht="240.75" customHeight="1" x14ac:dyDescent="0.2">
      <c r="A27" s="357"/>
      <c r="B27" s="289" t="s">
        <v>424</v>
      </c>
      <c r="C27" s="283" t="s">
        <v>114</v>
      </c>
      <c r="D27" s="268" t="s">
        <v>425</v>
      </c>
      <c r="E27" s="269" t="s">
        <v>426</v>
      </c>
      <c r="F27" s="269" t="s">
        <v>427</v>
      </c>
      <c r="G27" s="270">
        <v>45566</v>
      </c>
      <c r="H27" s="271" t="s">
        <v>428</v>
      </c>
      <c r="I27" s="272">
        <v>15</v>
      </c>
      <c r="J27" s="273">
        <f>K27/I27</f>
        <v>413.83333333333331</v>
      </c>
      <c r="K27" s="274">
        <v>6207.5</v>
      </c>
      <c r="L27" s="275">
        <v>0</v>
      </c>
      <c r="M27" s="276">
        <f>SUM(K27:L27)</f>
        <v>6207.5</v>
      </c>
      <c r="N27" s="298">
        <f>IF(K27/15&lt;=SMG,0,L27/2)</f>
        <v>0</v>
      </c>
      <c r="O27" s="314">
        <f>(K27+N27)/I27*30.4</f>
        <v>12580.533333333333</v>
      </c>
      <c r="P27" s="314">
        <f>VLOOKUP(O27,Tarifa,1)</f>
        <v>11128.02</v>
      </c>
      <c r="Q27" s="298">
        <f>O27-P27</f>
        <v>1452.5133333333324</v>
      </c>
      <c r="R27" s="299">
        <f>VLOOKUP(O27,Tarifa,3)</f>
        <v>0.16</v>
      </c>
      <c r="S27" s="298">
        <f>Q27*R27</f>
        <v>232.40213333333318</v>
      </c>
      <c r="T27" s="300">
        <f>VLOOKUP(O27,Tarifa,2)</f>
        <v>893.63</v>
      </c>
      <c r="U27" s="298">
        <f>S27+T27</f>
        <v>1126.0321333333331</v>
      </c>
      <c r="V27" s="298">
        <f>VLOOKUP(O27,Credito,2)</f>
        <v>0</v>
      </c>
      <c r="W27" s="298">
        <f>ROUND((U27-V27)/30.4*I27,2)</f>
        <v>555.61</v>
      </c>
      <c r="X27" s="276">
        <f>-IF(W27&gt;0,0,0)</f>
        <v>0</v>
      </c>
      <c r="Y27" s="276">
        <f>IF(K27/15&lt;=SMG,0,IF(W27&lt;0,0,W27))</f>
        <v>555.61</v>
      </c>
      <c r="Z27" s="277">
        <v>0</v>
      </c>
      <c r="AA27" s="276">
        <f>SUM(Y27:Z27)</f>
        <v>555.61</v>
      </c>
      <c r="AB27" s="276">
        <f>M27+X27-AA27</f>
        <v>5651.89</v>
      </c>
      <c r="AC27" s="278"/>
      <c r="AG27" s="356"/>
    </row>
    <row r="28" spans="1:33" s="303" customFormat="1" ht="118.5" customHeight="1" x14ac:dyDescent="0.3">
      <c r="A28" s="357"/>
      <c r="B28" s="205" t="s">
        <v>95</v>
      </c>
      <c r="C28" s="205" t="s">
        <v>120</v>
      </c>
      <c r="D28" s="231" t="s">
        <v>123</v>
      </c>
      <c r="E28" s="232" t="s">
        <v>96</v>
      </c>
      <c r="F28" s="232" t="s">
        <v>220</v>
      </c>
      <c r="G28" s="231" t="s">
        <v>272</v>
      </c>
      <c r="H28" s="232" t="s">
        <v>61</v>
      </c>
      <c r="I28" s="232"/>
      <c r="J28" s="232"/>
      <c r="K28" s="233">
        <f>SUM(K29)</f>
        <v>7730</v>
      </c>
      <c r="L28" s="233">
        <f>SUM(L29)</f>
        <v>0</v>
      </c>
      <c r="M28" s="233">
        <f>SUM(M29)</f>
        <v>7730</v>
      </c>
      <c r="N28" s="232"/>
      <c r="O28" s="232"/>
      <c r="P28" s="232"/>
      <c r="Q28" s="232"/>
      <c r="R28" s="232"/>
      <c r="S28" s="232"/>
      <c r="T28" s="234"/>
      <c r="U28" s="232"/>
      <c r="V28" s="232"/>
      <c r="W28" s="232"/>
      <c r="X28" s="233">
        <f>SUM(X29)</f>
        <v>0</v>
      </c>
      <c r="Y28" s="233">
        <f>SUM(Y29)</f>
        <v>828.1</v>
      </c>
      <c r="Z28" s="233">
        <f>SUM(Z29)</f>
        <v>0</v>
      </c>
      <c r="AA28" s="233">
        <f>SUM(AA29)</f>
        <v>828.1</v>
      </c>
      <c r="AB28" s="233">
        <f>SUM(AB29)</f>
        <v>6901.9</v>
      </c>
      <c r="AC28" s="182"/>
      <c r="AG28" s="356"/>
    </row>
    <row r="29" spans="1:33" s="303" customFormat="1" ht="241.5" customHeight="1" x14ac:dyDescent="0.2">
      <c r="A29" s="357"/>
      <c r="B29" s="289" t="s">
        <v>415</v>
      </c>
      <c r="C29" s="283" t="s">
        <v>114</v>
      </c>
      <c r="D29" s="268" t="s">
        <v>412</v>
      </c>
      <c r="E29" s="269" t="s">
        <v>413</v>
      </c>
      <c r="F29" s="269" t="s">
        <v>414</v>
      </c>
      <c r="G29" s="270">
        <v>45566</v>
      </c>
      <c r="H29" s="271" t="s">
        <v>94</v>
      </c>
      <c r="I29" s="272">
        <v>15</v>
      </c>
      <c r="J29" s="273">
        <f>K29/I29</f>
        <v>515.33333333333337</v>
      </c>
      <c r="K29" s="274">
        <v>7730</v>
      </c>
      <c r="L29" s="275">
        <v>0</v>
      </c>
      <c r="M29" s="276">
        <f>SUM(K29:L29)</f>
        <v>7730</v>
      </c>
      <c r="N29" s="298">
        <f>IF(K29/15&lt;=SMG,0,L29/2)</f>
        <v>0</v>
      </c>
      <c r="O29" s="314">
        <f>(K29+N29)/I29*30.4</f>
        <v>15666.133333333333</v>
      </c>
      <c r="P29" s="314">
        <f>VLOOKUP(O29,Tarifa,1)</f>
        <v>15487.72</v>
      </c>
      <c r="Q29" s="298">
        <f>O29-P29</f>
        <v>178.41333333333387</v>
      </c>
      <c r="R29" s="299">
        <f>VLOOKUP(O29,Tarifa,3)</f>
        <v>0.21360000000000001</v>
      </c>
      <c r="S29" s="298">
        <f>Q29*R29</f>
        <v>38.109088000000114</v>
      </c>
      <c r="T29" s="300">
        <f>VLOOKUP(O29,Tarifa,2)</f>
        <v>1640.18</v>
      </c>
      <c r="U29" s="298">
        <f>S29+T29</f>
        <v>1678.2890880000002</v>
      </c>
      <c r="V29" s="298">
        <f>VLOOKUP(O29,Credito,2)</f>
        <v>0</v>
      </c>
      <c r="W29" s="298">
        <f>ROUND((U29-V29)/30.4*I29,2)</f>
        <v>828.1</v>
      </c>
      <c r="X29" s="276">
        <f>-IF(W29&gt;0,0,0)</f>
        <v>0</v>
      </c>
      <c r="Y29" s="276">
        <f>IF(K29/15&lt;=SMG,0,IF(W29&lt;0,0,W29))</f>
        <v>828.1</v>
      </c>
      <c r="Z29" s="277">
        <v>0</v>
      </c>
      <c r="AA29" s="276">
        <f>SUM(Y29:Z29)</f>
        <v>828.1</v>
      </c>
      <c r="AB29" s="276">
        <f>M29+X29-AA29</f>
        <v>6901.9</v>
      </c>
      <c r="AC29" s="278"/>
      <c r="AG29" s="356"/>
    </row>
    <row r="30" spans="1:33" s="303" customFormat="1" ht="12" customHeight="1" x14ac:dyDescent="0.2">
      <c r="A30" s="357"/>
      <c r="B30" s="392"/>
      <c r="C30" s="393"/>
      <c r="D30" s="394"/>
      <c r="E30" s="395"/>
      <c r="F30" s="395"/>
      <c r="G30" s="396"/>
      <c r="H30" s="397"/>
      <c r="I30" s="398"/>
      <c r="J30" s="399"/>
      <c r="K30" s="400"/>
      <c r="L30" s="401"/>
      <c r="M30" s="402"/>
      <c r="N30" s="384"/>
      <c r="O30" s="385"/>
      <c r="P30" s="385"/>
      <c r="Q30" s="384"/>
      <c r="R30" s="386"/>
      <c r="S30" s="384"/>
      <c r="T30" s="387"/>
      <c r="U30" s="384"/>
      <c r="V30" s="384"/>
      <c r="W30" s="384"/>
      <c r="X30" s="402"/>
      <c r="Y30" s="402"/>
      <c r="Z30" s="403"/>
      <c r="AA30" s="402"/>
      <c r="AB30" s="402"/>
      <c r="AC30" s="404"/>
      <c r="AG30" s="356"/>
    </row>
    <row r="31" spans="1:33" s="52" customFormat="1" ht="39.75" customHeight="1" x14ac:dyDescent="0.25">
      <c r="A31" s="157"/>
      <c r="B31" s="444" t="s">
        <v>77</v>
      </c>
      <c r="C31" s="444"/>
      <c r="D31" s="444"/>
      <c r="E31" s="444"/>
      <c r="F31" s="444"/>
      <c r="G31" s="444"/>
      <c r="H31" s="444"/>
      <c r="I31" s="444"/>
      <c r="J31" s="444"/>
      <c r="K31" s="444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4"/>
      <c r="AA31" s="444"/>
      <c r="AB31" s="444"/>
      <c r="AC31" s="444"/>
      <c r="AG31" s="66"/>
    </row>
    <row r="32" spans="1:33" s="52" customFormat="1" ht="27" customHeight="1" x14ac:dyDescent="0.25">
      <c r="A32" s="157"/>
      <c r="B32" s="444" t="s">
        <v>64</v>
      </c>
      <c r="C32" s="444"/>
      <c r="D32" s="444"/>
      <c r="E32" s="444"/>
      <c r="F32" s="444"/>
      <c r="G32" s="444"/>
      <c r="H32" s="444"/>
      <c r="I32" s="444"/>
      <c r="J32" s="444"/>
      <c r="K32" s="444"/>
      <c r="L32" s="444"/>
      <c r="M32" s="444"/>
      <c r="N32" s="444"/>
      <c r="O32" s="444"/>
      <c r="P32" s="444"/>
      <c r="Q32" s="444"/>
      <c r="R32" s="444"/>
      <c r="S32" s="444"/>
      <c r="T32" s="444"/>
      <c r="U32" s="444"/>
      <c r="V32" s="444"/>
      <c r="W32" s="444"/>
      <c r="X32" s="444"/>
      <c r="Y32" s="444"/>
      <c r="Z32" s="444"/>
      <c r="AA32" s="444"/>
      <c r="AB32" s="444"/>
      <c r="AC32" s="444"/>
      <c r="AG32" s="66"/>
    </row>
    <row r="33" spans="1:33" s="52" customFormat="1" ht="32.25" customHeight="1" x14ac:dyDescent="0.25">
      <c r="A33" s="157"/>
      <c r="B33" s="483" t="str">
        <f>PRESIDENCIA!A3</f>
        <v>SUELDO  DEL 01 AL 15 DE DICIEMBRE DE 2025</v>
      </c>
      <c r="C33" s="445"/>
      <c r="D33" s="445"/>
      <c r="E33" s="445"/>
      <c r="F33" s="445"/>
      <c r="G33" s="445"/>
      <c r="H33" s="445"/>
      <c r="I33" s="445"/>
      <c r="J33" s="445"/>
      <c r="K33" s="445"/>
      <c r="L33" s="445"/>
      <c r="M33" s="445"/>
      <c r="N33" s="445"/>
      <c r="O33" s="445"/>
      <c r="P33" s="445"/>
      <c r="Q33" s="445"/>
      <c r="R33" s="445"/>
      <c r="S33" s="445"/>
      <c r="T33" s="445"/>
      <c r="U33" s="445"/>
      <c r="V33" s="445"/>
      <c r="W33" s="445"/>
      <c r="X33" s="445"/>
      <c r="Y33" s="445"/>
      <c r="Z33" s="445"/>
      <c r="AA33" s="445"/>
      <c r="AB33" s="445"/>
      <c r="AC33" s="445"/>
      <c r="AG33" s="66"/>
    </row>
    <row r="34" spans="1:33" s="52" customFormat="1" ht="25.5" customHeight="1" x14ac:dyDescent="0.3">
      <c r="A34" s="157"/>
      <c r="B34" s="244"/>
      <c r="C34" s="214"/>
      <c r="D34" s="215"/>
      <c r="E34" s="216"/>
      <c r="F34" s="216"/>
      <c r="G34" s="217"/>
      <c r="H34" s="206"/>
      <c r="I34" s="218"/>
      <c r="J34" s="219"/>
      <c r="K34" s="220"/>
      <c r="L34" s="221"/>
      <c r="M34" s="222"/>
      <c r="N34" s="223"/>
      <c r="O34" s="223"/>
      <c r="P34" s="223"/>
      <c r="Q34" s="223"/>
      <c r="R34" s="224"/>
      <c r="S34" s="223"/>
      <c r="T34" s="225"/>
      <c r="U34" s="223"/>
      <c r="V34" s="223"/>
      <c r="W34" s="223"/>
      <c r="X34" s="222"/>
      <c r="Y34" s="222"/>
      <c r="Z34" s="226"/>
      <c r="AA34" s="222"/>
      <c r="AB34" s="222"/>
      <c r="AC34" s="91"/>
      <c r="AG34" s="66"/>
    </row>
    <row r="35" spans="1:33" s="108" customFormat="1" ht="57.75" customHeight="1" x14ac:dyDescent="0.3">
      <c r="A35" s="162"/>
      <c r="B35" s="148" t="s">
        <v>95</v>
      </c>
      <c r="C35" s="148" t="s">
        <v>120</v>
      </c>
      <c r="D35" s="228" t="s">
        <v>138</v>
      </c>
      <c r="E35" s="228" t="s">
        <v>96</v>
      </c>
      <c r="F35" s="228" t="s">
        <v>220</v>
      </c>
      <c r="G35" s="227" t="s">
        <v>272</v>
      </c>
      <c r="H35" s="228" t="s">
        <v>61</v>
      </c>
      <c r="I35" s="228"/>
      <c r="J35" s="228"/>
      <c r="K35" s="229">
        <f>SUM(K36:K51)</f>
        <v>89841.15</v>
      </c>
      <c r="L35" s="229">
        <f>SUM(L36:L51)</f>
        <v>0</v>
      </c>
      <c r="M35" s="229">
        <f>SUM(M36:M51)</f>
        <v>89841.15</v>
      </c>
      <c r="N35" s="228"/>
      <c r="O35" s="228"/>
      <c r="P35" s="228"/>
      <c r="Q35" s="228"/>
      <c r="R35" s="228"/>
      <c r="S35" s="228"/>
      <c r="T35" s="230"/>
      <c r="U35" s="228"/>
      <c r="V35" s="228"/>
      <c r="W35" s="228"/>
      <c r="X35" s="229">
        <f>SUM(X36:X51)</f>
        <v>0</v>
      </c>
      <c r="Y35" s="229">
        <f>SUM(Y36:Y51)</f>
        <v>9439.25</v>
      </c>
      <c r="Z35" s="229">
        <f>SUM(Z36:Z51)</f>
        <v>0</v>
      </c>
      <c r="AA35" s="229">
        <f>SUM(AA36:AA51)</f>
        <v>9439.25</v>
      </c>
      <c r="AB35" s="229">
        <f>SUM(AB36:AB51)</f>
        <v>80401.899999999994</v>
      </c>
      <c r="AC35" s="184"/>
    </row>
    <row r="36" spans="1:33" s="358" customFormat="1" ht="222.75" customHeight="1" x14ac:dyDescent="0.2">
      <c r="A36" s="359"/>
      <c r="B36" s="289" t="s">
        <v>156</v>
      </c>
      <c r="C36" s="283" t="s">
        <v>114</v>
      </c>
      <c r="D36" s="268" t="s">
        <v>140</v>
      </c>
      <c r="E36" s="291" t="s">
        <v>152</v>
      </c>
      <c r="F36" s="291" t="s">
        <v>234</v>
      </c>
      <c r="G36" s="331">
        <v>43101</v>
      </c>
      <c r="H36" s="271" t="s">
        <v>411</v>
      </c>
      <c r="I36" s="272">
        <v>15</v>
      </c>
      <c r="J36" s="273">
        <f>K36/I36</f>
        <v>566.03733333333332</v>
      </c>
      <c r="K36" s="295">
        <v>8490.56</v>
      </c>
      <c r="L36" s="296">
        <v>0</v>
      </c>
      <c r="M36" s="297">
        <f t="shared" ref="M36" si="27">SUM(K36:L36)</f>
        <v>8490.56</v>
      </c>
      <c r="N36" s="298">
        <f>IF(K36/15&lt;=SMG,0,L36/2)</f>
        <v>0</v>
      </c>
      <c r="O36" s="314">
        <f>(K36+N36)/I36*30.4</f>
        <v>17207.534933333332</v>
      </c>
      <c r="P36" s="314">
        <f>VLOOKUP(O36,Tarifa,1)</f>
        <v>15487.72</v>
      </c>
      <c r="Q36" s="298">
        <f>O36-P36</f>
        <v>1719.8149333333331</v>
      </c>
      <c r="R36" s="299">
        <f>VLOOKUP(O36,Tarifa,3)</f>
        <v>0.21360000000000001</v>
      </c>
      <c r="S36" s="298">
        <f>Q36*R36</f>
        <v>367.35246975999996</v>
      </c>
      <c r="T36" s="300">
        <f>VLOOKUP(O36,Tarifa,2)</f>
        <v>1640.18</v>
      </c>
      <c r="U36" s="298">
        <f>S36+T36</f>
        <v>2007.5324697599999</v>
      </c>
      <c r="V36" s="298">
        <f>VLOOKUP(O36,Credito,2)</f>
        <v>0</v>
      </c>
      <c r="W36" s="298">
        <f>ROUND((U36-V36)/30.4*I36,2)</f>
        <v>990.56</v>
      </c>
      <c r="X36" s="297">
        <f>-IF(W36&gt;0,0,0)</f>
        <v>0</v>
      </c>
      <c r="Y36" s="297">
        <f t="shared" ref="Y36" si="28">IF(K36/15&lt;=SMG,0,IF(W36&lt;0,0,W36))</f>
        <v>990.56</v>
      </c>
      <c r="Z36" s="301">
        <v>0</v>
      </c>
      <c r="AA36" s="297">
        <f t="shared" ref="AA36" si="29">SUM(Y36:Z36)</f>
        <v>990.56</v>
      </c>
      <c r="AB36" s="297">
        <f t="shared" ref="AB36" si="30">M36+X36-AA36</f>
        <v>7500</v>
      </c>
      <c r="AC36" s="360"/>
    </row>
    <row r="37" spans="1:33" s="358" customFormat="1" ht="222.75" customHeight="1" x14ac:dyDescent="0.2">
      <c r="A37" s="359"/>
      <c r="B37" s="289" t="s">
        <v>417</v>
      </c>
      <c r="C37" s="283" t="s">
        <v>114</v>
      </c>
      <c r="D37" s="268" t="s">
        <v>416</v>
      </c>
      <c r="E37" s="291" t="s">
        <v>418</v>
      </c>
      <c r="F37" s="291" t="s">
        <v>419</v>
      </c>
      <c r="G37" s="331">
        <v>45292</v>
      </c>
      <c r="H37" s="271" t="s">
        <v>141</v>
      </c>
      <c r="I37" s="272">
        <v>15</v>
      </c>
      <c r="J37" s="273">
        <f>K37/I37</f>
        <v>515.33333333333337</v>
      </c>
      <c r="K37" s="274">
        <v>7730</v>
      </c>
      <c r="L37" s="275">
        <v>0</v>
      </c>
      <c r="M37" s="276">
        <f>SUM(K37:L37)</f>
        <v>7730</v>
      </c>
      <c r="N37" s="298">
        <f>IF(K37/15&lt;=SMG,0,L37/2)</f>
        <v>0</v>
      </c>
      <c r="O37" s="314">
        <f>(K37+N37)/I37*30.4</f>
        <v>15666.133333333333</v>
      </c>
      <c r="P37" s="314">
        <f>VLOOKUP(O37,Tarifa,1)</f>
        <v>15487.72</v>
      </c>
      <c r="Q37" s="298">
        <f>O37-P37</f>
        <v>178.41333333333387</v>
      </c>
      <c r="R37" s="299">
        <f>VLOOKUP(O37,Tarifa,3)</f>
        <v>0.21360000000000001</v>
      </c>
      <c r="S37" s="298">
        <f>Q37*R37</f>
        <v>38.109088000000114</v>
      </c>
      <c r="T37" s="300">
        <f>VLOOKUP(O37,Tarifa,2)</f>
        <v>1640.18</v>
      </c>
      <c r="U37" s="298">
        <f>S37+T37</f>
        <v>1678.2890880000002</v>
      </c>
      <c r="V37" s="298">
        <f>VLOOKUP(O37,Credito,2)</f>
        <v>0</v>
      </c>
      <c r="W37" s="298">
        <f>ROUND((U37-V37)/30.4*I37,2)</f>
        <v>828.1</v>
      </c>
      <c r="X37" s="276">
        <f>-IF(W37&gt;0,0,0)</f>
        <v>0</v>
      </c>
      <c r="Y37" s="276">
        <f>IF(K37/15&lt;=SMG,0,IF(W37&lt;0,0,W37))</f>
        <v>828.1</v>
      </c>
      <c r="Z37" s="277">
        <v>0</v>
      </c>
      <c r="AA37" s="276">
        <f>SUM(Y37:Z37)</f>
        <v>828.1</v>
      </c>
      <c r="AB37" s="276">
        <f>M37+X37-AA37</f>
        <v>6901.9</v>
      </c>
      <c r="AC37" s="360"/>
    </row>
    <row r="38" spans="1:33" s="358" customFormat="1" ht="222.75" customHeight="1" x14ac:dyDescent="0.2">
      <c r="A38" s="359"/>
      <c r="B38" s="289" t="s">
        <v>558</v>
      </c>
      <c r="C38" s="283" t="s">
        <v>114</v>
      </c>
      <c r="D38" s="268" t="s">
        <v>560</v>
      </c>
      <c r="E38" s="291" t="s">
        <v>561</v>
      </c>
      <c r="F38" s="291" t="s">
        <v>562</v>
      </c>
      <c r="G38" s="331">
        <v>45732</v>
      </c>
      <c r="H38" s="286" t="s">
        <v>654</v>
      </c>
      <c r="I38" s="287">
        <v>15</v>
      </c>
      <c r="J38" s="317">
        <f>ROUND(K38/I38,2)</f>
        <v>566.04</v>
      </c>
      <c r="K38" s="295">
        <v>8490.56</v>
      </c>
      <c r="L38" s="296">
        <v>0</v>
      </c>
      <c r="M38" s="297">
        <f t="shared" ref="M38" si="31">SUM(K38:L38)</f>
        <v>8490.56</v>
      </c>
      <c r="N38" s="298">
        <f>IF(K38/15&lt;=SMG,0,L38/2)</f>
        <v>0</v>
      </c>
      <c r="O38" s="314">
        <f>(K38+N38)/I38*30.4</f>
        <v>17207.534933333332</v>
      </c>
      <c r="P38" s="314">
        <f>VLOOKUP(O38,Tarifa,1)</f>
        <v>15487.72</v>
      </c>
      <c r="Q38" s="298">
        <f>O38-P38</f>
        <v>1719.8149333333331</v>
      </c>
      <c r="R38" s="299">
        <f>VLOOKUP(O38,Tarifa,3)</f>
        <v>0.21360000000000001</v>
      </c>
      <c r="S38" s="298">
        <f>Q38*R38</f>
        <v>367.35246975999996</v>
      </c>
      <c r="T38" s="300">
        <f>VLOOKUP(O38,Tarifa,2)</f>
        <v>1640.18</v>
      </c>
      <c r="U38" s="298">
        <f>S38+T38</f>
        <v>2007.5324697599999</v>
      </c>
      <c r="V38" s="298">
        <f>VLOOKUP(O38,Credito,2)</f>
        <v>0</v>
      </c>
      <c r="W38" s="298">
        <f>ROUND((U38-V38)/30.4*I38,2)</f>
        <v>990.56</v>
      </c>
      <c r="X38" s="297">
        <f>-IF(W38&gt;0,0,0)</f>
        <v>0</v>
      </c>
      <c r="Y38" s="297">
        <f t="shared" ref="Y38" si="32">IF(K38/15&lt;=SMG,0,IF(W38&lt;0,0,W38))</f>
        <v>990.56</v>
      </c>
      <c r="Z38" s="301">
        <v>0</v>
      </c>
      <c r="AA38" s="297">
        <f t="shared" ref="AA38" si="33">SUM(Y38:Z38)</f>
        <v>990.56</v>
      </c>
      <c r="AB38" s="297">
        <f t="shared" ref="AB38" si="34">M38+X38-AA38</f>
        <v>7500</v>
      </c>
      <c r="AC38" s="360"/>
    </row>
    <row r="39" spans="1:33" s="358" customFormat="1" ht="222.75" customHeight="1" x14ac:dyDescent="0.2">
      <c r="A39" s="359"/>
      <c r="B39" s="289" t="s">
        <v>559</v>
      </c>
      <c r="C39" s="283" t="s">
        <v>114</v>
      </c>
      <c r="D39" s="268" t="s">
        <v>563</v>
      </c>
      <c r="E39" s="291" t="s">
        <v>564</v>
      </c>
      <c r="F39" s="291" t="s">
        <v>565</v>
      </c>
      <c r="G39" s="331">
        <v>45732</v>
      </c>
      <c r="H39" s="286" t="s">
        <v>620</v>
      </c>
      <c r="I39" s="272">
        <v>15</v>
      </c>
      <c r="J39" s="273">
        <f>K39/I39</f>
        <v>482.44466666666665</v>
      </c>
      <c r="K39" s="274">
        <v>7236.67</v>
      </c>
      <c r="L39" s="275">
        <v>0</v>
      </c>
      <c r="M39" s="276">
        <f>SUM(K39:L39)</f>
        <v>7236.67</v>
      </c>
      <c r="N39" s="298">
        <f>IF(K39/15&lt;=SMG,0,L39/2)</f>
        <v>0</v>
      </c>
      <c r="O39" s="314">
        <f>(K39+N39)/I39*30.4</f>
        <v>14666.317866666666</v>
      </c>
      <c r="P39" s="314">
        <f>VLOOKUP(O39,Tarifa,1)</f>
        <v>12935.83</v>
      </c>
      <c r="Q39" s="298">
        <f>O39-P39</f>
        <v>1730.4878666666664</v>
      </c>
      <c r="R39" s="299">
        <f>VLOOKUP(O39,Tarifa,3)</f>
        <v>0.1792</v>
      </c>
      <c r="S39" s="298">
        <f>Q39*R39</f>
        <v>310.1034257066666</v>
      </c>
      <c r="T39" s="300">
        <f>VLOOKUP(O39,Tarifa,2)</f>
        <v>1182.8800000000001</v>
      </c>
      <c r="U39" s="298">
        <f>S39+T39</f>
        <v>1492.9834257066668</v>
      </c>
      <c r="V39" s="298">
        <f>VLOOKUP(O39,Credito,2)</f>
        <v>0</v>
      </c>
      <c r="W39" s="298">
        <f>ROUND((U39-V39)/30.4*I39,2)</f>
        <v>736.67</v>
      </c>
      <c r="X39" s="276">
        <f>-IF(W39&gt;0,0,0)</f>
        <v>0</v>
      </c>
      <c r="Y39" s="276">
        <f>IF(K39/15&lt;=SMG,0,IF(W39&lt;0,0,W39))</f>
        <v>736.67</v>
      </c>
      <c r="Z39" s="277">
        <v>0</v>
      </c>
      <c r="AA39" s="276">
        <f>SUM(Y39:Z39)</f>
        <v>736.67</v>
      </c>
      <c r="AB39" s="276">
        <f>M39+X39-AA39</f>
        <v>6500</v>
      </c>
      <c r="AC39" s="360"/>
    </row>
    <row r="40" spans="1:33" s="358" customFormat="1" ht="222.75" customHeight="1" x14ac:dyDescent="0.2">
      <c r="A40" s="407"/>
      <c r="B40" s="289" t="s">
        <v>571</v>
      </c>
      <c r="C40" s="283" t="s">
        <v>474</v>
      </c>
      <c r="D40" s="268" t="s">
        <v>572</v>
      </c>
      <c r="E40" s="291" t="s">
        <v>573</v>
      </c>
      <c r="F40" s="291" t="s">
        <v>574</v>
      </c>
      <c r="G40" s="331">
        <v>45732</v>
      </c>
      <c r="H40" s="286" t="s">
        <v>620</v>
      </c>
      <c r="I40" s="272">
        <v>15</v>
      </c>
      <c r="J40" s="273">
        <f t="shared" ref="J40" si="35">K40/I40</f>
        <v>482.44466666666665</v>
      </c>
      <c r="K40" s="274">
        <v>7236.67</v>
      </c>
      <c r="L40" s="275">
        <v>0</v>
      </c>
      <c r="M40" s="276">
        <f t="shared" ref="M40" si="36">SUM(K40:L40)</f>
        <v>7236.67</v>
      </c>
      <c r="N40" s="298">
        <f t="shared" ref="N40" si="37">IF(K40/15&lt;=SMG,0,L40/2)</f>
        <v>0</v>
      </c>
      <c r="O40" s="314">
        <f t="shared" ref="O40" si="38">(K40+N40)/I40*30.4</f>
        <v>14666.317866666666</v>
      </c>
      <c r="P40" s="314">
        <f t="shared" ref="P40" si="39">VLOOKUP(O40,Tarifa,1)</f>
        <v>12935.83</v>
      </c>
      <c r="Q40" s="298">
        <f t="shared" ref="Q40" si="40">O40-P40</f>
        <v>1730.4878666666664</v>
      </c>
      <c r="R40" s="299">
        <f t="shared" ref="R40" si="41">VLOOKUP(O40,Tarifa,3)</f>
        <v>0.1792</v>
      </c>
      <c r="S40" s="298">
        <f t="shared" ref="S40" si="42">Q40*R40</f>
        <v>310.1034257066666</v>
      </c>
      <c r="T40" s="300">
        <f t="shared" ref="T40" si="43">VLOOKUP(O40,Tarifa,2)</f>
        <v>1182.8800000000001</v>
      </c>
      <c r="U40" s="298">
        <f t="shared" ref="U40" si="44">S40+T40</f>
        <v>1492.9834257066668</v>
      </c>
      <c r="V40" s="298">
        <f t="shared" ref="V40" si="45">VLOOKUP(O40,Credito,2)</f>
        <v>0</v>
      </c>
      <c r="W40" s="298">
        <f t="shared" ref="W40" si="46">ROUND((U40-V40)/30.4*I40,2)</f>
        <v>736.67</v>
      </c>
      <c r="X40" s="276">
        <f t="shared" ref="X40" si="47">-IF(W40&gt;0,0,0)</f>
        <v>0</v>
      </c>
      <c r="Y40" s="276">
        <f t="shared" ref="Y40" si="48">IF(K40/15&lt;=SMG,0,IF(W40&lt;0,0,W40))</f>
        <v>736.67</v>
      </c>
      <c r="Z40" s="277">
        <v>0</v>
      </c>
      <c r="AA40" s="276">
        <f t="shared" ref="AA40" si="49">SUM(Y40:Z40)</f>
        <v>736.67</v>
      </c>
      <c r="AB40" s="276">
        <f t="shared" ref="AB40" si="50">M40+X40-AA40</f>
        <v>6500</v>
      </c>
      <c r="AC40" s="360"/>
    </row>
    <row r="41" spans="1:33" s="358" customFormat="1" ht="222.75" customHeight="1" x14ac:dyDescent="0.2">
      <c r="A41" s="407"/>
      <c r="B41" s="289" t="s">
        <v>567</v>
      </c>
      <c r="C41" s="283" t="s">
        <v>474</v>
      </c>
      <c r="D41" s="268" t="s">
        <v>568</v>
      </c>
      <c r="E41" s="291" t="s">
        <v>569</v>
      </c>
      <c r="F41" s="291" t="s">
        <v>570</v>
      </c>
      <c r="G41" s="331">
        <v>45732</v>
      </c>
      <c r="H41" s="286" t="s">
        <v>620</v>
      </c>
      <c r="I41" s="272">
        <v>15</v>
      </c>
      <c r="J41" s="273">
        <f t="shared" ref="J41" si="51">K41/I41</f>
        <v>482.44466666666665</v>
      </c>
      <c r="K41" s="274">
        <v>7236.67</v>
      </c>
      <c r="L41" s="275">
        <v>0</v>
      </c>
      <c r="M41" s="276">
        <f t="shared" ref="M41" si="52">SUM(K41:L41)</f>
        <v>7236.67</v>
      </c>
      <c r="N41" s="298">
        <f t="shared" ref="N41" si="53">IF(K41/15&lt;=SMG,0,L41/2)</f>
        <v>0</v>
      </c>
      <c r="O41" s="314">
        <f t="shared" ref="O41" si="54">(K41+N41)/I41*30.4</f>
        <v>14666.317866666666</v>
      </c>
      <c r="P41" s="314">
        <f t="shared" ref="P41" si="55">VLOOKUP(O41,Tarifa,1)</f>
        <v>12935.83</v>
      </c>
      <c r="Q41" s="298">
        <f t="shared" ref="Q41" si="56">O41-P41</f>
        <v>1730.4878666666664</v>
      </c>
      <c r="R41" s="299">
        <f t="shared" ref="R41" si="57">VLOOKUP(O41,Tarifa,3)</f>
        <v>0.1792</v>
      </c>
      <c r="S41" s="298">
        <f t="shared" ref="S41" si="58">Q41*R41</f>
        <v>310.1034257066666</v>
      </c>
      <c r="T41" s="300">
        <f t="shared" ref="T41" si="59">VLOOKUP(O41,Tarifa,2)</f>
        <v>1182.8800000000001</v>
      </c>
      <c r="U41" s="298">
        <f t="shared" ref="U41" si="60">S41+T41</f>
        <v>1492.9834257066668</v>
      </c>
      <c r="V41" s="298">
        <f t="shared" ref="V41" si="61">VLOOKUP(O41,Credito,2)</f>
        <v>0</v>
      </c>
      <c r="W41" s="298">
        <f t="shared" ref="W41" si="62">ROUND((U41-V41)/30.4*I41,2)</f>
        <v>736.67</v>
      </c>
      <c r="X41" s="276">
        <f t="shared" ref="X41" si="63">-IF(W41&gt;0,0,0)</f>
        <v>0</v>
      </c>
      <c r="Y41" s="276">
        <f t="shared" ref="Y41" si="64">IF(K41/15&lt;=SMG,0,IF(W41&lt;0,0,W41))</f>
        <v>736.67</v>
      </c>
      <c r="Z41" s="277">
        <v>0</v>
      </c>
      <c r="AA41" s="276">
        <f t="shared" ref="AA41" si="65">SUM(Y41:Z41)</f>
        <v>736.67</v>
      </c>
      <c r="AB41" s="276">
        <f t="shared" ref="AB41" si="66">M41+X41-AA41</f>
        <v>6500</v>
      </c>
      <c r="AC41" s="360"/>
    </row>
    <row r="42" spans="1:33" s="358" customFormat="1" ht="42" customHeight="1" x14ac:dyDescent="0.25">
      <c r="A42" s="407"/>
      <c r="B42" s="444" t="s">
        <v>77</v>
      </c>
      <c r="C42" s="444"/>
      <c r="D42" s="444"/>
      <c r="E42" s="444"/>
      <c r="F42" s="444"/>
      <c r="G42" s="444"/>
      <c r="H42" s="444"/>
      <c r="I42" s="444"/>
      <c r="J42" s="444"/>
      <c r="K42" s="444"/>
      <c r="L42" s="444"/>
      <c r="M42" s="444"/>
      <c r="N42" s="444"/>
      <c r="O42" s="444"/>
      <c r="P42" s="444"/>
      <c r="Q42" s="444"/>
      <c r="R42" s="444"/>
      <c r="S42" s="444"/>
      <c r="T42" s="444"/>
      <c r="U42" s="444"/>
      <c r="V42" s="444"/>
      <c r="W42" s="444"/>
      <c r="X42" s="444"/>
      <c r="Y42" s="444"/>
      <c r="Z42" s="444"/>
      <c r="AA42" s="444"/>
      <c r="AB42" s="444"/>
      <c r="AC42" s="444"/>
    </row>
    <row r="43" spans="1:33" s="358" customFormat="1" ht="30.75" customHeight="1" x14ac:dyDescent="0.25">
      <c r="A43" s="407"/>
      <c r="B43" s="444" t="s">
        <v>64</v>
      </c>
      <c r="C43" s="444"/>
      <c r="D43" s="444"/>
      <c r="E43" s="444"/>
      <c r="F43" s="444"/>
      <c r="G43" s="444"/>
      <c r="H43" s="444"/>
      <c r="I43" s="444"/>
      <c r="J43" s="444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4"/>
      <c r="X43" s="444"/>
      <c r="Y43" s="444"/>
      <c r="Z43" s="444"/>
      <c r="AA43" s="444"/>
      <c r="AB43" s="444"/>
      <c r="AC43" s="444"/>
    </row>
    <row r="44" spans="1:33" s="358" customFormat="1" ht="42" customHeight="1" x14ac:dyDescent="0.2">
      <c r="A44" s="407"/>
      <c r="B44" s="485" t="str">
        <f>PRESIDENCIA!A3</f>
        <v>SUELDO  DEL 01 AL 15 DE DICIEMBRE DE 2025</v>
      </c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5"/>
      <c r="P44" s="485"/>
      <c r="Q44" s="485"/>
      <c r="R44" s="485"/>
      <c r="S44" s="485"/>
      <c r="T44" s="485"/>
      <c r="U44" s="485"/>
      <c r="V44" s="485"/>
      <c r="W44" s="485"/>
      <c r="X44" s="485"/>
      <c r="Y44" s="485"/>
      <c r="Z44" s="485"/>
      <c r="AA44" s="485"/>
      <c r="AB44" s="485"/>
      <c r="AC44" s="485"/>
    </row>
    <row r="45" spans="1:33" s="358" customFormat="1" ht="19.5" customHeight="1" x14ac:dyDescent="0.2">
      <c r="A45" s="407"/>
      <c r="B45" s="392"/>
      <c r="C45" s="393"/>
      <c r="D45" s="394"/>
      <c r="E45" s="408"/>
      <c r="F45" s="408"/>
      <c r="G45" s="409"/>
      <c r="H45" s="410"/>
      <c r="I45" s="398"/>
      <c r="J45" s="399"/>
      <c r="K45" s="400"/>
      <c r="L45" s="401"/>
      <c r="M45" s="402"/>
      <c r="N45" s="384"/>
      <c r="O45" s="385"/>
      <c r="P45" s="385"/>
      <c r="Q45" s="384"/>
      <c r="R45" s="386"/>
      <c r="S45" s="384"/>
      <c r="T45" s="387"/>
      <c r="U45" s="384"/>
      <c r="V45" s="384"/>
      <c r="W45" s="384"/>
      <c r="X45" s="402"/>
      <c r="Y45" s="402"/>
      <c r="Z45" s="403"/>
      <c r="AA45" s="402"/>
      <c r="AB45" s="402"/>
      <c r="AC45" s="411"/>
    </row>
    <row r="46" spans="1:33" s="358" customFormat="1" ht="164.25" customHeight="1" x14ac:dyDescent="0.2">
      <c r="A46" s="359"/>
      <c r="B46" s="289" t="s">
        <v>575</v>
      </c>
      <c r="C46" s="283" t="s">
        <v>474</v>
      </c>
      <c r="D46" s="268" t="s">
        <v>578</v>
      </c>
      <c r="E46" s="291" t="s">
        <v>579</v>
      </c>
      <c r="F46" s="291" t="s">
        <v>580</v>
      </c>
      <c r="G46" s="331">
        <v>45732</v>
      </c>
      <c r="H46" s="286" t="s">
        <v>620</v>
      </c>
      <c r="I46" s="272">
        <v>15</v>
      </c>
      <c r="J46" s="273">
        <f t="shared" ref="J46:J48" si="67">K46/I46</f>
        <v>482.44466666666665</v>
      </c>
      <c r="K46" s="274">
        <v>7236.67</v>
      </c>
      <c r="L46" s="275">
        <v>0</v>
      </c>
      <c r="M46" s="276">
        <f t="shared" ref="M46:M48" si="68">SUM(K46:L46)</f>
        <v>7236.67</v>
      </c>
      <c r="N46" s="298">
        <f t="shared" ref="N46:N48" si="69">IF(K46/15&lt;=SMG,0,L46/2)</f>
        <v>0</v>
      </c>
      <c r="O46" s="314">
        <f t="shared" ref="O46:O48" si="70">(K46+N46)/I46*30.4</f>
        <v>14666.317866666666</v>
      </c>
      <c r="P46" s="314">
        <f t="shared" ref="P46:P48" si="71">VLOOKUP(O46,Tarifa,1)</f>
        <v>12935.83</v>
      </c>
      <c r="Q46" s="298">
        <f t="shared" ref="Q46:Q48" si="72">O46-P46</f>
        <v>1730.4878666666664</v>
      </c>
      <c r="R46" s="299">
        <f t="shared" ref="R46:R48" si="73">VLOOKUP(O46,Tarifa,3)</f>
        <v>0.1792</v>
      </c>
      <c r="S46" s="298">
        <f t="shared" ref="S46:S48" si="74">Q46*R46</f>
        <v>310.1034257066666</v>
      </c>
      <c r="T46" s="300">
        <f t="shared" ref="T46:T48" si="75">VLOOKUP(O46,Tarifa,2)</f>
        <v>1182.8800000000001</v>
      </c>
      <c r="U46" s="298">
        <f t="shared" ref="U46:U48" si="76">S46+T46</f>
        <v>1492.9834257066668</v>
      </c>
      <c r="V46" s="298">
        <f t="shared" ref="V46:V48" si="77">VLOOKUP(O46,Credito,2)</f>
        <v>0</v>
      </c>
      <c r="W46" s="298">
        <f t="shared" ref="W46:W48" si="78">ROUND((U46-V46)/30.4*I46,2)</f>
        <v>736.67</v>
      </c>
      <c r="X46" s="276">
        <f t="shared" ref="X46:X48" si="79">-IF(W46&gt;0,0,0)</f>
        <v>0</v>
      </c>
      <c r="Y46" s="276">
        <f t="shared" ref="Y46:Y48" si="80">IF(K46/15&lt;=SMG,0,IF(W46&lt;0,0,W46))</f>
        <v>736.67</v>
      </c>
      <c r="Z46" s="277">
        <v>0</v>
      </c>
      <c r="AA46" s="276">
        <f t="shared" ref="AA46:AA48" si="81">SUM(Y46:Z46)</f>
        <v>736.67</v>
      </c>
      <c r="AB46" s="276">
        <f t="shared" ref="AB46:AB48" si="82">M46+X46-AA46</f>
        <v>6500</v>
      </c>
      <c r="AC46" s="360"/>
    </row>
    <row r="47" spans="1:33" s="358" customFormat="1" ht="164.25" customHeight="1" x14ac:dyDescent="0.2">
      <c r="A47" s="359"/>
      <c r="B47" s="289" t="s">
        <v>576</v>
      </c>
      <c r="C47" s="283" t="s">
        <v>474</v>
      </c>
      <c r="D47" s="268" t="s">
        <v>581</v>
      </c>
      <c r="E47" s="291" t="s">
        <v>582</v>
      </c>
      <c r="F47" s="291" t="s">
        <v>583</v>
      </c>
      <c r="G47" s="331">
        <v>45732</v>
      </c>
      <c r="H47" s="286" t="s">
        <v>620</v>
      </c>
      <c r="I47" s="272">
        <v>15</v>
      </c>
      <c r="J47" s="273">
        <f t="shared" si="67"/>
        <v>482.44466666666665</v>
      </c>
      <c r="K47" s="274">
        <v>7236.67</v>
      </c>
      <c r="L47" s="275">
        <v>0</v>
      </c>
      <c r="M47" s="276">
        <f t="shared" si="68"/>
        <v>7236.67</v>
      </c>
      <c r="N47" s="298">
        <f t="shared" si="69"/>
        <v>0</v>
      </c>
      <c r="O47" s="314">
        <f t="shared" si="70"/>
        <v>14666.317866666666</v>
      </c>
      <c r="P47" s="314">
        <f t="shared" si="71"/>
        <v>12935.83</v>
      </c>
      <c r="Q47" s="298">
        <f t="shared" si="72"/>
        <v>1730.4878666666664</v>
      </c>
      <c r="R47" s="299">
        <f t="shared" si="73"/>
        <v>0.1792</v>
      </c>
      <c r="S47" s="298">
        <f t="shared" si="74"/>
        <v>310.1034257066666</v>
      </c>
      <c r="T47" s="300">
        <f t="shared" si="75"/>
        <v>1182.8800000000001</v>
      </c>
      <c r="U47" s="298">
        <f t="shared" si="76"/>
        <v>1492.9834257066668</v>
      </c>
      <c r="V47" s="298">
        <f t="shared" si="77"/>
        <v>0</v>
      </c>
      <c r="W47" s="298">
        <f t="shared" si="78"/>
        <v>736.67</v>
      </c>
      <c r="X47" s="276">
        <f t="shared" si="79"/>
        <v>0</v>
      </c>
      <c r="Y47" s="276">
        <f t="shared" si="80"/>
        <v>736.67</v>
      </c>
      <c r="Z47" s="277">
        <v>0</v>
      </c>
      <c r="AA47" s="276">
        <f t="shared" si="81"/>
        <v>736.67</v>
      </c>
      <c r="AB47" s="276">
        <f t="shared" si="82"/>
        <v>6500</v>
      </c>
      <c r="AC47" s="360"/>
    </row>
    <row r="48" spans="1:33" s="358" customFormat="1" ht="164.25" customHeight="1" x14ac:dyDescent="0.2">
      <c r="A48" s="359"/>
      <c r="B48" s="289" t="s">
        <v>577</v>
      </c>
      <c r="C48" s="283" t="s">
        <v>474</v>
      </c>
      <c r="D48" s="268" t="s">
        <v>584</v>
      </c>
      <c r="E48" s="291" t="s">
        <v>585</v>
      </c>
      <c r="F48" s="291" t="s">
        <v>586</v>
      </c>
      <c r="G48" s="331">
        <v>45732</v>
      </c>
      <c r="H48" s="286" t="s">
        <v>620</v>
      </c>
      <c r="I48" s="272">
        <v>15</v>
      </c>
      <c r="J48" s="273">
        <f t="shared" si="67"/>
        <v>482.44466666666665</v>
      </c>
      <c r="K48" s="274">
        <v>7236.67</v>
      </c>
      <c r="L48" s="275">
        <v>0</v>
      </c>
      <c r="M48" s="276">
        <f t="shared" si="68"/>
        <v>7236.67</v>
      </c>
      <c r="N48" s="298">
        <f t="shared" si="69"/>
        <v>0</v>
      </c>
      <c r="O48" s="314">
        <f t="shared" si="70"/>
        <v>14666.317866666666</v>
      </c>
      <c r="P48" s="314">
        <f t="shared" si="71"/>
        <v>12935.83</v>
      </c>
      <c r="Q48" s="298">
        <f t="shared" si="72"/>
        <v>1730.4878666666664</v>
      </c>
      <c r="R48" s="299">
        <f t="shared" si="73"/>
        <v>0.1792</v>
      </c>
      <c r="S48" s="298">
        <f t="shared" si="74"/>
        <v>310.1034257066666</v>
      </c>
      <c r="T48" s="300">
        <f t="shared" si="75"/>
        <v>1182.8800000000001</v>
      </c>
      <c r="U48" s="298">
        <f t="shared" si="76"/>
        <v>1492.9834257066668</v>
      </c>
      <c r="V48" s="298">
        <f t="shared" si="77"/>
        <v>0</v>
      </c>
      <c r="W48" s="298">
        <f t="shared" si="78"/>
        <v>736.67</v>
      </c>
      <c r="X48" s="276">
        <f t="shared" si="79"/>
        <v>0</v>
      </c>
      <c r="Y48" s="276">
        <f t="shared" si="80"/>
        <v>736.67</v>
      </c>
      <c r="Z48" s="277">
        <v>0</v>
      </c>
      <c r="AA48" s="276">
        <f t="shared" si="81"/>
        <v>736.67</v>
      </c>
      <c r="AB48" s="276">
        <f t="shared" si="82"/>
        <v>6500</v>
      </c>
      <c r="AC48" s="360"/>
    </row>
    <row r="49" spans="1:29" s="358" customFormat="1" ht="164.25" customHeight="1" x14ac:dyDescent="0.2">
      <c r="A49" s="359"/>
      <c r="B49" s="289" t="s">
        <v>587</v>
      </c>
      <c r="C49" s="283" t="s">
        <v>474</v>
      </c>
      <c r="D49" s="268" t="s">
        <v>588</v>
      </c>
      <c r="E49" s="291" t="s">
        <v>589</v>
      </c>
      <c r="F49" s="291" t="s">
        <v>590</v>
      </c>
      <c r="G49" s="331">
        <v>45732</v>
      </c>
      <c r="H49" s="286" t="s">
        <v>620</v>
      </c>
      <c r="I49" s="272">
        <v>15</v>
      </c>
      <c r="J49" s="273">
        <f t="shared" ref="J49" si="83">K49/I49</f>
        <v>482.44466666666665</v>
      </c>
      <c r="K49" s="274">
        <v>7236.67</v>
      </c>
      <c r="L49" s="275">
        <v>0</v>
      </c>
      <c r="M49" s="276">
        <f t="shared" ref="M49:M50" si="84">SUM(K49:L49)</f>
        <v>7236.67</v>
      </c>
      <c r="N49" s="298">
        <f t="shared" ref="N49:N50" si="85">IF(K49/15&lt;=SMG,0,L49/2)</f>
        <v>0</v>
      </c>
      <c r="O49" s="314">
        <f t="shared" ref="O49:O50" si="86">(K49+N49)/I49*30.4</f>
        <v>14666.317866666666</v>
      </c>
      <c r="P49" s="314">
        <f t="shared" ref="P49:P50" si="87">VLOOKUP(O49,Tarifa,1)</f>
        <v>12935.83</v>
      </c>
      <c r="Q49" s="298">
        <f t="shared" ref="Q49:Q50" si="88">O49-P49</f>
        <v>1730.4878666666664</v>
      </c>
      <c r="R49" s="299">
        <f t="shared" ref="R49:R50" si="89">VLOOKUP(O49,Tarifa,3)</f>
        <v>0.1792</v>
      </c>
      <c r="S49" s="298">
        <f t="shared" ref="S49:S50" si="90">Q49*R49</f>
        <v>310.1034257066666</v>
      </c>
      <c r="T49" s="300">
        <f t="shared" ref="T49:T50" si="91">VLOOKUP(O49,Tarifa,2)</f>
        <v>1182.8800000000001</v>
      </c>
      <c r="U49" s="298">
        <f t="shared" ref="U49:U50" si="92">S49+T49</f>
        <v>1492.9834257066668</v>
      </c>
      <c r="V49" s="298">
        <f t="shared" ref="V49:V50" si="93">VLOOKUP(O49,Credito,2)</f>
        <v>0</v>
      </c>
      <c r="W49" s="298">
        <f t="shared" ref="W49:W50" si="94">ROUND((U49-V49)/30.4*I49,2)</f>
        <v>736.67</v>
      </c>
      <c r="X49" s="276">
        <f t="shared" ref="X49:X50" si="95">-IF(W49&gt;0,0,0)</f>
        <v>0</v>
      </c>
      <c r="Y49" s="276">
        <f t="shared" ref="Y49:Y50" si="96">IF(K49/15&lt;=SMG,0,IF(W49&lt;0,0,W49))</f>
        <v>736.67</v>
      </c>
      <c r="Z49" s="277">
        <v>0</v>
      </c>
      <c r="AA49" s="276">
        <f t="shared" ref="AA49:AA50" si="97">SUM(Y49:Z49)</f>
        <v>736.67</v>
      </c>
      <c r="AB49" s="276">
        <f t="shared" ref="AB49:AB50" si="98">M49+X49-AA49</f>
        <v>6500</v>
      </c>
      <c r="AC49" s="360"/>
    </row>
    <row r="50" spans="1:29" s="358" customFormat="1" ht="164.25" customHeight="1" x14ac:dyDescent="0.2">
      <c r="A50" s="359"/>
      <c r="B50" s="283" t="s">
        <v>110</v>
      </c>
      <c r="C50" s="283" t="s">
        <v>114</v>
      </c>
      <c r="D50" s="264" t="s">
        <v>91</v>
      </c>
      <c r="E50" s="135" t="s">
        <v>111</v>
      </c>
      <c r="F50" s="135" t="s">
        <v>227</v>
      </c>
      <c r="G50" s="161">
        <v>42278</v>
      </c>
      <c r="H50" s="286" t="s">
        <v>620</v>
      </c>
      <c r="I50" s="272">
        <v>15</v>
      </c>
      <c r="J50" s="273">
        <f>K50/I50</f>
        <v>482.44466666666665</v>
      </c>
      <c r="K50" s="274">
        <v>7236.67</v>
      </c>
      <c r="L50" s="275">
        <v>0</v>
      </c>
      <c r="M50" s="276">
        <f t="shared" si="84"/>
        <v>7236.67</v>
      </c>
      <c r="N50" s="298">
        <f t="shared" si="85"/>
        <v>0</v>
      </c>
      <c r="O50" s="314">
        <f t="shared" si="86"/>
        <v>14666.317866666666</v>
      </c>
      <c r="P50" s="314">
        <f t="shared" si="87"/>
        <v>12935.83</v>
      </c>
      <c r="Q50" s="298">
        <f t="shared" si="88"/>
        <v>1730.4878666666664</v>
      </c>
      <c r="R50" s="299">
        <f t="shared" si="89"/>
        <v>0.1792</v>
      </c>
      <c r="S50" s="298">
        <f t="shared" si="90"/>
        <v>310.1034257066666</v>
      </c>
      <c r="T50" s="300">
        <f t="shared" si="91"/>
        <v>1182.8800000000001</v>
      </c>
      <c r="U50" s="298">
        <f t="shared" si="92"/>
        <v>1492.9834257066668</v>
      </c>
      <c r="V50" s="298">
        <f t="shared" si="93"/>
        <v>0</v>
      </c>
      <c r="W50" s="298">
        <f t="shared" si="94"/>
        <v>736.67</v>
      </c>
      <c r="X50" s="276">
        <f t="shared" si="95"/>
        <v>0</v>
      </c>
      <c r="Y50" s="276">
        <f t="shared" si="96"/>
        <v>736.67</v>
      </c>
      <c r="Z50" s="277">
        <v>0</v>
      </c>
      <c r="AA50" s="276">
        <f t="shared" si="97"/>
        <v>736.67</v>
      </c>
      <c r="AB50" s="276">
        <f t="shared" si="98"/>
        <v>6500</v>
      </c>
      <c r="AC50" s="360"/>
    </row>
    <row r="51" spans="1:29" s="358" customFormat="1" ht="164.25" customHeight="1" x14ac:dyDescent="0.2">
      <c r="A51" s="359"/>
      <c r="B51" s="283" t="s">
        <v>616</v>
      </c>
      <c r="C51" s="283" t="s">
        <v>114</v>
      </c>
      <c r="D51" s="264" t="s">
        <v>617</v>
      </c>
      <c r="E51" s="135" t="s">
        <v>618</v>
      </c>
      <c r="F51" s="135" t="s">
        <v>619</v>
      </c>
      <c r="G51" s="161">
        <v>45870</v>
      </c>
      <c r="H51" s="286" t="s">
        <v>620</v>
      </c>
      <c r="I51" s="272">
        <v>15</v>
      </c>
      <c r="J51" s="273">
        <f>K51/I51</f>
        <v>482.44466666666665</v>
      </c>
      <c r="K51" s="274">
        <v>7236.67</v>
      </c>
      <c r="L51" s="275">
        <v>0</v>
      </c>
      <c r="M51" s="276">
        <f t="shared" ref="M51" si="99">SUM(K51:L51)</f>
        <v>7236.67</v>
      </c>
      <c r="N51" s="298">
        <f t="shared" ref="N51" si="100">IF(K51/15&lt;=SMG,0,L51/2)</f>
        <v>0</v>
      </c>
      <c r="O51" s="314">
        <f t="shared" ref="O51" si="101">(K51+N51)/I51*30.4</f>
        <v>14666.317866666666</v>
      </c>
      <c r="P51" s="314">
        <f t="shared" ref="P51" si="102">VLOOKUP(O51,Tarifa,1)</f>
        <v>12935.83</v>
      </c>
      <c r="Q51" s="298">
        <f t="shared" ref="Q51" si="103">O51-P51</f>
        <v>1730.4878666666664</v>
      </c>
      <c r="R51" s="299">
        <f t="shared" ref="R51" si="104">VLOOKUP(O51,Tarifa,3)</f>
        <v>0.1792</v>
      </c>
      <c r="S51" s="298">
        <f t="shared" ref="S51" si="105">Q51*R51</f>
        <v>310.1034257066666</v>
      </c>
      <c r="T51" s="300">
        <f t="shared" ref="T51" si="106">VLOOKUP(O51,Tarifa,2)</f>
        <v>1182.8800000000001</v>
      </c>
      <c r="U51" s="298">
        <f t="shared" ref="U51" si="107">S51+T51</f>
        <v>1492.9834257066668</v>
      </c>
      <c r="V51" s="298">
        <f t="shared" ref="V51" si="108">VLOOKUP(O51,Credito,2)</f>
        <v>0</v>
      </c>
      <c r="W51" s="298">
        <f t="shared" ref="W51" si="109">ROUND((U51-V51)/30.4*I51,2)</f>
        <v>736.67</v>
      </c>
      <c r="X51" s="276">
        <f t="shared" ref="X51" si="110">-IF(W51&gt;0,0,0)</f>
        <v>0</v>
      </c>
      <c r="Y51" s="276">
        <f t="shared" ref="Y51" si="111">IF(K51/15&lt;=SMG,0,IF(W51&lt;0,0,W51))</f>
        <v>736.67</v>
      </c>
      <c r="Z51" s="277">
        <v>0</v>
      </c>
      <c r="AA51" s="276">
        <f t="shared" ref="AA51" si="112">SUM(Y51:Z51)</f>
        <v>736.67</v>
      </c>
      <c r="AB51" s="276">
        <f t="shared" ref="AB51" si="113">M51+X51-AA51</f>
        <v>6500</v>
      </c>
      <c r="AC51" s="301"/>
    </row>
    <row r="52" spans="1:29" s="108" customFormat="1" ht="18" x14ac:dyDescent="0.25">
      <c r="A52" s="162"/>
      <c r="B52" s="162"/>
      <c r="C52" s="162"/>
      <c r="D52" s="162"/>
      <c r="E52" s="162"/>
      <c r="F52" s="162"/>
      <c r="G52" s="162"/>
      <c r="H52" s="162"/>
      <c r="I52" s="162"/>
      <c r="J52" s="162"/>
      <c r="K52" s="185"/>
      <c r="L52" s="185"/>
      <c r="M52" s="185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07"/>
    </row>
    <row r="53" spans="1:29" s="108" customFormat="1" ht="39" customHeight="1" x14ac:dyDescent="0.3">
      <c r="A53" s="484" t="s">
        <v>44</v>
      </c>
      <c r="B53" s="484"/>
      <c r="C53" s="484"/>
      <c r="D53" s="484"/>
      <c r="E53" s="484"/>
      <c r="F53" s="484"/>
      <c r="G53" s="484"/>
      <c r="H53" s="484"/>
      <c r="I53" s="484"/>
      <c r="J53" s="484"/>
      <c r="K53" s="235">
        <f>K8+K11+K14+K23+K26+K28+K35</f>
        <v>150069.65</v>
      </c>
      <c r="L53" s="235">
        <f>L8+L11+L14+L23+L26+L28+L35</f>
        <v>0</v>
      </c>
      <c r="M53" s="235">
        <f>M8+M11+M14+M23+M26+M28+M35</f>
        <v>150069.65</v>
      </c>
      <c r="N53" s="235" t="e">
        <f>N8+N11+N14+N23+N26+#REF!+N35</f>
        <v>#REF!</v>
      </c>
      <c r="O53" s="235" t="e">
        <f>O8+O11+O14+O23+O26+#REF!+O35</f>
        <v>#REF!</v>
      </c>
      <c r="P53" s="235" t="e">
        <f>P8+P11+P14+P23+P26+#REF!+P35</f>
        <v>#REF!</v>
      </c>
      <c r="Q53" s="235" t="e">
        <f>Q8+Q11+Q14+Q23+Q26+#REF!+Q35</f>
        <v>#REF!</v>
      </c>
      <c r="R53" s="235" t="e">
        <f>R8+R11+R14+R23+R26+#REF!+R35</f>
        <v>#REF!</v>
      </c>
      <c r="S53" s="235" t="e">
        <f>S8+S11+S14+S23+S26+#REF!+S35</f>
        <v>#REF!</v>
      </c>
      <c r="T53" s="235" t="e">
        <f>T8+T11+T14+T23+T26+#REF!+T35</f>
        <v>#REF!</v>
      </c>
      <c r="U53" s="235" t="e">
        <f>U8+U11+U14+U23+U26+#REF!+U35</f>
        <v>#REF!</v>
      </c>
      <c r="V53" s="235" t="e">
        <f>V8+V11+V14+V23+V26+#REF!+V35</f>
        <v>#REF!</v>
      </c>
      <c r="W53" s="235" t="e">
        <f>W8+W11+W14+W23+W26+#REF!+W35</f>
        <v>#REF!</v>
      </c>
      <c r="X53" s="235">
        <f>X8+X11+X14+X23+X26+X28+X35</f>
        <v>0</v>
      </c>
      <c r="Y53" s="235">
        <f>Y8+Y11+Y14+Y23+Y26+Y28+Y35</f>
        <v>14094.02</v>
      </c>
      <c r="Z53" s="235">
        <f>Z8+Z11+Z14+Z23+Z26+Z28+Z35</f>
        <v>0</v>
      </c>
      <c r="AA53" s="235">
        <f>AA8+AA11+AA14+AA23+AA26+AA28+AA35</f>
        <v>14094.02</v>
      </c>
      <c r="AB53" s="235">
        <f>AB8+AB11+AB14+AB23+AB26+AB28+AB35</f>
        <v>135975.63</v>
      </c>
      <c r="AC53" s="107"/>
    </row>
    <row r="54" spans="1:29" s="52" customFormat="1" ht="12" x14ac:dyDescent="0.2"/>
    <row r="55" spans="1:29" s="52" customFormat="1" ht="12" x14ac:dyDescent="0.2"/>
    <row r="56" spans="1:29" s="52" customFormat="1" ht="12" x14ac:dyDescent="0.2"/>
    <row r="57" spans="1:29" s="52" customFormat="1" ht="12" x14ac:dyDescent="0.2"/>
    <row r="58" spans="1:29" s="52" customFormat="1" ht="12" x14ac:dyDescent="0.2"/>
    <row r="59" spans="1:29" s="52" customFormat="1" ht="12" x14ac:dyDescent="0.2"/>
    <row r="60" spans="1:29" s="52" customFormat="1" ht="12" x14ac:dyDescent="0.2"/>
    <row r="61" spans="1:29" s="52" customFormat="1" ht="12" x14ac:dyDescent="0.2"/>
    <row r="62" spans="1:29" s="52" customFormat="1" ht="12" x14ac:dyDescent="0.2"/>
    <row r="63" spans="1:29" s="52" customFormat="1" ht="17.25" customHeight="1" x14ac:dyDescent="0.2"/>
    <row r="64" spans="1:29" s="52" customFormat="1" ht="12" x14ac:dyDescent="0.2"/>
    <row r="65" spans="4:39" s="52" customFormat="1" ht="12" x14ac:dyDescent="0.2"/>
    <row r="66" spans="4:39" s="52" customFormat="1" ht="12" x14ac:dyDescent="0.2"/>
    <row r="67" spans="4:39" s="52" customFormat="1" ht="13.5" customHeight="1" x14ac:dyDescent="0.2"/>
    <row r="68" spans="4:39" s="52" customFormat="1" ht="12" x14ac:dyDescent="0.2"/>
    <row r="69" spans="4:39" s="52" customFormat="1" ht="12" x14ac:dyDescent="0.2"/>
    <row r="70" spans="4:39" s="52" customFormat="1" ht="12" x14ac:dyDescent="0.2"/>
    <row r="71" spans="4:39" s="52" customFormat="1" x14ac:dyDescent="0.2"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4:39" s="52" customFormat="1" ht="18" x14ac:dyDescent="0.25">
      <c r="D72" s="213" t="s">
        <v>476</v>
      </c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213" t="s">
        <v>143</v>
      </c>
      <c r="Z72" s="108"/>
      <c r="AA72" s="108"/>
      <c r="AB72" s="108"/>
    </row>
    <row r="73" spans="4:39" s="52" customFormat="1" ht="18" x14ac:dyDescent="0.25">
      <c r="D73" s="213" t="s">
        <v>491</v>
      </c>
      <c r="E73" s="213"/>
      <c r="F73" s="213"/>
      <c r="G73" s="213"/>
      <c r="H73" s="213"/>
      <c r="I73" s="213"/>
      <c r="J73" s="213"/>
      <c r="K73" s="213"/>
      <c r="L73" s="213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213" t="s">
        <v>210</v>
      </c>
      <c r="Z73" s="108"/>
      <c r="AA73" s="213"/>
      <c r="AB73" s="213"/>
      <c r="AC73" s="61"/>
      <c r="AD73" s="61"/>
      <c r="AE73" s="61"/>
      <c r="AF73" s="61"/>
      <c r="AG73" s="61"/>
      <c r="AH73" s="61"/>
      <c r="AI73" s="61"/>
      <c r="AL73" s="61"/>
      <c r="AM73" s="61"/>
    </row>
    <row r="74" spans="4:39" s="52" customFormat="1" ht="18" x14ac:dyDescent="0.25"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</row>
    <row r="75" spans="4:39" s="52" customFormat="1" ht="18" x14ac:dyDescent="0.25"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</row>
    <row r="76" spans="4:39" s="52" customFormat="1" ht="12" x14ac:dyDescent="0.2"/>
  </sheetData>
  <mergeCells count="17">
    <mergeCell ref="B20:AD20"/>
    <mergeCell ref="B31:AC31"/>
    <mergeCell ref="B32:AC32"/>
    <mergeCell ref="B33:AC33"/>
    <mergeCell ref="A53:J53"/>
    <mergeCell ref="B42:AC42"/>
    <mergeCell ref="B43:AC43"/>
    <mergeCell ref="B44:AC44"/>
    <mergeCell ref="B18:AD18"/>
    <mergeCell ref="B19:AD19"/>
    <mergeCell ref="A1:AC1"/>
    <mergeCell ref="A2:AC2"/>
    <mergeCell ref="A3:AC3"/>
    <mergeCell ref="K5:M5"/>
    <mergeCell ref="P5:U5"/>
    <mergeCell ref="Y5:AA5"/>
    <mergeCell ref="C5:C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50:G51 D15:G15 D12:G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6"/>
  <sheetViews>
    <sheetView topLeftCell="B1" zoomScale="57" zoomScaleNormal="57" workbookViewId="0">
      <selection activeCell="F11" sqref="F11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7.28515625" customWidth="1"/>
    <col min="9" max="9" width="6.5703125" hidden="1" customWidth="1"/>
    <col min="10" max="10" width="12.7109375" hidden="1" customWidth="1"/>
    <col min="11" max="11" width="16.8554687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2.28515625" hidden="1" customWidth="1"/>
    <col min="18" max="19" width="13.140625" hidden="1" customWidth="1"/>
    <col min="20" max="20" width="12.85546875" hidden="1" customWidth="1"/>
    <col min="21" max="21" width="12.14062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5.85546875" customWidth="1"/>
    <col min="26" max="26" width="14.5703125" customWidth="1"/>
    <col min="27" max="27" width="14.28515625" customWidth="1"/>
    <col min="28" max="28" width="18.140625" customWidth="1"/>
    <col min="29" max="29" width="64.140625" customWidth="1"/>
  </cols>
  <sheetData>
    <row r="1" spans="1:29" ht="18" x14ac:dyDescent="0.25">
      <c r="A1" s="455" t="s">
        <v>77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</row>
    <row r="2" spans="1:29" ht="18" x14ac:dyDescent="0.25">
      <c r="A2" s="455" t="s">
        <v>64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</row>
    <row r="3" spans="1:29" ht="19.5" x14ac:dyDescent="0.25">
      <c r="A3" s="445" t="str">
        <f>PRESIDENCIA!A3</f>
        <v>SUELDO  DEL 01 AL 15 DE DICIEMBRE DE 2025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445"/>
      <c r="T3" s="445"/>
      <c r="U3" s="445"/>
      <c r="V3" s="445"/>
      <c r="W3" s="445"/>
      <c r="X3" s="445"/>
      <c r="Y3" s="445"/>
      <c r="Z3" s="445"/>
      <c r="AA3" s="445"/>
      <c r="AB3" s="445"/>
      <c r="AC3" s="445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70" t="s">
        <v>1</v>
      </c>
      <c r="L6" s="471"/>
      <c r="M6" s="472"/>
      <c r="N6" s="50" t="s">
        <v>25</v>
      </c>
      <c r="O6" s="51"/>
      <c r="P6" s="473" t="s">
        <v>8</v>
      </c>
      <c r="Q6" s="474"/>
      <c r="R6" s="474"/>
      <c r="S6" s="474"/>
      <c r="T6" s="474"/>
      <c r="U6" s="475"/>
      <c r="V6" s="50" t="s">
        <v>29</v>
      </c>
      <c r="W6" s="50" t="s">
        <v>9</v>
      </c>
      <c r="X6" s="49" t="s">
        <v>52</v>
      </c>
      <c r="Y6" s="476" t="s">
        <v>2</v>
      </c>
      <c r="Z6" s="477"/>
      <c r="AA6" s="478"/>
      <c r="AB6" s="49" t="s">
        <v>0</v>
      </c>
      <c r="AC6" s="33"/>
    </row>
    <row r="7" spans="1:29" ht="24" x14ac:dyDescent="0.2">
      <c r="A7" s="26" t="s">
        <v>20</v>
      </c>
      <c r="B7" s="47" t="s">
        <v>95</v>
      </c>
      <c r="C7" s="47" t="s">
        <v>115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266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121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486" t="s">
        <v>109</v>
      </c>
      <c r="C9" s="487"/>
      <c r="D9" s="488"/>
      <c r="E9" s="127" t="s">
        <v>96</v>
      </c>
      <c r="F9" s="127" t="s">
        <v>220</v>
      </c>
      <c r="G9" s="125" t="s">
        <v>272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36"/>
      <c r="X9" s="64"/>
      <c r="Y9" s="64"/>
      <c r="Z9" s="64"/>
      <c r="AA9" s="64"/>
      <c r="AB9" s="64"/>
      <c r="AC9" s="99"/>
    </row>
    <row r="10" spans="1:29" s="334" customFormat="1" ht="216.75" customHeight="1" x14ac:dyDescent="0.2">
      <c r="A10" s="265" t="s">
        <v>82</v>
      </c>
      <c r="B10" s="283" t="s">
        <v>106</v>
      </c>
      <c r="C10" s="283" t="s">
        <v>114</v>
      </c>
      <c r="D10" s="268" t="s">
        <v>93</v>
      </c>
      <c r="E10" s="269" t="s">
        <v>107</v>
      </c>
      <c r="F10" s="269" t="s">
        <v>226</v>
      </c>
      <c r="G10" s="361">
        <v>42278</v>
      </c>
      <c r="H10" s="271" t="s">
        <v>197</v>
      </c>
      <c r="I10" s="272">
        <v>15</v>
      </c>
      <c r="J10" s="273">
        <f>K10/I10</f>
        <v>1332.8</v>
      </c>
      <c r="K10" s="274">
        <v>19992</v>
      </c>
      <c r="L10" s="275">
        <v>0</v>
      </c>
      <c r="M10" s="276">
        <f>SUM(K10:L10)</f>
        <v>19992</v>
      </c>
      <c r="N10" s="298">
        <f>IF(K10/15&lt;=SMG,0,L10/2)</f>
        <v>0</v>
      </c>
      <c r="O10" s="314">
        <f>(K10+N10)/I10*30.4</f>
        <v>40517.119999999995</v>
      </c>
      <c r="P10" s="314">
        <f>VLOOKUP(O10,Tarifa,1)</f>
        <v>31236.5</v>
      </c>
      <c r="Q10" s="314">
        <f>O10-P10</f>
        <v>9280.6199999999953</v>
      </c>
      <c r="R10" s="299">
        <f>VLOOKUP(O10,Tarifa,3)</f>
        <v>0.23519999999999999</v>
      </c>
      <c r="S10" s="298">
        <f>Q10*R10</f>
        <v>2182.8018239999988</v>
      </c>
      <c r="T10" s="300">
        <f>VLOOKUP(O10,Tarifa,2)</f>
        <v>5004.12</v>
      </c>
      <c r="U10" s="367">
        <f>S10+T10</f>
        <v>7186.9218239999991</v>
      </c>
      <c r="V10" s="367">
        <f>VLOOKUP(O10,Credito,2)</f>
        <v>0</v>
      </c>
      <c r="W10" s="367">
        <f>ROUND((U10-V10)/30.4*I10,2)</f>
        <v>3546.18</v>
      </c>
      <c r="X10" s="276">
        <f>-IF(W10&gt;0,0,0)</f>
        <v>0</v>
      </c>
      <c r="Y10" s="276">
        <f>IF(K10/15&lt;=SMG,0,IF(W10&lt;0,0,W10))</f>
        <v>3546.18</v>
      </c>
      <c r="Z10" s="277">
        <v>0</v>
      </c>
      <c r="AA10" s="276">
        <f>SUM(Y10:Z10)</f>
        <v>3546.18</v>
      </c>
      <c r="AB10" s="276">
        <f>M10+X10-AA10</f>
        <v>16445.82</v>
      </c>
      <c r="AC10" s="333"/>
    </row>
    <row r="11" spans="1:29" s="334" customFormat="1" ht="216.75" customHeight="1" x14ac:dyDescent="0.2">
      <c r="A11" s="265"/>
      <c r="B11" s="283" t="s">
        <v>99</v>
      </c>
      <c r="C11" s="283" t="s">
        <v>114</v>
      </c>
      <c r="D11" s="268" t="s">
        <v>72</v>
      </c>
      <c r="E11" s="269" t="s">
        <v>108</v>
      </c>
      <c r="F11" s="269" t="s">
        <v>221</v>
      </c>
      <c r="G11" s="361">
        <v>39462</v>
      </c>
      <c r="H11" s="271" t="s">
        <v>552</v>
      </c>
      <c r="I11" s="272">
        <v>15</v>
      </c>
      <c r="J11" s="273">
        <f>K11/I11</f>
        <v>888.66666666666663</v>
      </c>
      <c r="K11" s="274">
        <v>13330</v>
      </c>
      <c r="L11" s="275">
        <v>0</v>
      </c>
      <c r="M11" s="276">
        <f>K11</f>
        <v>13330</v>
      </c>
      <c r="N11" s="298">
        <f>IF(K11/15&lt;=SMG,0,L11/2)</f>
        <v>0</v>
      </c>
      <c r="O11" s="314">
        <f>(K11+N11)/I11*30.4</f>
        <v>27015.466666666664</v>
      </c>
      <c r="P11" s="314">
        <f>VLOOKUP(O11,Tarifa,1)</f>
        <v>15487.72</v>
      </c>
      <c r="Q11" s="298">
        <f>O11-P11</f>
        <v>11527.746666666664</v>
      </c>
      <c r="R11" s="299">
        <f>VLOOKUP(O11,Tarifa,3)</f>
        <v>0.21360000000000001</v>
      </c>
      <c r="S11" s="298">
        <f>Q11*R11</f>
        <v>2462.3266879999996</v>
      </c>
      <c r="T11" s="300">
        <f>VLOOKUP(O11,Tarifa,2)</f>
        <v>1640.18</v>
      </c>
      <c r="U11" s="298">
        <f>S11+T11</f>
        <v>4102.5066879999995</v>
      </c>
      <c r="V11" s="298">
        <f>VLOOKUP(O11,Credito,2)</f>
        <v>0</v>
      </c>
      <c r="W11" s="298">
        <f>ROUND((U11-V11)/30.4*I11,2)</f>
        <v>2024.26</v>
      </c>
      <c r="X11" s="276">
        <f>-IF(W11&gt;0,0,0)</f>
        <v>0</v>
      </c>
      <c r="Y11" s="276">
        <f>IF(K11/15&lt;=SMG,0,IF(W11&lt;0,0,W11))</f>
        <v>2024.26</v>
      </c>
      <c r="Z11" s="277">
        <v>0</v>
      </c>
      <c r="AA11" s="276">
        <f>SUM(Y11:Z11)</f>
        <v>2024.26</v>
      </c>
      <c r="AB11" s="276">
        <f>M11+X11-AA11</f>
        <v>11305.74</v>
      </c>
      <c r="AC11" s="333"/>
    </row>
    <row r="12" spans="1:29" s="334" customFormat="1" ht="216.75" customHeight="1" x14ac:dyDescent="0.2">
      <c r="A12" s="265" t="s">
        <v>84</v>
      </c>
      <c r="B12" s="266" t="s">
        <v>274</v>
      </c>
      <c r="C12" s="267" t="s">
        <v>114</v>
      </c>
      <c r="D12" s="268" t="s">
        <v>275</v>
      </c>
      <c r="E12" s="269" t="s">
        <v>273</v>
      </c>
      <c r="F12" s="293" t="s">
        <v>276</v>
      </c>
      <c r="G12" s="294">
        <v>44991</v>
      </c>
      <c r="H12" s="286" t="s">
        <v>657</v>
      </c>
      <c r="I12" s="287">
        <v>15</v>
      </c>
      <c r="J12" s="304">
        <v>362.4</v>
      </c>
      <c r="K12" s="274">
        <v>7069</v>
      </c>
      <c r="L12" s="275">
        <v>0</v>
      </c>
      <c r="M12" s="276">
        <f>SUM(K12:L12)</f>
        <v>7069</v>
      </c>
      <c r="N12" s="298">
        <f>IF(K12/15&lt;=SMG,0,L12/2)</f>
        <v>0</v>
      </c>
      <c r="O12" s="314">
        <f>(K12+N12)/I12*30.4</f>
        <v>14326.506666666666</v>
      </c>
      <c r="P12" s="314">
        <f>VLOOKUP(O12,Tarifa,1)</f>
        <v>12935.83</v>
      </c>
      <c r="Q12" s="298">
        <f>O12-P12</f>
        <v>1390.6766666666663</v>
      </c>
      <c r="R12" s="299">
        <f>VLOOKUP(O12,Tarifa,3)</f>
        <v>0.1792</v>
      </c>
      <c r="S12" s="298">
        <f>Q12*R12</f>
        <v>249.20925866666659</v>
      </c>
      <c r="T12" s="300">
        <f>VLOOKUP(O12,Tarifa,2)</f>
        <v>1182.8800000000001</v>
      </c>
      <c r="U12" s="298">
        <f>S12+T12</f>
        <v>1432.0892586666666</v>
      </c>
      <c r="V12" s="298">
        <f>VLOOKUP(O12,Credito,2)</f>
        <v>0</v>
      </c>
      <c r="W12" s="298">
        <f>ROUND((U12-V12)/30.4*I12,2)</f>
        <v>706.62</v>
      </c>
      <c r="X12" s="276">
        <f>-IF(W12&gt;0,0,0)</f>
        <v>0</v>
      </c>
      <c r="Y12" s="276">
        <f>IF(K12/15&lt;=SMG,0,IF(W12&lt;0,0,W12))</f>
        <v>706.62</v>
      </c>
      <c r="Z12" s="277">
        <v>0</v>
      </c>
      <c r="AA12" s="276">
        <f>SUM(Y12:Z12)</f>
        <v>706.62</v>
      </c>
      <c r="AB12" s="276">
        <f>M12+X12-AA12</f>
        <v>6362.38</v>
      </c>
      <c r="AC12" s="333"/>
    </row>
    <row r="13" spans="1:29" s="4" customFormat="1" ht="36" customHeight="1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44"/>
      <c r="L13" s="144"/>
      <c r="M13" s="144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</row>
    <row r="14" spans="1:29" s="4" customFormat="1" ht="60" customHeight="1" thickBot="1" x14ac:dyDescent="0.35">
      <c r="A14" s="441" t="s">
        <v>44</v>
      </c>
      <c r="B14" s="442"/>
      <c r="C14" s="442"/>
      <c r="D14" s="442"/>
      <c r="E14" s="442"/>
      <c r="F14" s="442"/>
      <c r="G14" s="442"/>
      <c r="H14" s="442"/>
      <c r="I14" s="442"/>
      <c r="J14" s="443"/>
      <c r="K14" s="208">
        <f t="shared" ref="K14:AA14" si="0">SUM(K10:K13)</f>
        <v>40391</v>
      </c>
      <c r="L14" s="208">
        <f t="shared" si="0"/>
        <v>0</v>
      </c>
      <c r="M14" s="208">
        <f t="shared" si="0"/>
        <v>40391</v>
      </c>
      <c r="N14" s="209">
        <f t="shared" si="0"/>
        <v>0</v>
      </c>
      <c r="O14" s="209">
        <f t="shared" si="0"/>
        <v>81859.093333333323</v>
      </c>
      <c r="P14" s="209">
        <f t="shared" si="0"/>
        <v>59660.05</v>
      </c>
      <c r="Q14" s="209">
        <f t="shared" si="0"/>
        <v>22199.043333333328</v>
      </c>
      <c r="R14" s="209">
        <f t="shared" si="0"/>
        <v>0.628</v>
      </c>
      <c r="S14" s="209">
        <f t="shared" si="0"/>
        <v>4894.3377706666652</v>
      </c>
      <c r="T14" s="209">
        <f t="shared" si="0"/>
        <v>7827.18</v>
      </c>
      <c r="U14" s="209">
        <f t="shared" si="0"/>
        <v>12721.517770666665</v>
      </c>
      <c r="V14" s="209">
        <f t="shared" si="0"/>
        <v>0</v>
      </c>
      <c r="W14" s="209">
        <f t="shared" si="0"/>
        <v>6277.0599999999995</v>
      </c>
      <c r="X14" s="208">
        <f t="shared" si="0"/>
        <v>0</v>
      </c>
      <c r="Y14" s="208">
        <f t="shared" si="0"/>
        <v>6277.0599999999995</v>
      </c>
      <c r="Z14" s="208">
        <f t="shared" si="0"/>
        <v>0</v>
      </c>
      <c r="AA14" s="208">
        <f t="shared" si="0"/>
        <v>6277.0599999999995</v>
      </c>
      <c r="AB14" s="208">
        <f>SUM(AB10:AB12)</f>
        <v>34113.939999999995</v>
      </c>
    </row>
    <row r="15" spans="1:29" ht="35.1" customHeight="1" thickTop="1" x14ac:dyDescent="0.2"/>
    <row r="16" spans="1:29" ht="35.1" customHeight="1" x14ac:dyDescent="0.2"/>
    <row r="17" spans="4:41" ht="35.1" customHeight="1" x14ac:dyDescent="0.2"/>
    <row r="18" spans="4:41" ht="35.1" customHeight="1" x14ac:dyDescent="0.2"/>
    <row r="21" spans="4:41" x14ac:dyDescent="0.2">
      <c r="AC21" s="43"/>
    </row>
    <row r="23" spans="4:41" ht="18" x14ac:dyDescent="0.25"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</row>
    <row r="24" spans="4:41" ht="18" x14ac:dyDescent="0.25">
      <c r="D24" s="213" t="s">
        <v>476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13" t="s">
        <v>145</v>
      </c>
      <c r="Z24" s="213"/>
      <c r="AA24" s="213"/>
      <c r="AB24" s="213"/>
      <c r="AC24" s="108"/>
    </row>
    <row r="25" spans="4:41" ht="18" x14ac:dyDescent="0.25">
      <c r="D25" s="213" t="s">
        <v>491</v>
      </c>
      <c r="E25" s="213"/>
      <c r="F25" s="213"/>
      <c r="G25" s="213"/>
      <c r="H25" s="213"/>
      <c r="I25" s="213"/>
      <c r="J25" s="213"/>
      <c r="K25" s="213"/>
      <c r="L25" s="213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213" t="s">
        <v>248</v>
      </c>
      <c r="Z25" s="213"/>
      <c r="AA25" s="213"/>
      <c r="AB25" s="213"/>
      <c r="AC25" s="213"/>
      <c r="AD25" s="42"/>
      <c r="AE25" s="42"/>
      <c r="AF25" s="42"/>
      <c r="AG25" s="42"/>
      <c r="AH25" s="42"/>
      <c r="AI25" s="42"/>
      <c r="AJ25" s="42"/>
      <c r="AK25" s="42"/>
      <c r="AN25" s="42"/>
      <c r="AO25" s="42"/>
    </row>
    <row r="26" spans="4:41" ht="18" x14ac:dyDescent="0.25"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</row>
  </sheetData>
  <mergeCells count="8">
    <mergeCell ref="A14:J14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0"/>
  <sheetViews>
    <sheetView topLeftCell="B22" zoomScale="70" zoomScaleNormal="70" workbookViewId="0">
      <selection activeCell="E19" sqref="E19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9.2851562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9.28515625" customWidth="1"/>
    <col min="30" max="30" width="0.85546875" customWidth="1"/>
  </cols>
  <sheetData>
    <row r="1" spans="1:30" ht="18" x14ac:dyDescent="0.25">
      <c r="A1" s="455" t="s">
        <v>77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</row>
    <row r="2" spans="1:30" ht="18" x14ac:dyDescent="0.25">
      <c r="A2" s="455" t="s">
        <v>64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</row>
    <row r="3" spans="1:30" ht="18" x14ac:dyDescent="0.25">
      <c r="A3" s="489" t="str">
        <f>PRESIDENCIA!A3</f>
        <v>SUELDO  DEL 01 AL 15 DE DICIEMBRE DE 2025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489"/>
      <c r="AB3" s="489"/>
      <c r="AC3" s="489"/>
      <c r="AD3" s="489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56" t="s">
        <v>1</v>
      </c>
      <c r="L5" s="457"/>
      <c r="M5" s="458"/>
      <c r="N5" s="24" t="s">
        <v>25</v>
      </c>
      <c r="O5" s="25"/>
      <c r="P5" s="459" t="s">
        <v>8</v>
      </c>
      <c r="Q5" s="460"/>
      <c r="R5" s="460"/>
      <c r="S5" s="460"/>
      <c r="T5" s="460"/>
      <c r="U5" s="461"/>
      <c r="V5" s="24" t="s">
        <v>29</v>
      </c>
      <c r="W5" s="24" t="s">
        <v>9</v>
      </c>
      <c r="X5" s="23" t="s">
        <v>52</v>
      </c>
      <c r="Y5" s="462" t="s">
        <v>2</v>
      </c>
      <c r="Z5" s="463"/>
      <c r="AA5" s="464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95</v>
      </c>
      <c r="C6" s="45" t="s">
        <v>115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266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96</v>
      </c>
      <c r="F8" s="37" t="s">
        <v>220</v>
      </c>
      <c r="G8" s="196" t="s">
        <v>272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18" customFormat="1" ht="230.25" customHeight="1" x14ac:dyDescent="0.2">
      <c r="A9" s="265" t="s">
        <v>82</v>
      </c>
      <c r="B9" s="289" t="s">
        <v>461</v>
      </c>
      <c r="C9" s="283" t="s">
        <v>114</v>
      </c>
      <c r="D9" s="268" t="s">
        <v>435</v>
      </c>
      <c r="E9" s="269" t="s">
        <v>462</v>
      </c>
      <c r="F9" s="362" t="s">
        <v>463</v>
      </c>
      <c r="G9" s="363">
        <v>45566</v>
      </c>
      <c r="H9" s="269" t="s">
        <v>74</v>
      </c>
      <c r="I9" s="287">
        <v>15</v>
      </c>
      <c r="J9" s="364">
        <f>K9/I9</f>
        <v>625.93333333333328</v>
      </c>
      <c r="K9" s="274">
        <v>9389</v>
      </c>
      <c r="L9" s="274"/>
      <c r="M9" s="276">
        <f t="shared" ref="M9:M22" si="0">SUM(K9:K9)</f>
        <v>9389</v>
      </c>
      <c r="N9" s="298">
        <f>IF(K9/15&lt;=SMG,0,L9/2)</f>
        <v>0</v>
      </c>
      <c r="O9" s="314">
        <f>(K9+N9)/I9*30.4</f>
        <v>19028.373333333329</v>
      </c>
      <c r="P9" s="314">
        <f>VLOOKUP(O9,Tarifa,1)</f>
        <v>15487.72</v>
      </c>
      <c r="Q9" s="298">
        <f>O9-P9</f>
        <v>3540.65333333333</v>
      </c>
      <c r="R9" s="299">
        <f>VLOOKUP(O9,Tarifa,3)</f>
        <v>0.21360000000000001</v>
      </c>
      <c r="S9" s="298">
        <f>Q9*R9</f>
        <v>756.2835519999993</v>
      </c>
      <c r="T9" s="300">
        <f>VLOOKUP(O9,Tarifa,2)</f>
        <v>1640.18</v>
      </c>
      <c r="U9" s="298">
        <f>S9+T9</f>
        <v>2396.4635519999993</v>
      </c>
      <c r="V9" s="298">
        <f>VLOOKUP(O9,Credito,2)</f>
        <v>0</v>
      </c>
      <c r="W9" s="298">
        <f>ROUND((U9-V9)/30.4*I9,2)</f>
        <v>1182.47</v>
      </c>
      <c r="X9" s="276">
        <f>-IF(W9&gt;0,0,W9)</f>
        <v>0</v>
      </c>
      <c r="Y9" s="276">
        <f>IF(K9/15&lt;=SMG,0,IF(W9&lt;0,0,W9))</f>
        <v>1182.47</v>
      </c>
      <c r="Z9" s="277">
        <v>0</v>
      </c>
      <c r="AA9" s="276">
        <f t="shared" ref="AA9:AA21" si="1">SUM(Y9:Z9)</f>
        <v>1182.47</v>
      </c>
      <c r="AB9" s="276">
        <f t="shared" ref="AB9:AB22" si="2">M9+X9-AA9</f>
        <v>8206.5300000000007</v>
      </c>
      <c r="AC9" s="365"/>
    </row>
    <row r="10" spans="1:30" s="318" customFormat="1" ht="230.25" customHeight="1" x14ac:dyDescent="0.2">
      <c r="A10" s="265" t="s">
        <v>83</v>
      </c>
      <c r="B10" s="289" t="s">
        <v>459</v>
      </c>
      <c r="C10" s="283" t="s">
        <v>114</v>
      </c>
      <c r="D10" s="268" t="s">
        <v>436</v>
      </c>
      <c r="E10" s="269" t="s">
        <v>441</v>
      </c>
      <c r="F10" s="269" t="s">
        <v>442</v>
      </c>
      <c r="G10" s="363">
        <v>45566</v>
      </c>
      <c r="H10" s="269" t="s">
        <v>74</v>
      </c>
      <c r="I10" s="287">
        <v>15</v>
      </c>
      <c r="J10" s="364">
        <f>K10/I10</f>
        <v>625.93333333333328</v>
      </c>
      <c r="K10" s="274">
        <v>9389</v>
      </c>
      <c r="L10" s="274"/>
      <c r="M10" s="276">
        <f t="shared" si="0"/>
        <v>9389</v>
      </c>
      <c r="N10" s="298">
        <f>IF(K10/15&lt;=SMG,0,L10/2)</f>
        <v>0</v>
      </c>
      <c r="O10" s="314">
        <f>(K10+N10)/I10*30.4</f>
        <v>19028.373333333329</v>
      </c>
      <c r="P10" s="314">
        <f>VLOOKUP(O10,Tarifa,1)</f>
        <v>15487.72</v>
      </c>
      <c r="Q10" s="298">
        <f>O10-P10</f>
        <v>3540.65333333333</v>
      </c>
      <c r="R10" s="299">
        <f>VLOOKUP(O10,Tarifa,3)</f>
        <v>0.21360000000000001</v>
      </c>
      <c r="S10" s="298">
        <f>Q10*R10</f>
        <v>756.2835519999993</v>
      </c>
      <c r="T10" s="300">
        <f>VLOOKUP(O10,Tarifa,2)</f>
        <v>1640.18</v>
      </c>
      <c r="U10" s="298">
        <f>S10+T10</f>
        <v>2396.4635519999993</v>
      </c>
      <c r="V10" s="298">
        <f>VLOOKUP(O10,Credito,2)</f>
        <v>0</v>
      </c>
      <c r="W10" s="298">
        <f>ROUND((U10-V10)/30.4*I10,2)</f>
        <v>1182.47</v>
      </c>
      <c r="X10" s="276">
        <f t="shared" ref="X10:X22" si="3">-IF(W10&gt;0,0,W10)</f>
        <v>0</v>
      </c>
      <c r="Y10" s="276">
        <f t="shared" ref="Y10:Y22" si="4">IF(K10/15&lt;=SMG,0,IF(W10&lt;0,0,W10))</f>
        <v>1182.47</v>
      </c>
      <c r="Z10" s="277">
        <v>0</v>
      </c>
      <c r="AA10" s="276">
        <f t="shared" si="1"/>
        <v>1182.47</v>
      </c>
      <c r="AB10" s="276">
        <f t="shared" si="2"/>
        <v>8206.5300000000007</v>
      </c>
      <c r="AC10" s="365"/>
    </row>
    <row r="11" spans="1:30" s="318" customFormat="1" ht="230.25" customHeight="1" x14ac:dyDescent="0.2">
      <c r="A11" s="265" t="s">
        <v>84</v>
      </c>
      <c r="B11" s="289" t="s">
        <v>460</v>
      </c>
      <c r="C11" s="283" t="s">
        <v>114</v>
      </c>
      <c r="D11" s="268" t="s">
        <v>457</v>
      </c>
      <c r="E11" s="269" t="s">
        <v>472</v>
      </c>
      <c r="F11" s="269" t="s">
        <v>466</v>
      </c>
      <c r="G11" s="363">
        <v>45566</v>
      </c>
      <c r="H11" s="269" t="s">
        <v>74</v>
      </c>
      <c r="I11" s="287">
        <v>15</v>
      </c>
      <c r="J11" s="364">
        <f>K11/I11</f>
        <v>625.93333333333328</v>
      </c>
      <c r="K11" s="274">
        <v>9389</v>
      </c>
      <c r="L11" s="274"/>
      <c r="M11" s="276">
        <f t="shared" si="0"/>
        <v>9389</v>
      </c>
      <c r="N11" s="298">
        <f>IF(K11/15&lt;=SMG,0,L11/2)</f>
        <v>0</v>
      </c>
      <c r="O11" s="314">
        <f>(K11+N11)/I11*30.4</f>
        <v>19028.373333333329</v>
      </c>
      <c r="P11" s="314">
        <f>VLOOKUP(O11,Tarifa,1)</f>
        <v>15487.72</v>
      </c>
      <c r="Q11" s="298">
        <f>O11-P11</f>
        <v>3540.65333333333</v>
      </c>
      <c r="R11" s="299">
        <f>VLOOKUP(O11,Tarifa,3)</f>
        <v>0.21360000000000001</v>
      </c>
      <c r="S11" s="298">
        <f>Q11*R11</f>
        <v>756.2835519999993</v>
      </c>
      <c r="T11" s="300">
        <f>VLOOKUP(O11,Tarifa,2)</f>
        <v>1640.18</v>
      </c>
      <c r="U11" s="298">
        <f>S11+T11</f>
        <v>2396.4635519999993</v>
      </c>
      <c r="V11" s="298">
        <f>VLOOKUP(O11,Credito,2)</f>
        <v>0</v>
      </c>
      <c r="W11" s="298">
        <f>ROUND((U11-V11)/30.4*I11,2)</f>
        <v>1182.47</v>
      </c>
      <c r="X11" s="276">
        <f t="shared" si="3"/>
        <v>0</v>
      </c>
      <c r="Y11" s="276">
        <f t="shared" si="4"/>
        <v>1182.47</v>
      </c>
      <c r="Z11" s="277">
        <v>0</v>
      </c>
      <c r="AA11" s="276">
        <f t="shared" si="1"/>
        <v>1182.47</v>
      </c>
      <c r="AB11" s="276">
        <f t="shared" si="2"/>
        <v>8206.5300000000007</v>
      </c>
      <c r="AC11" s="366"/>
    </row>
    <row r="12" spans="1:30" s="318" customFormat="1" ht="230.25" customHeight="1" x14ac:dyDescent="0.2">
      <c r="A12" s="265" t="s">
        <v>85</v>
      </c>
      <c r="B12" s="289" t="s">
        <v>458</v>
      </c>
      <c r="C12" s="283" t="s">
        <v>114</v>
      </c>
      <c r="D12" s="268" t="s">
        <v>437</v>
      </c>
      <c r="E12" s="269" t="s">
        <v>439</v>
      </c>
      <c r="F12" s="269" t="s">
        <v>440</v>
      </c>
      <c r="G12" s="363">
        <v>45566</v>
      </c>
      <c r="H12" s="269" t="s">
        <v>74</v>
      </c>
      <c r="I12" s="287">
        <v>15</v>
      </c>
      <c r="J12" s="364">
        <f>K12/I12</f>
        <v>625.93333333333328</v>
      </c>
      <c r="K12" s="274">
        <v>9389</v>
      </c>
      <c r="L12" s="274"/>
      <c r="M12" s="276">
        <f t="shared" ref="M12" si="5">SUM(K12:K12)</f>
        <v>9389</v>
      </c>
      <c r="N12" s="298">
        <f>IF(K12/15&lt;=SMG,0,L12/2)</f>
        <v>0</v>
      </c>
      <c r="O12" s="314">
        <f>(K12+N12)/I12*30.4</f>
        <v>19028.373333333329</v>
      </c>
      <c r="P12" s="314">
        <f>VLOOKUP(O12,Tarifa,1)</f>
        <v>15487.72</v>
      </c>
      <c r="Q12" s="298">
        <f>O12-P12</f>
        <v>3540.65333333333</v>
      </c>
      <c r="R12" s="299">
        <f>VLOOKUP(O12,Tarifa,3)</f>
        <v>0.21360000000000001</v>
      </c>
      <c r="S12" s="298">
        <f>Q12*R12</f>
        <v>756.2835519999993</v>
      </c>
      <c r="T12" s="300">
        <f>VLOOKUP(O12,Tarifa,2)</f>
        <v>1640.18</v>
      </c>
      <c r="U12" s="298">
        <f>S12+T12</f>
        <v>2396.4635519999993</v>
      </c>
      <c r="V12" s="298">
        <f>VLOOKUP(O12,Credito,2)</f>
        <v>0</v>
      </c>
      <c r="W12" s="298">
        <f>ROUND((U12-V12)/30.4*I12,2)</f>
        <v>1182.47</v>
      </c>
      <c r="X12" s="276">
        <f t="shared" si="3"/>
        <v>0</v>
      </c>
      <c r="Y12" s="276">
        <f t="shared" si="4"/>
        <v>1182.47</v>
      </c>
      <c r="Z12" s="277">
        <v>0</v>
      </c>
      <c r="AA12" s="276">
        <f t="shared" si="1"/>
        <v>1182.47</v>
      </c>
      <c r="AB12" s="276">
        <f t="shared" si="2"/>
        <v>8206.5300000000007</v>
      </c>
      <c r="AC12" s="365"/>
    </row>
    <row r="13" spans="1:30" s="318" customFormat="1" ht="230.25" customHeight="1" x14ac:dyDescent="0.2">
      <c r="A13" s="265" t="s">
        <v>86</v>
      </c>
      <c r="B13" s="289" t="s">
        <v>464</v>
      </c>
      <c r="C13" s="283" t="s">
        <v>114</v>
      </c>
      <c r="D13" s="290" t="s">
        <v>438</v>
      </c>
      <c r="E13" s="291" t="s">
        <v>367</v>
      </c>
      <c r="F13" s="293" t="s">
        <v>368</v>
      </c>
      <c r="G13" s="363">
        <v>45566</v>
      </c>
      <c r="H13" s="291" t="s">
        <v>74</v>
      </c>
      <c r="I13" s="287">
        <v>15</v>
      </c>
      <c r="J13" s="364">
        <f>K13/I13</f>
        <v>625.93333333333328</v>
      </c>
      <c r="K13" s="274">
        <v>9389</v>
      </c>
      <c r="L13" s="274"/>
      <c r="M13" s="276">
        <f t="shared" ref="M13" si="6">SUM(K13:K13)</f>
        <v>9389</v>
      </c>
      <c r="N13" s="298">
        <f>IF(K13/15&lt;=SMG,0,L13/2)</f>
        <v>0</v>
      </c>
      <c r="O13" s="314">
        <f>(K13+N13)/I13*30.4</f>
        <v>19028.373333333329</v>
      </c>
      <c r="P13" s="314">
        <f>VLOOKUP(O13,Tarifa,1)</f>
        <v>15487.72</v>
      </c>
      <c r="Q13" s="298">
        <f>O13-P13</f>
        <v>3540.65333333333</v>
      </c>
      <c r="R13" s="299">
        <f>VLOOKUP(O13,Tarifa,3)</f>
        <v>0.21360000000000001</v>
      </c>
      <c r="S13" s="298">
        <f>Q13*R13</f>
        <v>756.2835519999993</v>
      </c>
      <c r="T13" s="300">
        <f>VLOOKUP(O13,Tarifa,2)</f>
        <v>1640.18</v>
      </c>
      <c r="U13" s="298">
        <f>S13+T13</f>
        <v>2396.4635519999993</v>
      </c>
      <c r="V13" s="298">
        <f>VLOOKUP(O13,Credito,2)</f>
        <v>0</v>
      </c>
      <c r="W13" s="298">
        <f>ROUND((U13-V13)/30.4*I13,2)</f>
        <v>1182.47</v>
      </c>
      <c r="X13" s="276">
        <f t="shared" ref="X13" si="7">-IF(W13&gt;0,0,W13)</f>
        <v>0</v>
      </c>
      <c r="Y13" s="276">
        <f t="shared" si="4"/>
        <v>1182.47</v>
      </c>
      <c r="Z13" s="277">
        <v>0</v>
      </c>
      <c r="AA13" s="276">
        <f t="shared" ref="AA13" si="8">SUM(Y13:Z13)</f>
        <v>1182.47</v>
      </c>
      <c r="AB13" s="276">
        <f t="shared" ref="AB13" si="9">M13+X13-AA13</f>
        <v>8206.5300000000007</v>
      </c>
      <c r="AC13" s="365"/>
    </row>
    <row r="14" spans="1:30" ht="14.25" customHeight="1" x14ac:dyDescent="0.3">
      <c r="A14" s="143"/>
      <c r="B14" s="244"/>
      <c r="C14" s="214"/>
      <c r="D14" s="215"/>
      <c r="E14" s="216"/>
      <c r="F14" s="242"/>
      <c r="G14" s="254"/>
      <c r="H14" s="216"/>
      <c r="I14" s="245"/>
      <c r="J14" s="255"/>
      <c r="K14" s="220"/>
      <c r="L14" s="220"/>
      <c r="M14" s="222"/>
      <c r="N14" s="223"/>
      <c r="O14" s="223"/>
      <c r="P14" s="223"/>
      <c r="Q14" s="223"/>
      <c r="R14" s="224"/>
      <c r="S14" s="223"/>
      <c r="T14" s="225"/>
      <c r="U14" s="223"/>
      <c r="V14" s="223"/>
      <c r="W14" s="223"/>
      <c r="X14" s="222"/>
      <c r="Y14" s="222"/>
      <c r="Z14" s="226"/>
      <c r="AA14" s="222"/>
      <c r="AB14" s="222"/>
    </row>
    <row r="15" spans="1:30" ht="23.25" customHeight="1" x14ac:dyDescent="0.25">
      <c r="A15" s="143"/>
      <c r="B15" s="455" t="s">
        <v>77</v>
      </c>
      <c r="C15" s="455"/>
      <c r="D15" s="455"/>
      <c r="E15" s="455"/>
      <c r="F15" s="455"/>
      <c r="G15" s="455"/>
      <c r="H15" s="455"/>
      <c r="I15" s="455"/>
      <c r="J15" s="455"/>
      <c r="K15" s="455"/>
      <c r="L15" s="455"/>
      <c r="M15" s="455"/>
      <c r="N15" s="455"/>
      <c r="O15" s="455"/>
      <c r="P15" s="455"/>
      <c r="Q15" s="455"/>
      <c r="R15" s="455"/>
      <c r="S15" s="455"/>
      <c r="T15" s="455"/>
      <c r="U15" s="455"/>
      <c r="V15" s="455"/>
      <c r="W15" s="455"/>
      <c r="X15" s="455"/>
      <c r="Y15" s="455"/>
      <c r="Z15" s="455"/>
      <c r="AA15" s="455"/>
      <c r="AB15" s="455"/>
      <c r="AC15" s="455"/>
      <c r="AD15" s="455"/>
    </row>
    <row r="16" spans="1:30" ht="23.25" customHeight="1" x14ac:dyDescent="0.25">
      <c r="A16" s="143"/>
      <c r="B16" s="455" t="s">
        <v>64</v>
      </c>
      <c r="C16" s="455"/>
      <c r="D16" s="455"/>
      <c r="E16" s="455"/>
      <c r="F16" s="455"/>
      <c r="G16" s="455"/>
      <c r="H16" s="455"/>
      <c r="I16" s="455"/>
      <c r="J16" s="455"/>
      <c r="K16" s="455"/>
      <c r="L16" s="455"/>
      <c r="M16" s="455"/>
      <c r="N16" s="455"/>
      <c r="O16" s="455"/>
      <c r="P16" s="455"/>
      <c r="Q16" s="455"/>
      <c r="R16" s="455"/>
      <c r="S16" s="455"/>
      <c r="T16" s="455"/>
      <c r="U16" s="455"/>
      <c r="V16" s="455"/>
      <c r="W16" s="455"/>
      <c r="X16" s="455"/>
      <c r="Y16" s="455"/>
      <c r="Z16" s="455"/>
      <c r="AA16" s="455"/>
      <c r="AB16" s="455"/>
      <c r="AC16" s="455"/>
      <c r="AD16" s="455"/>
    </row>
    <row r="17" spans="1:31" ht="23.25" customHeight="1" x14ac:dyDescent="0.25">
      <c r="A17" s="143"/>
      <c r="B17" s="445" t="str">
        <f>PRESIDENCIA!A3</f>
        <v>SUELDO  DEL 01 AL 15 DE DICIEMBRE DE 2025</v>
      </c>
      <c r="C17" s="445"/>
      <c r="D17" s="445"/>
      <c r="E17" s="445"/>
      <c r="F17" s="445"/>
      <c r="G17" s="445"/>
      <c r="H17" s="445"/>
      <c r="I17" s="445"/>
      <c r="J17" s="445"/>
      <c r="K17" s="445"/>
      <c r="L17" s="445"/>
      <c r="M17" s="445"/>
      <c r="N17" s="445"/>
      <c r="O17" s="445"/>
      <c r="P17" s="445"/>
      <c r="Q17" s="445"/>
      <c r="R17" s="445"/>
      <c r="S17" s="445"/>
      <c r="T17" s="445"/>
      <c r="U17" s="445"/>
      <c r="V17" s="445"/>
      <c r="W17" s="445"/>
      <c r="X17" s="445"/>
      <c r="Y17" s="445"/>
      <c r="Z17" s="445"/>
      <c r="AA17" s="445"/>
      <c r="AB17" s="445"/>
      <c r="AC17" s="445"/>
      <c r="AD17" s="445"/>
      <c r="AE17" s="445"/>
    </row>
    <row r="18" spans="1:31" ht="28.5" customHeight="1" x14ac:dyDescent="0.3">
      <c r="A18" s="143"/>
      <c r="B18" s="244"/>
      <c r="C18" s="214"/>
      <c r="D18" s="215"/>
      <c r="E18" s="216"/>
      <c r="F18" s="242"/>
      <c r="G18" s="254"/>
      <c r="H18" s="216"/>
      <c r="I18" s="245"/>
      <c r="J18" s="255"/>
      <c r="K18" s="220"/>
      <c r="L18" s="220"/>
      <c r="M18" s="222"/>
      <c r="N18" s="223"/>
      <c r="O18" s="223"/>
      <c r="P18" s="223"/>
      <c r="Q18" s="223"/>
      <c r="R18" s="224"/>
      <c r="S18" s="223"/>
      <c r="T18" s="225"/>
      <c r="U18" s="223"/>
      <c r="V18" s="223"/>
      <c r="W18" s="223"/>
      <c r="X18" s="222"/>
      <c r="Y18" s="222"/>
      <c r="Z18" s="226"/>
      <c r="AA18" s="222"/>
      <c r="AB18" s="222"/>
    </row>
    <row r="19" spans="1:31" s="318" customFormat="1" ht="216.75" customHeight="1" x14ac:dyDescent="0.2">
      <c r="A19" s="265" t="s">
        <v>87</v>
      </c>
      <c r="B19" s="289" t="s">
        <v>447</v>
      </c>
      <c r="C19" s="283" t="s">
        <v>114</v>
      </c>
      <c r="D19" s="268" t="s">
        <v>448</v>
      </c>
      <c r="E19" s="269" t="s">
        <v>455</v>
      </c>
      <c r="F19" s="269" t="s">
        <v>456</v>
      </c>
      <c r="G19" s="363">
        <v>45566</v>
      </c>
      <c r="H19" s="269" t="s">
        <v>74</v>
      </c>
      <c r="I19" s="287">
        <v>15</v>
      </c>
      <c r="J19" s="364">
        <f>K19/I19</f>
        <v>625.93333333333328</v>
      </c>
      <c r="K19" s="274">
        <v>9389</v>
      </c>
      <c r="L19" s="274"/>
      <c r="M19" s="276">
        <f t="shared" si="0"/>
        <v>9389</v>
      </c>
      <c r="N19" s="298">
        <f>IF(K19/15&lt;=SMG,0,L19/2)</f>
        <v>0</v>
      </c>
      <c r="O19" s="314">
        <f>(K19+N19)/I19*30.4</f>
        <v>19028.373333333329</v>
      </c>
      <c r="P19" s="314">
        <f>VLOOKUP(O19,Tarifa,1)</f>
        <v>15487.72</v>
      </c>
      <c r="Q19" s="298">
        <f>O19-P19</f>
        <v>3540.65333333333</v>
      </c>
      <c r="R19" s="299">
        <f>VLOOKUP(O19,Tarifa,3)</f>
        <v>0.21360000000000001</v>
      </c>
      <c r="S19" s="298">
        <f>Q19*R19</f>
        <v>756.2835519999993</v>
      </c>
      <c r="T19" s="300">
        <f>VLOOKUP(O19,Tarifa,2)</f>
        <v>1640.18</v>
      </c>
      <c r="U19" s="298">
        <f>S19+T19</f>
        <v>2396.4635519999993</v>
      </c>
      <c r="V19" s="298">
        <f>VLOOKUP(O19,Credito,2)</f>
        <v>0</v>
      </c>
      <c r="W19" s="298">
        <f>ROUND((U19-V19)/30.4*I19,2)</f>
        <v>1182.47</v>
      </c>
      <c r="X19" s="276">
        <f t="shared" si="3"/>
        <v>0</v>
      </c>
      <c r="Y19" s="276">
        <f t="shared" si="4"/>
        <v>1182.47</v>
      </c>
      <c r="Z19" s="277">
        <v>0</v>
      </c>
      <c r="AA19" s="276">
        <f t="shared" si="1"/>
        <v>1182.47</v>
      </c>
      <c r="AB19" s="276">
        <f t="shared" si="2"/>
        <v>8206.5300000000007</v>
      </c>
      <c r="AC19" s="365"/>
    </row>
    <row r="20" spans="1:31" s="318" customFormat="1" ht="216.75" customHeight="1" x14ac:dyDescent="0.2">
      <c r="A20" s="265" t="s">
        <v>88</v>
      </c>
      <c r="B20" s="289" t="s">
        <v>444</v>
      </c>
      <c r="C20" s="283" t="s">
        <v>114</v>
      </c>
      <c r="D20" s="268" t="s">
        <v>443</v>
      </c>
      <c r="E20" s="269" t="s">
        <v>445</v>
      </c>
      <c r="F20" s="269" t="s">
        <v>446</v>
      </c>
      <c r="G20" s="363">
        <v>45566</v>
      </c>
      <c r="H20" s="269" t="s">
        <v>74</v>
      </c>
      <c r="I20" s="287">
        <v>15</v>
      </c>
      <c r="J20" s="364">
        <f>K20/I20</f>
        <v>625.93333333333328</v>
      </c>
      <c r="K20" s="274">
        <v>9389</v>
      </c>
      <c r="L20" s="274"/>
      <c r="M20" s="276">
        <f t="shared" si="0"/>
        <v>9389</v>
      </c>
      <c r="N20" s="298">
        <f>IF(K20/15&lt;=SMG,0,L20/2)</f>
        <v>0</v>
      </c>
      <c r="O20" s="314">
        <f>(K20+N20)/I20*30.4</f>
        <v>19028.373333333329</v>
      </c>
      <c r="P20" s="314">
        <f>VLOOKUP(O20,Tarifa,1)</f>
        <v>15487.72</v>
      </c>
      <c r="Q20" s="298">
        <f>O20-P20</f>
        <v>3540.65333333333</v>
      </c>
      <c r="R20" s="299">
        <f>VLOOKUP(O20,Tarifa,3)</f>
        <v>0.21360000000000001</v>
      </c>
      <c r="S20" s="298">
        <f>Q20*R20</f>
        <v>756.2835519999993</v>
      </c>
      <c r="T20" s="300">
        <f>VLOOKUP(O20,Tarifa,2)</f>
        <v>1640.18</v>
      </c>
      <c r="U20" s="298">
        <f>S20+T20</f>
        <v>2396.4635519999993</v>
      </c>
      <c r="V20" s="298">
        <f>VLOOKUP(O20,Credito,2)</f>
        <v>0</v>
      </c>
      <c r="W20" s="298">
        <f>ROUND((U20-V20)/30.4*I20,2)</f>
        <v>1182.47</v>
      </c>
      <c r="X20" s="276">
        <f t="shared" si="3"/>
        <v>0</v>
      </c>
      <c r="Y20" s="276">
        <f t="shared" si="4"/>
        <v>1182.47</v>
      </c>
      <c r="Z20" s="277">
        <v>0</v>
      </c>
      <c r="AA20" s="276">
        <f t="shared" si="1"/>
        <v>1182.47</v>
      </c>
      <c r="AB20" s="276">
        <f t="shared" si="2"/>
        <v>8206.5300000000007</v>
      </c>
      <c r="AC20" s="365"/>
    </row>
    <row r="21" spans="1:31" s="318" customFormat="1" ht="216.75" customHeight="1" x14ac:dyDescent="0.2">
      <c r="A21" s="265" t="s">
        <v>89</v>
      </c>
      <c r="B21" s="289" t="s">
        <v>467</v>
      </c>
      <c r="C21" s="283" t="s">
        <v>114</v>
      </c>
      <c r="D21" s="268" t="s">
        <v>453</v>
      </c>
      <c r="E21" s="269" t="s">
        <v>500</v>
      </c>
      <c r="F21" s="269" t="s">
        <v>469</v>
      </c>
      <c r="G21" s="363">
        <v>45566</v>
      </c>
      <c r="H21" s="269" t="s">
        <v>74</v>
      </c>
      <c r="I21" s="287">
        <v>15</v>
      </c>
      <c r="J21" s="364">
        <f>K21/I21</f>
        <v>625.93333333333328</v>
      </c>
      <c r="K21" s="274">
        <v>9389</v>
      </c>
      <c r="L21" s="274"/>
      <c r="M21" s="276">
        <f t="shared" si="0"/>
        <v>9389</v>
      </c>
      <c r="N21" s="298">
        <f>IF(K21/15&lt;=SMG,0,L21/2)</f>
        <v>0</v>
      </c>
      <c r="O21" s="314">
        <f>(K21+N21)/I21*30.4</f>
        <v>19028.373333333329</v>
      </c>
      <c r="P21" s="314">
        <f>VLOOKUP(O21,Tarifa,1)</f>
        <v>15487.72</v>
      </c>
      <c r="Q21" s="298">
        <f>O21-P21</f>
        <v>3540.65333333333</v>
      </c>
      <c r="R21" s="299">
        <f>VLOOKUP(O21,Tarifa,3)</f>
        <v>0.21360000000000001</v>
      </c>
      <c r="S21" s="298">
        <f>Q21*R21</f>
        <v>756.2835519999993</v>
      </c>
      <c r="T21" s="300">
        <f>VLOOKUP(O21,Tarifa,2)</f>
        <v>1640.18</v>
      </c>
      <c r="U21" s="298">
        <f>S21+T21</f>
        <v>2396.4635519999993</v>
      </c>
      <c r="V21" s="298">
        <f>VLOOKUP(O21,Credito,2)</f>
        <v>0</v>
      </c>
      <c r="W21" s="298">
        <f>ROUND((U21-V21)/30.4*I21,2)</f>
        <v>1182.47</v>
      </c>
      <c r="X21" s="276">
        <f t="shared" si="3"/>
        <v>0</v>
      </c>
      <c r="Y21" s="276">
        <f t="shared" si="4"/>
        <v>1182.47</v>
      </c>
      <c r="Z21" s="277">
        <v>0</v>
      </c>
      <c r="AA21" s="276">
        <f t="shared" si="1"/>
        <v>1182.47</v>
      </c>
      <c r="AB21" s="276">
        <f t="shared" si="2"/>
        <v>8206.5300000000007</v>
      </c>
      <c r="AC21" s="365"/>
    </row>
    <row r="22" spans="1:31" s="318" customFormat="1" ht="216.75" customHeight="1" x14ac:dyDescent="0.2">
      <c r="A22" s="265" t="s">
        <v>90</v>
      </c>
      <c r="B22" s="289" t="s">
        <v>468</v>
      </c>
      <c r="C22" s="283" t="s">
        <v>114</v>
      </c>
      <c r="D22" s="268" t="s">
        <v>454</v>
      </c>
      <c r="E22" s="269" t="s">
        <v>470</v>
      </c>
      <c r="F22" s="269" t="s">
        <v>471</v>
      </c>
      <c r="G22" s="363">
        <v>45566</v>
      </c>
      <c r="H22" s="269" t="s">
        <v>74</v>
      </c>
      <c r="I22" s="287">
        <v>15</v>
      </c>
      <c r="J22" s="364">
        <f>K22/I22</f>
        <v>625.93333333333328</v>
      </c>
      <c r="K22" s="274">
        <v>9389</v>
      </c>
      <c r="L22" s="274"/>
      <c r="M22" s="276">
        <f t="shared" si="0"/>
        <v>9389</v>
      </c>
      <c r="N22" s="298">
        <f>IF(K22/15&lt;=SMG,0,L22/2)</f>
        <v>0</v>
      </c>
      <c r="O22" s="314">
        <f>(K22+N22)/I22*30.4</f>
        <v>19028.373333333329</v>
      </c>
      <c r="P22" s="314">
        <f>VLOOKUP(O22,Tarifa,1)</f>
        <v>15487.72</v>
      </c>
      <c r="Q22" s="298">
        <f>O22-P22</f>
        <v>3540.65333333333</v>
      </c>
      <c r="R22" s="299">
        <f>VLOOKUP(O22,Tarifa,3)</f>
        <v>0.21360000000000001</v>
      </c>
      <c r="S22" s="298">
        <f>Q22*R22</f>
        <v>756.2835519999993</v>
      </c>
      <c r="T22" s="300">
        <f>VLOOKUP(O22,Tarifa,2)</f>
        <v>1640.18</v>
      </c>
      <c r="U22" s="298">
        <f>S22+T22</f>
        <v>2396.4635519999993</v>
      </c>
      <c r="V22" s="298">
        <f>VLOOKUP(O22,Credito,2)</f>
        <v>0</v>
      </c>
      <c r="W22" s="298">
        <f>ROUND((U22-V22)/30.4*I22,2)</f>
        <v>1182.47</v>
      </c>
      <c r="X22" s="276">
        <f t="shared" si="3"/>
        <v>0</v>
      </c>
      <c r="Y22" s="276">
        <f t="shared" si="4"/>
        <v>1182.47</v>
      </c>
      <c r="Z22" s="277">
        <v>0</v>
      </c>
      <c r="AA22" s="276">
        <f>SUM(Y22:Z22)</f>
        <v>1182.47</v>
      </c>
      <c r="AB22" s="276">
        <f t="shared" si="2"/>
        <v>8206.5300000000007</v>
      </c>
      <c r="AC22" s="365"/>
    </row>
    <row r="23" spans="1:31" ht="21.75" customHeight="1" x14ac:dyDescent="0.25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44"/>
      <c r="L23" s="144"/>
      <c r="M23" s="144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31" ht="40.5" customHeight="1" thickBot="1" x14ac:dyDescent="0.35">
      <c r="A24" s="441" t="s">
        <v>44</v>
      </c>
      <c r="B24" s="442"/>
      <c r="C24" s="442"/>
      <c r="D24" s="442"/>
      <c r="E24" s="442"/>
      <c r="F24" s="442"/>
      <c r="G24" s="442"/>
      <c r="H24" s="442"/>
      <c r="I24" s="442"/>
      <c r="J24" s="443"/>
      <c r="K24" s="208">
        <f>SUM(K9:K23)</f>
        <v>84501</v>
      </c>
      <c r="L24" s="208"/>
      <c r="M24" s="208">
        <f>SUM(M9:M23)</f>
        <v>84501</v>
      </c>
      <c r="N24" s="209">
        <f t="shared" ref="N24:W24" si="10">SUM(N9:N23)</f>
        <v>0</v>
      </c>
      <c r="O24" s="209">
        <f t="shared" si="10"/>
        <v>171255.35999999993</v>
      </c>
      <c r="P24" s="209">
        <f t="shared" si="10"/>
        <v>139389.47999999998</v>
      </c>
      <c r="Q24" s="209">
        <f t="shared" si="10"/>
        <v>31865.879999999961</v>
      </c>
      <c r="R24" s="209">
        <f t="shared" si="10"/>
        <v>1.9224000000000001</v>
      </c>
      <c r="S24" s="209">
        <f t="shared" si="10"/>
        <v>6806.5519679999925</v>
      </c>
      <c r="T24" s="209">
        <f t="shared" si="10"/>
        <v>14761.62</v>
      </c>
      <c r="U24" s="209">
        <f t="shared" si="10"/>
        <v>21568.171967999995</v>
      </c>
      <c r="V24" s="209">
        <f t="shared" si="10"/>
        <v>0</v>
      </c>
      <c r="W24" s="209">
        <f t="shared" si="10"/>
        <v>10642.23</v>
      </c>
      <c r="X24" s="208">
        <f>SUM(X9:X23)</f>
        <v>0</v>
      </c>
      <c r="Y24" s="208">
        <f>SUM(Y9:Y23)</f>
        <v>10642.23</v>
      </c>
      <c r="Z24" s="208">
        <f>SUM(Z9:Z23)</f>
        <v>0</v>
      </c>
      <c r="AA24" s="208">
        <f>SUM(AA9:AA23)</f>
        <v>10642.23</v>
      </c>
      <c r="AB24" s="208">
        <f>SUM(AB9:AB23)</f>
        <v>73858.77</v>
      </c>
    </row>
    <row r="25" spans="1:31" ht="13.5" thickTop="1" x14ac:dyDescent="0.2"/>
    <row r="39" spans="4:42" ht="15" x14ac:dyDescent="0.25">
      <c r="D39" s="94" t="s">
        <v>476</v>
      </c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4" t="s">
        <v>146</v>
      </c>
      <c r="AA39" s="91"/>
      <c r="AB39" s="91"/>
    </row>
    <row r="40" spans="4:42" ht="15" x14ac:dyDescent="0.25">
      <c r="D40" s="94" t="s">
        <v>491</v>
      </c>
      <c r="E40" s="94"/>
      <c r="F40" s="94"/>
      <c r="G40" s="94"/>
      <c r="H40" s="94"/>
      <c r="I40" s="94"/>
      <c r="J40" s="94"/>
      <c r="K40" s="94"/>
      <c r="L40" s="94"/>
      <c r="M40" s="94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215</v>
      </c>
      <c r="AA40" s="91"/>
      <c r="AB40" s="94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O40" s="42"/>
      <c r="AP40" s="42"/>
    </row>
  </sheetData>
  <sortState xmlns:xlrd2="http://schemas.microsoft.com/office/spreadsheetml/2017/richdata2" ref="D9:F22">
    <sortCondition ref="D9"/>
  </sortState>
  <mergeCells count="10">
    <mergeCell ref="A24:J24"/>
    <mergeCell ref="A1:AC1"/>
    <mergeCell ref="A2:AC2"/>
    <mergeCell ref="K5:M5"/>
    <mergeCell ref="P5:U5"/>
    <mergeCell ref="Y5:AA5"/>
    <mergeCell ref="A3:AD3"/>
    <mergeCell ref="B15:AD15"/>
    <mergeCell ref="B16:AD16"/>
    <mergeCell ref="B17:AE17"/>
  </mergeCells>
  <pageMargins left="0.27559055118110237" right="0.39370078740157483" top="0.74803149606299213" bottom="0.19685039370078741" header="0.31496062992125984" footer="0.31496062992125984"/>
  <pageSetup scale="41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4"/>
  <sheetViews>
    <sheetView zoomScale="70" zoomScaleNormal="70" workbookViewId="0">
      <selection activeCell="W40" sqref="W40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55" t="s">
        <v>77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</row>
    <row r="2" spans="1:29" ht="18" x14ac:dyDescent="0.25">
      <c r="A2" s="455" t="s">
        <v>64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</row>
    <row r="3" spans="1:29" ht="19.5" x14ac:dyDescent="0.25">
      <c r="A3" s="445" t="str">
        <f>PRESIDENCIA!A3</f>
        <v>SUELDO  DEL 01 AL 15 DE DICIEMBRE DE 2025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445"/>
      <c r="T3" s="445"/>
      <c r="U3" s="445"/>
      <c r="V3" s="445"/>
      <c r="W3" s="445"/>
      <c r="X3" s="445"/>
      <c r="Y3" s="445"/>
      <c r="Z3" s="445"/>
      <c r="AA3" s="445"/>
      <c r="AB3" s="445"/>
      <c r="AC3" s="445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56" t="s">
        <v>1</v>
      </c>
      <c r="K5" s="457"/>
      <c r="L5" s="458"/>
      <c r="M5" s="24" t="s">
        <v>25</v>
      </c>
      <c r="N5" s="25"/>
      <c r="O5" s="459" t="s">
        <v>8</v>
      </c>
      <c r="P5" s="460"/>
      <c r="Q5" s="460"/>
      <c r="R5" s="460"/>
      <c r="S5" s="460"/>
      <c r="T5" s="461"/>
      <c r="U5" s="24" t="s">
        <v>29</v>
      </c>
      <c r="V5" s="24" t="s">
        <v>9</v>
      </c>
      <c r="W5" s="23" t="s">
        <v>52</v>
      </c>
      <c r="X5" s="462" t="s">
        <v>2</v>
      </c>
      <c r="Y5" s="463"/>
      <c r="Z5" s="464"/>
      <c r="AA5" s="23" t="s">
        <v>0</v>
      </c>
      <c r="AB5" s="33"/>
    </row>
    <row r="6" spans="1:29" ht="22.5" x14ac:dyDescent="0.2">
      <c r="A6" s="45" t="s">
        <v>95</v>
      </c>
      <c r="B6" s="45" t="s">
        <v>115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266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37" t="s">
        <v>73</v>
      </c>
      <c r="D8" s="238" t="s">
        <v>96</v>
      </c>
      <c r="E8" s="238" t="s">
        <v>220</v>
      </c>
      <c r="F8" s="239" t="s">
        <v>272</v>
      </c>
      <c r="G8" s="238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18" customFormat="1" ht="222" customHeight="1" x14ac:dyDescent="0.2">
      <c r="A9" s="289" t="s">
        <v>473</v>
      </c>
      <c r="B9" s="283" t="s">
        <v>114</v>
      </c>
      <c r="C9" s="268" t="s">
        <v>429</v>
      </c>
      <c r="D9" s="269" t="s">
        <v>430</v>
      </c>
      <c r="E9" s="368" t="s">
        <v>465</v>
      </c>
      <c r="F9" s="361">
        <v>45566</v>
      </c>
      <c r="G9" s="271" t="s">
        <v>218</v>
      </c>
      <c r="H9" s="272">
        <v>15</v>
      </c>
      <c r="I9" s="273">
        <f>J9/H9</f>
        <v>1332.8</v>
      </c>
      <c r="J9" s="274">
        <v>19992</v>
      </c>
      <c r="K9" s="275">
        <v>0</v>
      </c>
      <c r="L9" s="276">
        <f>SUM(J9:K9)</f>
        <v>19992</v>
      </c>
      <c r="M9" s="298">
        <f>IF(J9/15&lt;=SMG,0,K9/2)</f>
        <v>0</v>
      </c>
      <c r="N9" s="314">
        <f>(J9+M9)/H9*30.4</f>
        <v>40517.119999999995</v>
      </c>
      <c r="O9" s="314">
        <f>VLOOKUP(N9,Tarifa,1)</f>
        <v>31236.5</v>
      </c>
      <c r="P9" s="298">
        <f>N9-O9</f>
        <v>9280.6199999999953</v>
      </c>
      <c r="Q9" s="299">
        <f>VLOOKUP(N9,Tarifa,3)</f>
        <v>0.23519999999999999</v>
      </c>
      <c r="R9" s="298">
        <f>P9*Q9</f>
        <v>2182.8018239999988</v>
      </c>
      <c r="S9" s="300">
        <f>VLOOKUP(N9,Tarifa,2)</f>
        <v>5004.12</v>
      </c>
      <c r="T9" s="298">
        <f>R9+S9</f>
        <v>7186.9218239999991</v>
      </c>
      <c r="U9" s="298">
        <f>VLOOKUP(N9,Credito,2)</f>
        <v>0</v>
      </c>
      <c r="V9" s="298">
        <f>ROUND((T9-U9)/30.4*H9,2)</f>
        <v>3546.18</v>
      </c>
      <c r="W9" s="276">
        <f>-IF(V9&gt;0,0,0)</f>
        <v>0</v>
      </c>
      <c r="X9" s="276">
        <f>IF(J9/15&lt;=SMG,0,IF(V9&lt;0,0,V9))</f>
        <v>3546.18</v>
      </c>
      <c r="Y9" s="277">
        <v>0</v>
      </c>
      <c r="Z9" s="276">
        <f>SUM(X9:Y9)</f>
        <v>3546.18</v>
      </c>
      <c r="AA9" s="276">
        <f>L9+W9-Z9</f>
        <v>16445.82</v>
      </c>
      <c r="AB9" s="369"/>
    </row>
    <row r="10" spans="1:29" ht="18" x14ac:dyDescent="0.25">
      <c r="A10" s="138"/>
      <c r="B10" s="138"/>
      <c r="C10" s="138"/>
      <c r="D10" s="138"/>
      <c r="E10" s="138"/>
      <c r="F10" s="138"/>
      <c r="G10" s="138"/>
      <c r="H10" s="139"/>
      <c r="I10" s="138"/>
      <c r="J10" s="140"/>
      <c r="K10" s="140"/>
      <c r="L10" s="140"/>
      <c r="M10" s="141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</row>
    <row r="11" spans="1:29" ht="41.25" customHeight="1" thickBot="1" x14ac:dyDescent="0.3">
      <c r="A11" s="442"/>
      <c r="B11" s="442"/>
      <c r="C11" s="442"/>
      <c r="D11" s="442"/>
      <c r="E11" s="442"/>
      <c r="F11" s="442"/>
      <c r="G11" s="442"/>
      <c r="H11" s="442"/>
      <c r="I11" s="443"/>
      <c r="J11" s="136">
        <f>SUM(J9:J9)</f>
        <v>19992</v>
      </c>
      <c r="K11" s="136">
        <f>SUM(K9:K9)</f>
        <v>0</v>
      </c>
      <c r="L11" s="136">
        <f>SUM(L9:L9)</f>
        <v>19992</v>
      </c>
      <c r="M11" s="137">
        <f t="shared" ref="M11:V11" si="0">SUM(M10:M10)</f>
        <v>0</v>
      </c>
      <c r="N11" s="137">
        <f t="shared" si="0"/>
        <v>0</v>
      </c>
      <c r="O11" s="137">
        <f t="shared" si="0"/>
        <v>0</v>
      </c>
      <c r="P11" s="137">
        <f t="shared" si="0"/>
        <v>0</v>
      </c>
      <c r="Q11" s="137">
        <f t="shared" si="0"/>
        <v>0</v>
      </c>
      <c r="R11" s="137">
        <f t="shared" si="0"/>
        <v>0</v>
      </c>
      <c r="S11" s="137">
        <f t="shared" si="0"/>
        <v>0</v>
      </c>
      <c r="T11" s="137">
        <f t="shared" si="0"/>
        <v>0</v>
      </c>
      <c r="U11" s="137">
        <f t="shared" si="0"/>
        <v>0</v>
      </c>
      <c r="V11" s="137">
        <f t="shared" si="0"/>
        <v>0</v>
      </c>
      <c r="W11" s="136">
        <f>SUM(W9:W9)</f>
        <v>0</v>
      </c>
      <c r="X11" s="136">
        <f>SUM(X9:X9)</f>
        <v>3546.18</v>
      </c>
      <c r="Y11" s="136">
        <f>SUM(Y9:Y9)</f>
        <v>0</v>
      </c>
      <c r="Z11" s="136">
        <f>SUM(Z9:Z9)</f>
        <v>3546.18</v>
      </c>
      <c r="AA11" s="136">
        <f>SUM(AA9:AA9)</f>
        <v>16445.82</v>
      </c>
    </row>
    <row r="12" spans="1:29" ht="13.5" thickTop="1" x14ac:dyDescent="0.2"/>
    <row r="22" spans="3:28" ht="14.25" x14ac:dyDescent="0.2"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3:28" ht="15" x14ac:dyDescent="0.25">
      <c r="C23" s="94" t="s">
        <v>476</v>
      </c>
      <c r="D23" s="52"/>
      <c r="E23" s="52"/>
      <c r="F23" s="52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4" t="s">
        <v>147</v>
      </c>
      <c r="Y23" s="91"/>
      <c r="Z23" s="91"/>
      <c r="AA23" s="91"/>
      <c r="AB23" s="91"/>
    </row>
    <row r="24" spans="3:28" ht="15" x14ac:dyDescent="0.25">
      <c r="C24" s="490" t="s">
        <v>491</v>
      </c>
      <c r="D24" s="491"/>
      <c r="E24" s="61"/>
      <c r="F24" s="61"/>
      <c r="G24" s="94"/>
      <c r="H24" s="94"/>
      <c r="I24" s="94"/>
      <c r="J24" s="94"/>
      <c r="K24" s="94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211</v>
      </c>
      <c r="Y24" s="91"/>
      <c r="Z24" s="94"/>
      <c r="AA24" s="94"/>
      <c r="AB24" s="94"/>
    </row>
  </sheetData>
  <mergeCells count="8">
    <mergeCell ref="C24:D24"/>
    <mergeCell ref="A11:I11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2025-12-16T17:29:49Z</cp:lastPrinted>
  <dcterms:created xsi:type="dcterms:W3CDTF">2000-05-05T04:08:27Z</dcterms:created>
  <dcterms:modified xsi:type="dcterms:W3CDTF">2025-12-16T17:29:51Z</dcterms:modified>
</cp:coreProperties>
</file>