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75CB952D-F65D-472E-96D0-4B86A6E90EB1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19" l="1"/>
  <c r="N37" i="135"/>
  <c r="O37" i="135" s="1"/>
  <c r="M37" i="135"/>
  <c r="J37" i="135"/>
  <c r="N38" i="135"/>
  <c r="O38" i="135" s="1"/>
  <c r="M38" i="135"/>
  <c r="J38" i="135"/>
  <c r="Y40" i="121"/>
  <c r="X40" i="121"/>
  <c r="M40" i="121"/>
  <c r="L40" i="121"/>
  <c r="K40" i="121"/>
  <c r="N27" i="121"/>
  <c r="O27" i="121" s="1"/>
  <c r="M27" i="121"/>
  <c r="N33" i="121"/>
  <c r="O33" i="121" s="1"/>
  <c r="M33" i="121"/>
  <c r="J33" i="121"/>
  <c r="Z32" i="121"/>
  <c r="M32" i="121"/>
  <c r="L32" i="121"/>
  <c r="K32" i="121"/>
  <c r="N21" i="132"/>
  <c r="O21" i="132" s="1"/>
  <c r="M21" i="132"/>
  <c r="N12" i="132"/>
  <c r="O12" i="132" s="1"/>
  <c r="M12" i="132"/>
  <c r="AB11" i="123"/>
  <c r="AA11" i="123"/>
  <c r="Z11" i="123"/>
  <c r="Y11" i="123"/>
  <c r="X11" i="123"/>
  <c r="M11" i="123"/>
  <c r="L11" i="123"/>
  <c r="K11" i="123"/>
  <c r="Y13" i="123"/>
  <c r="AA13" i="123" s="1"/>
  <c r="N13" i="123"/>
  <c r="O13" i="123" s="1"/>
  <c r="M13" i="123"/>
  <c r="J13" i="123"/>
  <c r="V37" i="135" l="1"/>
  <c r="T37" i="135"/>
  <c r="R37" i="135"/>
  <c r="P37" i="135"/>
  <c r="Q37" i="135" s="1"/>
  <c r="S37" i="135" s="1"/>
  <c r="U37" i="135" s="1"/>
  <c r="P38" i="135"/>
  <c r="Q38" i="135" s="1"/>
  <c r="V38" i="135"/>
  <c r="T38" i="135"/>
  <c r="R38" i="135"/>
  <c r="V27" i="121"/>
  <c r="T27" i="121"/>
  <c r="R27" i="121"/>
  <c r="P27" i="121"/>
  <c r="Q27" i="121" s="1"/>
  <c r="S27" i="121" s="1"/>
  <c r="U27" i="121" s="1"/>
  <c r="W27" i="121" s="1"/>
  <c r="V33" i="121"/>
  <c r="T33" i="121"/>
  <c r="R33" i="121"/>
  <c r="P33" i="121"/>
  <c r="Q33" i="121" s="1"/>
  <c r="S33" i="121" s="1"/>
  <c r="U33" i="121" s="1"/>
  <c r="W33" i="121" s="1"/>
  <c r="V21" i="132"/>
  <c r="T21" i="132"/>
  <c r="R21" i="132"/>
  <c r="P21" i="132"/>
  <c r="Q21" i="132" s="1"/>
  <c r="S21" i="132" s="1"/>
  <c r="U21" i="132" s="1"/>
  <c r="W21" i="132" s="1"/>
  <c r="V12" i="132"/>
  <c r="T12" i="132"/>
  <c r="R12" i="132"/>
  <c r="P12" i="132"/>
  <c r="Q12" i="132" s="1"/>
  <c r="S12" i="132" s="1"/>
  <c r="U12" i="132" s="1"/>
  <c r="W12" i="132" s="1"/>
  <c r="P13" i="123"/>
  <c r="V13" i="123"/>
  <c r="T13" i="123"/>
  <c r="R13" i="123"/>
  <c r="Q13" i="123"/>
  <c r="S13" i="123" s="1"/>
  <c r="W37" i="135" l="1"/>
  <c r="X37" i="135" s="1"/>
  <c r="S38" i="135"/>
  <c r="U38" i="135" s="1"/>
  <c r="W38" i="135" s="1"/>
  <c r="Y27" i="121"/>
  <c r="AA27" i="121" s="1"/>
  <c r="X27" i="121"/>
  <c r="AB27" i="121" s="1"/>
  <c r="Y33" i="121"/>
  <c r="X33" i="121"/>
  <c r="Y21" i="132"/>
  <c r="AA21" i="132" s="1"/>
  <c r="X21" i="132"/>
  <c r="X12" i="132"/>
  <c r="Y12" i="132"/>
  <c r="AA12" i="132" s="1"/>
  <c r="U13" i="123"/>
  <c r="W13" i="123" s="1"/>
  <c r="X13" i="123" s="1"/>
  <c r="AB13" i="123" s="1"/>
  <c r="Y37" i="135" l="1"/>
  <c r="AA37" i="135" s="1"/>
  <c r="AB37" i="135" s="1"/>
  <c r="Y38" i="135"/>
  <c r="AA38" i="135" s="1"/>
  <c r="X38" i="135"/>
  <c r="X32" i="121"/>
  <c r="AA33" i="121"/>
  <c r="AA32" i="121" s="1"/>
  <c r="Y32" i="121"/>
  <c r="AB21" i="132"/>
  <c r="AB12" i="132"/>
  <c r="N9" i="132"/>
  <c r="O9" i="132" s="1"/>
  <c r="M9" i="132"/>
  <c r="AB38" i="135" l="1"/>
  <c r="AB33" i="121"/>
  <c r="AB32" i="121" s="1"/>
  <c r="V9" i="132"/>
  <c r="T9" i="132"/>
  <c r="R9" i="132"/>
  <c r="P9" i="132"/>
  <c r="Q9" i="132" s="1"/>
  <c r="S9" i="132" s="1"/>
  <c r="U9" i="132" s="1"/>
  <c r="W9" i="132" s="1"/>
  <c r="N11" i="133"/>
  <c r="O11" i="133" s="1"/>
  <c r="M11" i="133"/>
  <c r="J11" i="133"/>
  <c r="N31" i="135"/>
  <c r="O31" i="135" s="1"/>
  <c r="M31" i="135"/>
  <c r="J31" i="135"/>
  <c r="J25" i="135"/>
  <c r="M25" i="135"/>
  <c r="N25" i="135"/>
  <c r="O25" i="135" s="1"/>
  <c r="N12" i="135"/>
  <c r="O12" i="135" s="1"/>
  <c r="M12" i="135"/>
  <c r="J12" i="135"/>
  <c r="N55" i="123"/>
  <c r="O55" i="123" s="1"/>
  <c r="M55" i="123"/>
  <c r="J55" i="123"/>
  <c r="N9" i="120"/>
  <c r="O9" i="120" s="1"/>
  <c r="M9" i="120"/>
  <c r="Y9" i="132" l="1"/>
  <c r="AA9" i="132" s="1"/>
  <c r="X9" i="132"/>
  <c r="AB9" i="132" s="1"/>
  <c r="V11" i="133"/>
  <c r="T11" i="133"/>
  <c r="R11" i="133"/>
  <c r="P11" i="133"/>
  <c r="Q11" i="133" s="1"/>
  <c r="S11" i="133" s="1"/>
  <c r="U11" i="133" s="1"/>
  <c r="W11" i="133" s="1"/>
  <c r="V31" i="135"/>
  <c r="T31" i="135"/>
  <c r="R31" i="135"/>
  <c r="P31" i="135"/>
  <c r="Q31" i="135" s="1"/>
  <c r="P25" i="135"/>
  <c r="Q25" i="135" s="1"/>
  <c r="R25" i="135"/>
  <c r="T25" i="135"/>
  <c r="V25" i="135"/>
  <c r="V12" i="135"/>
  <c r="T12" i="135"/>
  <c r="R12" i="135"/>
  <c r="P12" i="135"/>
  <c r="Q12" i="135" s="1"/>
  <c r="V55" i="123"/>
  <c r="T55" i="123"/>
  <c r="R55" i="123"/>
  <c r="P55" i="123"/>
  <c r="Q55" i="123" s="1"/>
  <c r="S55" i="123" s="1"/>
  <c r="V9" i="120"/>
  <c r="T9" i="120"/>
  <c r="R9" i="120"/>
  <c r="P9" i="120"/>
  <c r="Q9" i="120" s="1"/>
  <c r="N30" i="135"/>
  <c r="O30" i="135" s="1"/>
  <c r="M30" i="135"/>
  <c r="J30" i="135"/>
  <c r="N29" i="135"/>
  <c r="O29" i="135" s="1"/>
  <c r="M29" i="135"/>
  <c r="J29" i="135"/>
  <c r="N28" i="135"/>
  <c r="O28" i="135" s="1"/>
  <c r="M28" i="135"/>
  <c r="J28" i="135"/>
  <c r="N13" i="121"/>
  <c r="O13" i="121" s="1"/>
  <c r="M13" i="121"/>
  <c r="S31" i="135" l="1"/>
  <c r="U31" i="135" s="1"/>
  <c r="W31" i="135"/>
  <c r="U55" i="123"/>
  <c r="W55" i="123" s="1"/>
  <c r="Y55" i="123" s="1"/>
  <c r="AA55" i="123" s="1"/>
  <c r="S25" i="135"/>
  <c r="Y11" i="133"/>
  <c r="AA11" i="133" s="1"/>
  <c r="X11" i="133"/>
  <c r="AB11" i="133" s="1"/>
  <c r="Y31" i="135"/>
  <c r="AA31" i="135" s="1"/>
  <c r="X31" i="135"/>
  <c r="U25" i="135"/>
  <c r="W25" i="135" s="1"/>
  <c r="S12" i="135"/>
  <c r="U12" i="135" s="1"/>
  <c r="W12" i="135" s="1"/>
  <c r="Y12" i="135" s="1"/>
  <c r="AA12" i="135" s="1"/>
  <c r="S9" i="120"/>
  <c r="U9" i="120" s="1"/>
  <c r="W9" i="120" s="1"/>
  <c r="Y9" i="120" s="1"/>
  <c r="AA9" i="120" s="1"/>
  <c r="V28" i="135"/>
  <c r="T28" i="135"/>
  <c r="R28" i="135"/>
  <c r="P28" i="135"/>
  <c r="Q28" i="135" s="1"/>
  <c r="V29" i="135"/>
  <c r="T29" i="135"/>
  <c r="R29" i="135"/>
  <c r="P29" i="135"/>
  <c r="Q29" i="135" s="1"/>
  <c r="S29" i="135" s="1"/>
  <c r="V30" i="135"/>
  <c r="T30" i="135"/>
  <c r="R30" i="135"/>
  <c r="P30" i="135"/>
  <c r="Q30" i="135" s="1"/>
  <c r="V13" i="121"/>
  <c r="T13" i="121"/>
  <c r="R13" i="121"/>
  <c r="P13" i="121"/>
  <c r="Q13" i="121" s="1"/>
  <c r="U29" i="135" l="1"/>
  <c r="W29" i="135" s="1"/>
  <c r="X55" i="123"/>
  <c r="AB55" i="123" s="1"/>
  <c r="AB31" i="135"/>
  <c r="X25" i="135"/>
  <c r="Y25" i="135"/>
  <c r="AA25" i="135" s="1"/>
  <c r="S28" i="135"/>
  <c r="U28" i="135" s="1"/>
  <c r="W28" i="135" s="1"/>
  <c r="X12" i="135"/>
  <c r="AB12" i="135" s="1"/>
  <c r="S30" i="135"/>
  <c r="U30" i="135" s="1"/>
  <c r="W30" i="135" s="1"/>
  <c r="X30" i="135" s="1"/>
  <c r="X9" i="120"/>
  <c r="AB9" i="120"/>
  <c r="S13" i="121"/>
  <c r="U13" i="121" s="1"/>
  <c r="W13" i="121" s="1"/>
  <c r="Y29" i="135" l="1"/>
  <c r="AA29" i="135" s="1"/>
  <c r="X29" i="135"/>
  <c r="Y30" i="135"/>
  <c r="AA30" i="135" s="1"/>
  <c r="AB30" i="135" s="1"/>
  <c r="X13" i="121"/>
  <c r="Y13" i="121"/>
  <c r="AA13" i="121" s="1"/>
  <c r="AB13" i="121" s="1"/>
  <c r="AB25" i="135"/>
  <c r="Y28" i="135"/>
  <c r="AA28" i="135" s="1"/>
  <c r="X28" i="135"/>
  <c r="AB29" i="135"/>
  <c r="AB28" i="135" l="1"/>
  <c r="N33" i="120"/>
  <c r="O33" i="120" s="1"/>
  <c r="M33" i="120"/>
  <c r="J33" i="120"/>
  <c r="V33" i="120" l="1"/>
  <c r="T33" i="120"/>
  <c r="R33" i="120"/>
  <c r="P33" i="120"/>
  <c r="Q33" i="120" s="1"/>
  <c r="S33" i="120" l="1"/>
  <c r="U33" i="120" s="1"/>
  <c r="W33" i="120" s="1"/>
  <c r="Y33" i="120" l="1"/>
  <c r="AA33" i="120" s="1"/>
  <c r="X33" i="120"/>
  <c r="N14" i="133"/>
  <c r="O14" i="133" s="1"/>
  <c r="M14" i="133"/>
  <c r="J14" i="133"/>
  <c r="N56" i="123"/>
  <c r="O56" i="123" s="1"/>
  <c r="M56" i="123"/>
  <c r="J56" i="123"/>
  <c r="N54" i="123"/>
  <c r="O54" i="123" s="1"/>
  <c r="M54" i="123"/>
  <c r="J54" i="123"/>
  <c r="M26" i="121"/>
  <c r="J27" i="121"/>
  <c r="Z26" i="121"/>
  <c r="L26" i="121"/>
  <c r="K26" i="121"/>
  <c r="N37" i="120"/>
  <c r="O37" i="120" s="1"/>
  <c r="M37" i="120"/>
  <c r="J37" i="120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26" i="120"/>
  <c r="O26" i="120" s="1"/>
  <c r="M26" i="120"/>
  <c r="J26" i="120"/>
  <c r="N25" i="120"/>
  <c r="O25" i="120" s="1"/>
  <c r="M25" i="120"/>
  <c r="J25" i="120"/>
  <c r="AB33" i="120" l="1"/>
  <c r="V14" i="133"/>
  <c r="T14" i="133"/>
  <c r="R14" i="133"/>
  <c r="P14" i="133"/>
  <c r="Q14" i="133" s="1"/>
  <c r="S14" i="133" s="1"/>
  <c r="U14" i="133" s="1"/>
  <c r="W14" i="133" s="1"/>
  <c r="V56" i="123"/>
  <c r="T56" i="123"/>
  <c r="R56" i="123"/>
  <c r="P56" i="123"/>
  <c r="Q56" i="123" s="1"/>
  <c r="S56" i="123" s="1"/>
  <c r="U56" i="123" s="1"/>
  <c r="W56" i="123" s="1"/>
  <c r="V54" i="123"/>
  <c r="T54" i="123"/>
  <c r="R54" i="123"/>
  <c r="P54" i="123"/>
  <c r="Q54" i="123" s="1"/>
  <c r="S54" i="123" s="1"/>
  <c r="V37" i="120"/>
  <c r="T37" i="120"/>
  <c r="R37" i="120"/>
  <c r="P37" i="120"/>
  <c r="Q37" i="120" s="1"/>
  <c r="S37" i="120" s="1"/>
  <c r="U37" i="120" s="1"/>
  <c r="W37" i="120" s="1"/>
  <c r="R34" i="120"/>
  <c r="P34" i="120"/>
  <c r="Q34" i="120" s="1"/>
  <c r="V34" i="120"/>
  <c r="T34" i="120"/>
  <c r="R35" i="120"/>
  <c r="P35" i="120"/>
  <c r="Q35" i="120" s="1"/>
  <c r="S35" i="120" s="1"/>
  <c r="V35" i="120"/>
  <c r="T35" i="120"/>
  <c r="R36" i="120"/>
  <c r="P36" i="120"/>
  <c r="Q36" i="120" s="1"/>
  <c r="S36" i="120" s="1"/>
  <c r="V36" i="120"/>
  <c r="T36" i="120"/>
  <c r="V26" i="120"/>
  <c r="T26" i="120"/>
  <c r="R26" i="120"/>
  <c r="P26" i="120"/>
  <c r="Q26" i="120" s="1"/>
  <c r="V25" i="120"/>
  <c r="T25" i="120"/>
  <c r="R25" i="120"/>
  <c r="P25" i="120"/>
  <c r="Q25" i="120" s="1"/>
  <c r="S25" i="120" s="1"/>
  <c r="U25" i="120" s="1"/>
  <c r="W25" i="120" s="1"/>
  <c r="N45" i="123"/>
  <c r="O45" i="123" s="1"/>
  <c r="M45" i="123"/>
  <c r="J45" i="123"/>
  <c r="N39" i="135"/>
  <c r="O39" i="135" s="1"/>
  <c r="M39" i="135"/>
  <c r="J39" i="135"/>
  <c r="J21" i="132"/>
  <c r="N10" i="132"/>
  <c r="O10" i="132" s="1"/>
  <c r="M10" i="132"/>
  <c r="N41" i="123"/>
  <c r="O41" i="123" s="1"/>
  <c r="M41" i="123"/>
  <c r="N27" i="135"/>
  <c r="O27" i="135" s="1"/>
  <c r="M27" i="135"/>
  <c r="J27" i="135"/>
  <c r="N26" i="135"/>
  <c r="O26" i="135" s="1"/>
  <c r="M26" i="135"/>
  <c r="J26" i="135"/>
  <c r="N24" i="135"/>
  <c r="O24" i="135" s="1"/>
  <c r="M24" i="135"/>
  <c r="J24" i="135"/>
  <c r="N16" i="135"/>
  <c r="O16" i="135" s="1"/>
  <c r="M16" i="135"/>
  <c r="J16" i="135"/>
  <c r="N15" i="135"/>
  <c r="O15" i="135" s="1"/>
  <c r="M15" i="135"/>
  <c r="J15" i="135"/>
  <c r="B22" i="135"/>
  <c r="B35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6" i="123"/>
  <c r="O46" i="123" s="1"/>
  <c r="M46" i="123"/>
  <c r="J46" i="123"/>
  <c r="N33" i="123"/>
  <c r="O33" i="123" s="1"/>
  <c r="M33" i="123"/>
  <c r="M32" i="123" s="1"/>
  <c r="J33" i="123"/>
  <c r="Z32" i="123"/>
  <c r="L32" i="123"/>
  <c r="K32" i="123"/>
  <c r="N25" i="121"/>
  <c r="O25" i="121" s="1"/>
  <c r="M25" i="121"/>
  <c r="J25" i="121"/>
  <c r="U54" i="123" l="1"/>
  <c r="W54" i="123" s="1"/>
  <c r="S26" i="120"/>
  <c r="U26" i="120" s="1"/>
  <c r="W26" i="120" s="1"/>
  <c r="S34" i="120"/>
  <c r="U34" i="120" s="1"/>
  <c r="W34" i="120" s="1"/>
  <c r="Y14" i="133"/>
  <c r="AA14" i="133" s="1"/>
  <c r="X14" i="133"/>
  <c r="X56" i="123"/>
  <c r="Y56" i="123"/>
  <c r="AA56" i="123" s="1"/>
  <c r="Y54" i="123"/>
  <c r="AA54" i="123" s="1"/>
  <c r="X54" i="123"/>
  <c r="U36" i="120"/>
  <c r="W36" i="120" s="1"/>
  <c r="X36" i="120" s="1"/>
  <c r="U35" i="120"/>
  <c r="W35" i="120" s="1"/>
  <c r="Y36" i="120"/>
  <c r="AA36" i="120" s="1"/>
  <c r="Y35" i="120"/>
  <c r="AA35" i="120" s="1"/>
  <c r="X35" i="120"/>
  <c r="X37" i="120"/>
  <c r="Y37" i="120"/>
  <c r="AA37" i="120" s="1"/>
  <c r="Y26" i="120"/>
  <c r="AA26" i="120" s="1"/>
  <c r="X26" i="120"/>
  <c r="Y25" i="120"/>
  <c r="AA25" i="120" s="1"/>
  <c r="X25" i="120"/>
  <c r="V45" i="123"/>
  <c r="T45" i="123"/>
  <c r="R45" i="123"/>
  <c r="P45" i="123"/>
  <c r="Q45" i="123" s="1"/>
  <c r="V39" i="135"/>
  <c r="T39" i="135"/>
  <c r="R39" i="135"/>
  <c r="P39" i="135"/>
  <c r="Q39" i="135" s="1"/>
  <c r="V10" i="132"/>
  <c r="T10" i="132"/>
  <c r="R10" i="132"/>
  <c r="P10" i="132"/>
  <c r="Q10" i="132" s="1"/>
  <c r="V41" i="123"/>
  <c r="T41" i="123"/>
  <c r="R41" i="123"/>
  <c r="P41" i="123"/>
  <c r="Q41" i="123" s="1"/>
  <c r="V27" i="135"/>
  <c r="T27" i="135"/>
  <c r="R27" i="135"/>
  <c r="P27" i="135"/>
  <c r="Q27" i="135" s="1"/>
  <c r="V24" i="135"/>
  <c r="T24" i="135"/>
  <c r="R24" i="135"/>
  <c r="P24" i="135"/>
  <c r="Q24" i="135" s="1"/>
  <c r="V26" i="135"/>
  <c r="T26" i="135"/>
  <c r="R26" i="135"/>
  <c r="P26" i="135"/>
  <c r="Q26" i="135" s="1"/>
  <c r="V16" i="135"/>
  <c r="T16" i="135"/>
  <c r="R16" i="135"/>
  <c r="P16" i="135"/>
  <c r="Q16" i="135" s="1"/>
  <c r="V15" i="135"/>
  <c r="T15" i="135"/>
  <c r="R15" i="135"/>
  <c r="P15" i="135"/>
  <c r="Q15" i="135" s="1"/>
  <c r="V15" i="123"/>
  <c r="T15" i="123"/>
  <c r="R15" i="123"/>
  <c r="P15" i="123"/>
  <c r="Q15" i="123" s="1"/>
  <c r="V46" i="123"/>
  <c r="T46" i="123"/>
  <c r="R46" i="123"/>
  <c r="P46" i="123"/>
  <c r="Q46" i="123" s="1"/>
  <c r="S46" i="123" s="1"/>
  <c r="T33" i="123"/>
  <c r="R33" i="123"/>
  <c r="P33" i="123"/>
  <c r="Q33" i="123" s="1"/>
  <c r="V33" i="123"/>
  <c r="V25" i="121"/>
  <c r="T25" i="121"/>
  <c r="R25" i="121"/>
  <c r="P25" i="121"/>
  <c r="Q25" i="121" s="1"/>
  <c r="U46" i="123" l="1"/>
  <c r="AB54" i="123"/>
  <c r="S15" i="123"/>
  <c r="U15" i="123"/>
  <c r="S16" i="135"/>
  <c r="S26" i="135"/>
  <c r="U26" i="135" s="1"/>
  <c r="W26" i="135" s="1"/>
  <c r="Y26" i="135" s="1"/>
  <c r="AA26" i="135" s="1"/>
  <c r="S15" i="135"/>
  <c r="U15" i="135" s="1"/>
  <c r="W15" i="135" s="1"/>
  <c r="Y15" i="135" s="1"/>
  <c r="AA15" i="135" s="1"/>
  <c r="S39" i="135"/>
  <c r="U39" i="135" s="1"/>
  <c r="W39" i="135" s="1"/>
  <c r="S27" i="135"/>
  <c r="U27" i="135" s="1"/>
  <c r="W27" i="135" s="1"/>
  <c r="Y27" i="135" s="1"/>
  <c r="AA27" i="135" s="1"/>
  <c r="Y34" i="120"/>
  <c r="AA34" i="120" s="1"/>
  <c r="X34" i="120"/>
  <c r="AB26" i="120"/>
  <c r="AB14" i="133"/>
  <c r="AB56" i="123"/>
  <c r="S45" i="123"/>
  <c r="S25" i="121"/>
  <c r="U25" i="121" s="1"/>
  <c r="W25" i="121" s="1"/>
  <c r="X26" i="121"/>
  <c r="AA26" i="121"/>
  <c r="Y26" i="121"/>
  <c r="AB25" i="120"/>
  <c r="AB35" i="120"/>
  <c r="AB37" i="120"/>
  <c r="AB36" i="120"/>
  <c r="U45" i="123"/>
  <c r="W45" i="123" s="1"/>
  <c r="Y45" i="123" s="1"/>
  <c r="AA45" i="123" s="1"/>
  <c r="W15" i="123"/>
  <c r="Y15" i="123" s="1"/>
  <c r="AA15" i="123" s="1"/>
  <c r="Y39" i="135"/>
  <c r="AA39" i="135" s="1"/>
  <c r="X39" i="135"/>
  <c r="U16" i="135"/>
  <c r="W16" i="135" s="1"/>
  <c r="Y16" i="135" s="1"/>
  <c r="AA16" i="135" s="1"/>
  <c r="S41" i="123"/>
  <c r="U41" i="123" s="1"/>
  <c r="W41" i="123" s="1"/>
  <c r="X41" i="123" s="1"/>
  <c r="S33" i="123"/>
  <c r="U33" i="123" s="1"/>
  <c r="W33" i="123" s="1"/>
  <c r="X33" i="123" s="1"/>
  <c r="S10" i="132"/>
  <c r="U10" i="132" s="1"/>
  <c r="W10" i="132" s="1"/>
  <c r="Y10" i="132" s="1"/>
  <c r="AA10" i="132" s="1"/>
  <c r="S24" i="135"/>
  <c r="U24" i="135" s="1"/>
  <c r="W24" i="135" s="1"/>
  <c r="X24" i="135" s="1"/>
  <c r="W46" i="123"/>
  <c r="X46" i="123" s="1"/>
  <c r="X26" i="135" l="1"/>
  <c r="X15" i="135"/>
  <c r="X27" i="135"/>
  <c r="X45" i="123"/>
  <c r="Y46" i="123"/>
  <c r="AA46" i="123" s="1"/>
  <c r="AB15" i="135"/>
  <c r="AB27" i="135"/>
  <c r="AB34" i="120"/>
  <c r="X15" i="123"/>
  <c r="Y41" i="123"/>
  <c r="AA41" i="123" s="1"/>
  <c r="AB41" i="123" s="1"/>
  <c r="X25" i="121"/>
  <c r="Y25" i="121"/>
  <c r="AA25" i="121" s="1"/>
  <c r="AB25" i="121" s="1"/>
  <c r="AB26" i="121"/>
  <c r="Y24" i="135"/>
  <c r="AA24" i="135" s="1"/>
  <c r="AB24" i="135" s="1"/>
  <c r="AB26" i="135"/>
  <c r="X16" i="135"/>
  <c r="AB45" i="123"/>
  <c r="AB39" i="135"/>
  <c r="X10" i="132"/>
  <c r="AB10" i="132"/>
  <c r="AB16" i="135"/>
  <c r="AB15" i="123"/>
  <c r="AB46" i="123"/>
  <c r="Y33" i="123"/>
  <c r="Y32" i="123" s="1"/>
  <c r="X32" i="123"/>
  <c r="AA33" i="123" l="1"/>
  <c r="N53" i="123"/>
  <c r="O53" i="123" s="1"/>
  <c r="M53" i="123"/>
  <c r="J53" i="123"/>
  <c r="N51" i="123"/>
  <c r="O51" i="123" s="1"/>
  <c r="M51" i="123"/>
  <c r="J51" i="123"/>
  <c r="N52" i="123"/>
  <c r="O52" i="123" s="1"/>
  <c r="M52" i="123"/>
  <c r="J52" i="123"/>
  <c r="B49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44" i="123"/>
  <c r="N44" i="123"/>
  <c r="O44" i="123" s="1"/>
  <c r="M42" i="123"/>
  <c r="N42" i="123"/>
  <c r="O42" i="123" s="1"/>
  <c r="M43" i="123"/>
  <c r="N43" i="123"/>
  <c r="O43" i="123" s="1"/>
  <c r="P43" i="123" s="1"/>
  <c r="Z40" i="123"/>
  <c r="L40" i="123"/>
  <c r="K40" i="123"/>
  <c r="J44" i="123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43" i="123"/>
  <c r="J42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7" i="133"/>
  <c r="AA17" i="133" s="1"/>
  <c r="N17" i="133"/>
  <c r="O17" i="133" s="1"/>
  <c r="M17" i="133"/>
  <c r="N22" i="119"/>
  <c r="O22" i="119"/>
  <c r="T22" i="119" s="1"/>
  <c r="M22" i="119"/>
  <c r="R22" i="119"/>
  <c r="V22" i="119"/>
  <c r="M21" i="119"/>
  <c r="Z21" i="119"/>
  <c r="L21" i="119"/>
  <c r="K21" i="119"/>
  <c r="N16" i="133"/>
  <c r="O16" i="133" s="1"/>
  <c r="M16" i="133"/>
  <c r="J16" i="133"/>
  <c r="Z8" i="121"/>
  <c r="Z40" i="121" s="1"/>
  <c r="L8" i="121"/>
  <c r="K8" i="121"/>
  <c r="N24" i="121"/>
  <c r="O24" i="121" s="1"/>
  <c r="M24" i="121"/>
  <c r="J24" i="121"/>
  <c r="N10" i="133"/>
  <c r="O10" i="133" s="1"/>
  <c r="M10" i="133"/>
  <c r="J10" i="133"/>
  <c r="N12" i="133"/>
  <c r="O12" i="133" s="1"/>
  <c r="M12" i="133"/>
  <c r="J12" i="133"/>
  <c r="J13" i="133"/>
  <c r="M13" i="133"/>
  <c r="N13" i="133"/>
  <c r="O13" i="133" s="1"/>
  <c r="J15" i="133"/>
  <c r="M15" i="133"/>
  <c r="N15" i="133"/>
  <c r="O15" i="133" s="1"/>
  <c r="J17" i="133"/>
  <c r="N9" i="133"/>
  <c r="O9" i="133" s="1"/>
  <c r="J9" i="133"/>
  <c r="N14" i="135"/>
  <c r="O14" i="135" s="1"/>
  <c r="V14" i="135" s="1"/>
  <c r="N13" i="135"/>
  <c r="O13" i="135" s="1"/>
  <c r="R13" i="135" s="1"/>
  <c r="N11" i="135"/>
  <c r="O11" i="135" s="1"/>
  <c r="N10" i="135"/>
  <c r="O10" i="135" s="1"/>
  <c r="V10" i="135" s="1"/>
  <c r="N9" i="135"/>
  <c r="O9" i="135" s="1"/>
  <c r="T9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1" i="118"/>
  <c r="O11" i="118" s="1"/>
  <c r="N10" i="118"/>
  <c r="O10" i="118" s="1"/>
  <c r="J11" i="118"/>
  <c r="J10" i="118"/>
  <c r="N31" i="123"/>
  <c r="O31" i="123" s="1"/>
  <c r="R31" i="123" s="1"/>
  <c r="N29" i="123"/>
  <c r="O29" i="123" s="1"/>
  <c r="N28" i="123"/>
  <c r="O28" i="123" s="1"/>
  <c r="T28" i="123" s="1"/>
  <c r="N26" i="123"/>
  <c r="O26" i="123" s="1"/>
  <c r="P26" i="123" s="1"/>
  <c r="N12" i="123"/>
  <c r="O12" i="123" s="1"/>
  <c r="V12" i="123" s="1"/>
  <c r="N10" i="123"/>
  <c r="O10" i="123" s="1"/>
  <c r="N9" i="123"/>
  <c r="J41" i="123"/>
  <c r="J31" i="123"/>
  <c r="J29" i="123"/>
  <c r="J28" i="123"/>
  <c r="J26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/>
  <c r="R24" i="119" s="1"/>
  <c r="N20" i="119"/>
  <c r="O20" i="119"/>
  <c r="N19" i="119"/>
  <c r="O19" i="119"/>
  <c r="R19" i="119" s="1"/>
  <c r="N13" i="119"/>
  <c r="O13" i="119"/>
  <c r="T13" i="119" s="1"/>
  <c r="N11" i="119"/>
  <c r="O11" i="119"/>
  <c r="P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R11" i="119"/>
  <c r="T11" i="119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T20" i="119"/>
  <c r="R20" i="119"/>
  <c r="P20" i="119"/>
  <c r="Q20" i="119"/>
  <c r="S20" i="119" s="1"/>
  <c r="U20" i="119" s="1"/>
  <c r="W20" i="119" s="1"/>
  <c r="V20" i="119"/>
  <c r="V11" i="131"/>
  <c r="P11" i="131"/>
  <c r="Q11" i="131"/>
  <c r="T11" i="131"/>
  <c r="R11" i="131"/>
  <c r="V24" i="119"/>
  <c r="T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20" i="119"/>
  <c r="M19" i="119"/>
  <c r="Z18" i="119"/>
  <c r="L18" i="119"/>
  <c r="K18" i="119"/>
  <c r="B18" i="131"/>
  <c r="M31" i="123"/>
  <c r="M30" i="123" s="1"/>
  <c r="Z30" i="123"/>
  <c r="L30" i="123"/>
  <c r="K30" i="123"/>
  <c r="B38" i="123"/>
  <c r="B24" i="123"/>
  <c r="Z34" i="121"/>
  <c r="L34" i="121"/>
  <c r="K34" i="121"/>
  <c r="B30" i="121"/>
  <c r="M35" i="121"/>
  <c r="B31" i="120"/>
  <c r="B19" i="120"/>
  <c r="K38" i="120"/>
  <c r="Z40" i="135"/>
  <c r="L40" i="135"/>
  <c r="Z24" i="132"/>
  <c r="L24" i="132"/>
  <c r="Y11" i="136"/>
  <c r="K11" i="136"/>
  <c r="Z25" i="131"/>
  <c r="Z27" i="123"/>
  <c r="L27" i="123"/>
  <c r="K27" i="123"/>
  <c r="Z14" i="123"/>
  <c r="L14" i="123"/>
  <c r="K14" i="123"/>
  <c r="Z8" i="123"/>
  <c r="L8" i="123"/>
  <c r="Z38" i="120"/>
  <c r="L38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M18" i="119"/>
  <c r="P11" i="136"/>
  <c r="Z9" i="136"/>
  <c r="X9" i="131"/>
  <c r="Y9" i="131"/>
  <c r="R11" i="136"/>
  <c r="T11" i="136"/>
  <c r="W11" i="136"/>
  <c r="V11" i="136"/>
  <c r="Z12" i="119"/>
  <c r="Z26" i="119" s="1"/>
  <c r="L12" i="119"/>
  <c r="L26" i="119" s="1"/>
  <c r="K12" i="119"/>
  <c r="Z18" i="133"/>
  <c r="L18" i="133"/>
  <c r="K18" i="133"/>
  <c r="J11" i="136"/>
  <c r="Z8" i="119"/>
  <c r="L8" i="119"/>
  <c r="M20" i="121"/>
  <c r="M12" i="121"/>
  <c r="B18" i="121"/>
  <c r="M26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8" i="121"/>
  <c r="M23" i="121"/>
  <c r="Y23" i="121"/>
  <c r="AA23" i="121" s="1"/>
  <c r="M13" i="135"/>
  <c r="M14" i="135"/>
  <c r="A3" i="136"/>
  <c r="Y24" i="119"/>
  <c r="M24" i="119"/>
  <c r="AB24" i="119" s="1"/>
  <c r="AB23" i="119" s="1"/>
  <c r="M23" i="119"/>
  <c r="AA24" i="119"/>
  <c r="AA23" i="119"/>
  <c r="Y23" i="119"/>
  <c r="M11" i="135"/>
  <c r="A3" i="132"/>
  <c r="A3" i="133" s="1"/>
  <c r="A3" i="131"/>
  <c r="A3" i="118"/>
  <c r="A3" i="123"/>
  <c r="A3" i="121"/>
  <c r="A3" i="120"/>
  <c r="B3" i="134"/>
  <c r="M29" i="123"/>
  <c r="M22" i="121"/>
  <c r="K8" i="123"/>
  <c r="Y29" i="123"/>
  <c r="AA29" i="123" s="1"/>
  <c r="M36" i="121"/>
  <c r="M11" i="120"/>
  <c r="M28" i="123"/>
  <c r="M11" i="121"/>
  <c r="M9" i="121"/>
  <c r="M11" i="132"/>
  <c r="M9" i="135"/>
  <c r="M10" i="118"/>
  <c r="M10" i="119"/>
  <c r="M12" i="123"/>
  <c r="M13" i="119"/>
  <c r="M12" i="119"/>
  <c r="M10" i="123"/>
  <c r="M10" i="135"/>
  <c r="K40" i="135"/>
  <c r="M12" i="120"/>
  <c r="M9" i="123"/>
  <c r="M11" i="136"/>
  <c r="M12" i="131"/>
  <c r="M9" i="119"/>
  <c r="M8" i="119" s="1"/>
  <c r="M26" i="119" s="1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M11" i="118"/>
  <c r="Z13" i="118"/>
  <c r="L13" i="118"/>
  <c r="K8" i="119"/>
  <c r="K26" i="119"/>
  <c r="M11" i="119"/>
  <c r="K24" i="132"/>
  <c r="N25" i="131"/>
  <c r="K25" i="131"/>
  <c r="O25" i="131"/>
  <c r="P25" i="131"/>
  <c r="T25" i="131"/>
  <c r="Q25" i="131"/>
  <c r="M13" i="118"/>
  <c r="K13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M24" i="132" l="1"/>
  <c r="N8" i="123"/>
  <c r="P11" i="118"/>
  <c r="Q11" i="118" s="1"/>
  <c r="S11" i="118" s="1"/>
  <c r="U11" i="118" s="1"/>
  <c r="W11" i="118" s="1"/>
  <c r="R11" i="118"/>
  <c r="V11" i="118"/>
  <c r="T11" i="118"/>
  <c r="R10" i="118"/>
  <c r="P10" i="118"/>
  <c r="P13" i="118" s="1"/>
  <c r="V10" i="118"/>
  <c r="T10" i="118"/>
  <c r="T13" i="118" s="1"/>
  <c r="O13" i="118"/>
  <c r="N13" i="118"/>
  <c r="P13" i="133"/>
  <c r="Q13" i="133" s="1"/>
  <c r="R13" i="133"/>
  <c r="T10" i="119"/>
  <c r="V10" i="119"/>
  <c r="R10" i="119"/>
  <c r="P10" i="119"/>
  <c r="Q10" i="119"/>
  <c r="S10" i="119" s="1"/>
  <c r="U10" i="119" s="1"/>
  <c r="W10" i="119" s="1"/>
  <c r="O26" i="119"/>
  <c r="P9" i="119"/>
  <c r="Q9" i="119"/>
  <c r="V9" i="119"/>
  <c r="T9" i="119"/>
  <c r="R9" i="119"/>
  <c r="Y20" i="119"/>
  <c r="AA20" i="119" s="1"/>
  <c r="X20" i="119"/>
  <c r="AB20" i="119" s="1"/>
  <c r="V19" i="119"/>
  <c r="P24" i="119"/>
  <c r="Q24" i="119" s="1"/>
  <c r="S24" i="119" s="1"/>
  <c r="U24" i="119" s="1"/>
  <c r="W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S13" i="119" s="1"/>
  <c r="U13" i="119" s="1"/>
  <c r="W13" i="119" s="1"/>
  <c r="R13" i="119"/>
  <c r="P19" i="119"/>
  <c r="Q19" i="119" s="1"/>
  <c r="S19" i="119" s="1"/>
  <c r="U19" i="119" s="1"/>
  <c r="W19" i="119" s="1"/>
  <c r="Q11" i="119"/>
  <c r="S11" i="119" s="1"/>
  <c r="U11" i="119" s="1"/>
  <c r="R12" i="133"/>
  <c r="T12" i="133"/>
  <c r="V12" i="133"/>
  <c r="T9" i="133"/>
  <c r="R9" i="133"/>
  <c r="V9" i="133"/>
  <c r="P9" i="133"/>
  <c r="Q9" i="133" s="1"/>
  <c r="S9" i="133" s="1"/>
  <c r="U9" i="133" s="1"/>
  <c r="W9" i="133" s="1"/>
  <c r="R17" i="133"/>
  <c r="T17" i="133"/>
  <c r="P17" i="133"/>
  <c r="Q17" i="133" s="1"/>
  <c r="V17" i="133"/>
  <c r="T13" i="133"/>
  <c r="V13" i="133"/>
  <c r="P12" i="133"/>
  <c r="Q12" i="133" s="1"/>
  <c r="R16" i="133"/>
  <c r="V16" i="133"/>
  <c r="T16" i="133"/>
  <c r="P16" i="133"/>
  <c r="Q16" i="133" s="1"/>
  <c r="K58" i="123"/>
  <c r="Z58" i="123"/>
  <c r="L58" i="123"/>
  <c r="O24" i="132"/>
  <c r="T10" i="133"/>
  <c r="V10" i="133"/>
  <c r="M18" i="133"/>
  <c r="P11" i="135"/>
  <c r="Q11" i="135" s="1"/>
  <c r="R11" i="135"/>
  <c r="T11" i="135"/>
  <c r="P14" i="135"/>
  <c r="Q14" i="135" s="1"/>
  <c r="R14" i="135"/>
  <c r="T14" i="135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R11" i="120"/>
  <c r="V11" i="120"/>
  <c r="P11" i="120"/>
  <c r="Q11" i="120" s="1"/>
  <c r="S11" i="120" s="1"/>
  <c r="U11" i="120" s="1"/>
  <c r="W11" i="120" s="1"/>
  <c r="T11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8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2" i="120"/>
  <c r="P22" i="120"/>
  <c r="Q22" i="120" s="1"/>
  <c r="P13" i="135"/>
  <c r="Q13" i="135" s="1"/>
  <c r="S13" i="135" s="1"/>
  <c r="V13" i="135"/>
  <c r="T13" i="135"/>
  <c r="N40" i="135"/>
  <c r="P10" i="135"/>
  <c r="Q10" i="135" s="1"/>
  <c r="R10" i="135"/>
  <c r="T10" i="135"/>
  <c r="O40" i="135"/>
  <c r="M40" i="135"/>
  <c r="V9" i="135"/>
  <c r="P9" i="135"/>
  <c r="R9" i="135"/>
  <c r="AA32" i="123"/>
  <c r="AB33" i="123"/>
  <c r="AB32" i="123" s="1"/>
  <c r="M8" i="123"/>
  <c r="R22" i="120"/>
  <c r="V22" i="120"/>
  <c r="O18" i="133"/>
  <c r="R15" i="133"/>
  <c r="P15" i="133"/>
  <c r="Q15" i="133" s="1"/>
  <c r="T15" i="133"/>
  <c r="V15" i="133"/>
  <c r="P10" i="133"/>
  <c r="R10" i="133"/>
  <c r="V11" i="121"/>
  <c r="R36" i="121"/>
  <c r="T36" i="121"/>
  <c r="P36" i="121"/>
  <c r="Q36" i="121" s="1"/>
  <c r="V36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S38" i="121" s="1"/>
  <c r="V22" i="121"/>
  <c r="T38" i="121"/>
  <c r="P22" i="121"/>
  <c r="Q22" i="121" s="1"/>
  <c r="Q11" i="121"/>
  <c r="R22" i="121"/>
  <c r="V14" i="120"/>
  <c r="T14" i="120"/>
  <c r="R14" i="120"/>
  <c r="Q14" i="120"/>
  <c r="M38" i="120"/>
  <c r="R12" i="121"/>
  <c r="O40" i="121"/>
  <c r="V9" i="121"/>
  <c r="P9" i="121"/>
  <c r="T9" i="121"/>
  <c r="R9" i="121"/>
  <c r="N40" i="121"/>
  <c r="B18" i="132"/>
  <c r="O38" i="120"/>
  <c r="N38" i="120"/>
  <c r="R53" i="123"/>
  <c r="P53" i="123"/>
  <c r="Q53" i="123" s="1"/>
  <c r="V53" i="123"/>
  <c r="T53" i="123"/>
  <c r="N27" i="123"/>
  <c r="M14" i="123"/>
  <c r="V51" i="123"/>
  <c r="T51" i="123"/>
  <c r="R51" i="123"/>
  <c r="P51" i="123"/>
  <c r="Q51" i="123"/>
  <c r="V52" i="123"/>
  <c r="T52" i="123"/>
  <c r="R52" i="123"/>
  <c r="P52" i="123"/>
  <c r="Q52" i="123" s="1"/>
  <c r="O9" i="123"/>
  <c r="V9" i="123" s="1"/>
  <c r="V16" i="123"/>
  <c r="V14" i="123" s="1"/>
  <c r="O14" i="123"/>
  <c r="T42" i="123"/>
  <c r="P42" i="123"/>
  <c r="Q42" i="123" s="1"/>
  <c r="R42" i="123"/>
  <c r="V26" i="123"/>
  <c r="M27" i="123"/>
  <c r="R12" i="123"/>
  <c r="R26" i="123"/>
  <c r="N14" i="123"/>
  <c r="M40" i="123"/>
  <c r="T26" i="123"/>
  <c r="V42" i="123"/>
  <c r="Q26" i="123"/>
  <c r="P10" i="123"/>
  <c r="T10" i="123"/>
  <c r="V10" i="123"/>
  <c r="R10" i="123"/>
  <c r="V29" i="123"/>
  <c r="P29" i="123"/>
  <c r="Q29" i="123" s="1"/>
  <c r="T29" i="123"/>
  <c r="R29" i="123"/>
  <c r="T44" i="123"/>
  <c r="P44" i="123"/>
  <c r="Q44" i="123" s="1"/>
  <c r="V44" i="123"/>
  <c r="R44" i="123"/>
  <c r="R28" i="123"/>
  <c r="P28" i="123"/>
  <c r="Q28" i="123" s="1"/>
  <c r="V43" i="123"/>
  <c r="V31" i="123"/>
  <c r="T12" i="123"/>
  <c r="P16" i="123"/>
  <c r="P14" i="123" s="1"/>
  <c r="T43" i="123"/>
  <c r="T16" i="123"/>
  <c r="T14" i="123" s="1"/>
  <c r="R43" i="123"/>
  <c r="V28" i="123"/>
  <c r="R16" i="123"/>
  <c r="R14" i="123" s="1"/>
  <c r="P12" i="123"/>
  <c r="Q12" i="123" s="1"/>
  <c r="P31" i="123"/>
  <c r="Q31" i="123" s="1"/>
  <c r="S31" i="123" s="1"/>
  <c r="Q43" i="123"/>
  <c r="T31" i="123"/>
  <c r="O27" i="123"/>
  <c r="S16" i="133" l="1"/>
  <c r="S13" i="133"/>
  <c r="U13" i="133" s="1"/>
  <c r="W13" i="133" s="1"/>
  <c r="S52" i="123"/>
  <c r="Y11" i="118"/>
  <c r="AA11" i="118" s="1"/>
  <c r="X11" i="118"/>
  <c r="Q10" i="118"/>
  <c r="V13" i="118"/>
  <c r="R13" i="118"/>
  <c r="S15" i="133"/>
  <c r="U15" i="133" s="1"/>
  <c r="W15" i="133" s="1"/>
  <c r="S12" i="133"/>
  <c r="U12" i="133" s="1"/>
  <c r="W12" i="133" s="1"/>
  <c r="Y12" i="133" s="1"/>
  <c r="AA12" i="133" s="1"/>
  <c r="S17" i="133"/>
  <c r="U17" i="133" s="1"/>
  <c r="W17" i="133" s="1"/>
  <c r="X17" i="133" s="1"/>
  <c r="AB17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AB10" i="119" s="1"/>
  <c r="W11" i="119"/>
  <c r="S36" i="121"/>
  <c r="U36" i="121" s="1"/>
  <c r="W36" i="121" s="1"/>
  <c r="S20" i="121"/>
  <c r="S23" i="121"/>
  <c r="U23" i="121" s="1"/>
  <c r="W23" i="121" s="1"/>
  <c r="X23" i="121" s="1"/>
  <c r="AB23" i="121" s="1"/>
  <c r="S22" i="120"/>
  <c r="U22" i="120" s="1"/>
  <c r="X9" i="133"/>
  <c r="Y9" i="133"/>
  <c r="AA9" i="133" s="1"/>
  <c r="Y13" i="133"/>
  <c r="AA13" i="133" s="1"/>
  <c r="X13" i="133"/>
  <c r="W22" i="132"/>
  <c r="X22" i="132" s="1"/>
  <c r="AB22" i="132" s="1"/>
  <c r="S13" i="132"/>
  <c r="U13" i="132" s="1"/>
  <c r="W13" i="132" s="1"/>
  <c r="U16" i="133"/>
  <c r="W16" i="133" s="1"/>
  <c r="X16" i="133" s="1"/>
  <c r="S11" i="135"/>
  <c r="U11" i="135" s="1"/>
  <c r="S14" i="135"/>
  <c r="S11" i="121"/>
  <c r="U11" i="121" s="1"/>
  <c r="W11" i="121" s="1"/>
  <c r="S24" i="120"/>
  <c r="U24" i="120" s="1"/>
  <c r="W24" i="120" s="1"/>
  <c r="T18" i="133"/>
  <c r="V18" i="133"/>
  <c r="P40" i="135"/>
  <c r="V40" i="135"/>
  <c r="S10" i="135"/>
  <c r="U10" i="135" s="1"/>
  <c r="W10" i="135" s="1"/>
  <c r="X10" i="135" s="1"/>
  <c r="W11" i="135"/>
  <c r="R40" i="135"/>
  <c r="T40" i="135"/>
  <c r="U14" i="135"/>
  <c r="W14" i="135" s="1"/>
  <c r="U13" i="135"/>
  <c r="W13" i="135" s="1"/>
  <c r="X13" i="135" s="1"/>
  <c r="S21" i="120"/>
  <c r="U21" i="120" s="1"/>
  <c r="W21" i="120" s="1"/>
  <c r="X21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3" i="120"/>
  <c r="U23" i="120" s="1"/>
  <c r="W23" i="120" s="1"/>
  <c r="S12" i="120"/>
  <c r="U12" i="120" s="1"/>
  <c r="W12" i="120" s="1"/>
  <c r="P18" i="133"/>
  <c r="R18" i="133"/>
  <c r="M58" i="123"/>
  <c r="P24" i="132"/>
  <c r="P38" i="120"/>
  <c r="U38" i="121"/>
  <c r="W38" i="121" s="1"/>
  <c r="X38" i="121" s="1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2" i="120"/>
  <c r="Y22" i="120" s="1"/>
  <c r="AA22" i="120" s="1"/>
  <c r="Q9" i="135"/>
  <c r="R9" i="123"/>
  <c r="R8" i="123" s="1"/>
  <c r="S53" i="123"/>
  <c r="U53" i="123" s="1"/>
  <c r="W53" i="123" s="1"/>
  <c r="Y53" i="123" s="1"/>
  <c r="AA53" i="123" s="1"/>
  <c r="S28" i="123"/>
  <c r="U28" i="123" s="1"/>
  <c r="W28" i="123" s="1"/>
  <c r="X28" i="123" s="1"/>
  <c r="S51" i="123"/>
  <c r="U51" i="123" s="1"/>
  <c r="W51" i="123" s="1"/>
  <c r="O8" i="123"/>
  <c r="O58" i="123" s="1"/>
  <c r="N58" i="123"/>
  <c r="P9" i="123"/>
  <c r="Q9" i="123" s="1"/>
  <c r="V8" i="123"/>
  <c r="Q10" i="123"/>
  <c r="S10" i="123" s="1"/>
  <c r="U10" i="123" s="1"/>
  <c r="W10" i="123" s="1"/>
  <c r="Q10" i="133"/>
  <c r="S12" i="121"/>
  <c r="U12" i="121" s="1"/>
  <c r="W12" i="121" s="1"/>
  <c r="Y12" i="121" s="1"/>
  <c r="AA12" i="121" s="1"/>
  <c r="U20" i="121"/>
  <c r="W20" i="121" s="1"/>
  <c r="Y20" i="121" s="1"/>
  <c r="AA20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40" i="121"/>
  <c r="Y21" i="121"/>
  <c r="AA21" i="121" s="1"/>
  <c r="X21" i="121"/>
  <c r="S35" i="121"/>
  <c r="U35" i="121" s="1"/>
  <c r="W35" i="121" s="1"/>
  <c r="R40" i="121"/>
  <c r="V40" i="121"/>
  <c r="P40" i="121"/>
  <c r="R38" i="120"/>
  <c r="V38" i="120"/>
  <c r="T38" i="120"/>
  <c r="S14" i="120"/>
  <c r="U14" i="120" s="1"/>
  <c r="W14" i="120" s="1"/>
  <c r="X14" i="120" s="1"/>
  <c r="Q9" i="121"/>
  <c r="U52" i="123"/>
  <c r="W52" i="123" s="1"/>
  <c r="Y52" i="123" s="1"/>
  <c r="AA52" i="123" s="1"/>
  <c r="T9" i="123"/>
  <c r="T8" i="123" s="1"/>
  <c r="S12" i="123"/>
  <c r="U12" i="123" s="1"/>
  <c r="W12" i="123" s="1"/>
  <c r="U31" i="123"/>
  <c r="W31" i="123" s="1"/>
  <c r="X31" i="123" s="1"/>
  <c r="S42" i="123"/>
  <c r="U42" i="123" s="1"/>
  <c r="W42" i="123" s="1"/>
  <c r="S26" i="123"/>
  <c r="U26" i="123" s="1"/>
  <c r="W26" i="123" s="1"/>
  <c r="S43" i="123"/>
  <c r="U43" i="123" s="1"/>
  <c r="W43" i="123" s="1"/>
  <c r="S44" i="123"/>
  <c r="U44" i="123" s="1"/>
  <c r="W44" i="123" s="1"/>
  <c r="Y44" i="123" s="1"/>
  <c r="AA44" i="123" s="1"/>
  <c r="S29" i="123"/>
  <c r="U29" i="123" s="1"/>
  <c r="W29" i="123" s="1"/>
  <c r="X29" i="123" s="1"/>
  <c r="AB29" i="123" s="1"/>
  <c r="V27" i="123"/>
  <c r="Q27" i="123"/>
  <c r="Q16" i="123"/>
  <c r="T27" i="123"/>
  <c r="R27" i="123"/>
  <c r="P27" i="123"/>
  <c r="X12" i="133" l="1"/>
  <c r="S9" i="123"/>
  <c r="U9" i="123" s="1"/>
  <c r="Q13" i="118"/>
  <c r="S10" i="118"/>
  <c r="AB11" i="118"/>
  <c r="Y13" i="120"/>
  <c r="AA13" i="120" s="1"/>
  <c r="AA19" i="119"/>
  <c r="AA18" i="119" s="1"/>
  <c r="Y18" i="119"/>
  <c r="Y11" i="119"/>
  <c r="AA11" i="119" s="1"/>
  <c r="X11" i="119"/>
  <c r="U9" i="119"/>
  <c r="S26" i="119"/>
  <c r="Y21" i="119"/>
  <c r="AA22" i="119"/>
  <c r="AA21" i="119" s="1"/>
  <c r="X18" i="119"/>
  <c r="AB19" i="119"/>
  <c r="AB18" i="119" s="1"/>
  <c r="X12" i="119"/>
  <c r="AA13" i="119"/>
  <c r="AA12" i="119" s="1"/>
  <c r="Y12" i="119"/>
  <c r="X21" i="119"/>
  <c r="AB22" i="119"/>
  <c r="AB21" i="119" s="1"/>
  <c r="X12" i="121"/>
  <c r="AB12" i="121" s="1"/>
  <c r="Y38" i="121"/>
  <c r="AA38" i="121" s="1"/>
  <c r="Y22" i="121"/>
  <c r="AA22" i="121" s="1"/>
  <c r="AB22" i="121" s="1"/>
  <c r="X20" i="121"/>
  <c r="AB20" i="121" s="1"/>
  <c r="AB13" i="133"/>
  <c r="Y16" i="133"/>
  <c r="AA16" i="133" s="1"/>
  <c r="AB16" i="133" s="1"/>
  <c r="AB9" i="133"/>
  <c r="AB12" i="133"/>
  <c r="X52" i="123"/>
  <c r="AB52" i="123" s="1"/>
  <c r="Y10" i="135"/>
  <c r="AA10" i="135" s="1"/>
  <c r="AB10" i="135" s="1"/>
  <c r="Y11" i="121"/>
  <c r="AA11" i="121" s="1"/>
  <c r="X11" i="121"/>
  <c r="AB11" i="121" s="1"/>
  <c r="X24" i="121"/>
  <c r="AB24" i="121" s="1"/>
  <c r="Y13" i="135"/>
  <c r="AA13" i="135" s="1"/>
  <c r="AB13" i="135" s="1"/>
  <c r="Y11" i="135"/>
  <c r="AA11" i="135" s="1"/>
  <c r="X11" i="135"/>
  <c r="X14" i="135"/>
  <c r="Y14" i="135"/>
  <c r="AA14" i="135" s="1"/>
  <c r="Y21" i="120"/>
  <c r="AA21" i="120" s="1"/>
  <c r="AB21" i="120" s="1"/>
  <c r="X22" i="120"/>
  <c r="AB22" i="120" s="1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Q8" i="123"/>
  <c r="AB13" i="132"/>
  <c r="Q24" i="132"/>
  <c r="X20" i="132"/>
  <c r="Y20" i="132"/>
  <c r="AA20" i="132" s="1"/>
  <c r="AB11" i="132"/>
  <c r="S9" i="135"/>
  <c r="Q40" i="135"/>
  <c r="R58" i="123"/>
  <c r="S8" i="123"/>
  <c r="X53" i="123"/>
  <c r="AB53" i="123" s="1"/>
  <c r="P8" i="123"/>
  <c r="P58" i="123" s="1"/>
  <c r="V58" i="123"/>
  <c r="Y14" i="120"/>
  <c r="AA14" i="120" s="1"/>
  <c r="AB14" i="120" s="1"/>
  <c r="Y15" i="133"/>
  <c r="AA15" i="133" s="1"/>
  <c r="X15" i="133"/>
  <c r="Q18" i="133"/>
  <c r="S10" i="133"/>
  <c r="AB21" i="121"/>
  <c r="X10" i="121"/>
  <c r="Y10" i="121"/>
  <c r="AA10" i="121" s="1"/>
  <c r="Y36" i="121"/>
  <c r="AA36" i="121" s="1"/>
  <c r="X36" i="121"/>
  <c r="Y35" i="121"/>
  <c r="X35" i="121"/>
  <c r="X37" i="121"/>
  <c r="Q40" i="121"/>
  <c r="S9" i="121"/>
  <c r="Q38" i="120"/>
  <c r="Y28" i="123"/>
  <c r="AA28" i="123" s="1"/>
  <c r="AB28" i="123" s="1"/>
  <c r="Y31" i="123"/>
  <c r="Y30" i="123" s="1"/>
  <c r="Y51" i="123"/>
  <c r="AA51" i="123" s="1"/>
  <c r="X51" i="123"/>
  <c r="X44" i="123"/>
  <c r="AB44" i="123" s="1"/>
  <c r="X26" i="123"/>
  <c r="Y26" i="123"/>
  <c r="T58" i="123"/>
  <c r="Y42" i="123"/>
  <c r="AA42" i="123" s="1"/>
  <c r="X42" i="123"/>
  <c r="U8" i="123"/>
  <c r="W9" i="123"/>
  <c r="X10" i="123"/>
  <c r="Y10" i="123"/>
  <c r="AA10" i="123" s="1"/>
  <c r="Q14" i="123"/>
  <c r="S16" i="123"/>
  <c r="S27" i="123"/>
  <c r="X43" i="123"/>
  <c r="Y43" i="123"/>
  <c r="AA43" i="123" s="1"/>
  <c r="X12" i="123"/>
  <c r="Y12" i="123"/>
  <c r="X30" i="123"/>
  <c r="AA37" i="121" l="1"/>
  <c r="AB38" i="121"/>
  <c r="AB37" i="121" s="1"/>
  <c r="Y37" i="121"/>
  <c r="U10" i="118"/>
  <c r="S13" i="118"/>
  <c r="AB13" i="119"/>
  <c r="AB12" i="119" s="1"/>
  <c r="W9" i="119"/>
  <c r="U26" i="119"/>
  <c r="Q58" i="123"/>
  <c r="AB36" i="121"/>
  <c r="AB11" i="135"/>
  <c r="AB14" i="135"/>
  <c r="AB12" i="120"/>
  <c r="AB24" i="120"/>
  <c r="AB23" i="120"/>
  <c r="S24" i="132"/>
  <c r="AB20" i="132"/>
  <c r="U9" i="135"/>
  <c r="S40" i="135"/>
  <c r="AB51" i="123"/>
  <c r="AB42" i="123"/>
  <c r="AA31" i="123"/>
  <c r="AA30" i="123" s="1"/>
  <c r="AB15" i="133"/>
  <c r="S18" i="133"/>
  <c r="U10" i="133"/>
  <c r="AB10" i="121"/>
  <c r="X34" i="121"/>
  <c r="AA35" i="121"/>
  <c r="AA34" i="121" s="1"/>
  <c r="Y34" i="121"/>
  <c r="U9" i="121"/>
  <c r="S40" i="121"/>
  <c r="S38" i="120"/>
  <c r="AA26" i="123"/>
  <c r="AA14" i="123" s="1"/>
  <c r="Y14" i="123"/>
  <c r="AA12" i="123"/>
  <c r="AB43" i="123"/>
  <c r="U27" i="123"/>
  <c r="AA40" i="123"/>
  <c r="Y40" i="123"/>
  <c r="Y9" i="123"/>
  <c r="X9" i="123"/>
  <c r="W8" i="123"/>
  <c r="S14" i="123"/>
  <c r="S58" i="123" s="1"/>
  <c r="U16" i="123"/>
  <c r="X40" i="123"/>
  <c r="AB10" i="123"/>
  <c r="AB31" i="123" l="1"/>
  <c r="AB30" i="123" s="1"/>
  <c r="U13" i="118"/>
  <c r="W10" i="118"/>
  <c r="W26" i="119"/>
  <c r="X9" i="119"/>
  <c r="Y9" i="119"/>
  <c r="AB12" i="123"/>
  <c r="U24" i="132"/>
  <c r="U40" i="135"/>
  <c r="W9" i="135"/>
  <c r="AB40" i="123"/>
  <c r="U18" i="133"/>
  <c r="W10" i="133"/>
  <c r="AB35" i="121"/>
  <c r="AB34" i="121" s="1"/>
  <c r="U40" i="121"/>
  <c r="W9" i="121"/>
  <c r="U38" i="120"/>
  <c r="AB26" i="123"/>
  <c r="X8" i="123"/>
  <c r="W16" i="123"/>
  <c r="U14" i="123"/>
  <c r="U58" i="123" s="1"/>
  <c r="Y8" i="123"/>
  <c r="AA9" i="123"/>
  <c r="AA8" i="123" s="1"/>
  <c r="W27" i="123"/>
  <c r="W13" i="118" l="1"/>
  <c r="X10" i="118"/>
  <c r="Y10" i="118"/>
  <c r="AA9" i="119"/>
  <c r="AA8" i="119" s="1"/>
  <c r="AA26" i="119" s="1"/>
  <c r="Y8" i="119"/>
  <c r="Y26" i="119" s="1"/>
  <c r="AB9" i="119"/>
  <c r="AB8" i="119" s="1"/>
  <c r="AB26" i="119" s="1"/>
  <c r="X8" i="119"/>
  <c r="X26" i="119" s="1"/>
  <c r="W24" i="132"/>
  <c r="W40" i="135"/>
  <c r="Y9" i="135"/>
  <c r="X9" i="135"/>
  <c r="X10" i="133"/>
  <c r="Y10" i="133"/>
  <c r="W18" i="133"/>
  <c r="Y9" i="121"/>
  <c r="W40" i="121"/>
  <c r="X9" i="121"/>
  <c r="W38" i="120"/>
  <c r="X27" i="123"/>
  <c r="Y27" i="123"/>
  <c r="Y58" i="123" s="1"/>
  <c r="AA27" i="123"/>
  <c r="AA58" i="123" s="1"/>
  <c r="X16" i="123"/>
  <c r="W14" i="123"/>
  <c r="W58" i="123" s="1"/>
  <c r="AB9" i="123"/>
  <c r="AB8" i="123" s="1"/>
  <c r="AA10" i="118" l="1"/>
  <c r="AA13" i="118" s="1"/>
  <c r="Y13" i="118"/>
  <c r="X13" i="118"/>
  <c r="AB10" i="118"/>
  <c r="AB13" i="118" s="1"/>
  <c r="X24" i="132"/>
  <c r="Y24" i="132"/>
  <c r="AA24" i="132"/>
  <c r="X40" i="135"/>
  <c r="AB9" i="135"/>
  <c r="AB40" i="135" s="1"/>
  <c r="AA9" i="135"/>
  <c r="AA40" i="135" s="1"/>
  <c r="Y40" i="135"/>
  <c r="Y18" i="133"/>
  <c r="AA10" i="133"/>
  <c r="AA18" i="133" s="1"/>
  <c r="X18" i="133"/>
  <c r="X8" i="121"/>
  <c r="Y8" i="121"/>
  <c r="AA9" i="121"/>
  <c r="AA8" i="121" s="1"/>
  <c r="AA40" i="121" s="1"/>
  <c r="Y38" i="120"/>
  <c r="AA38" i="120"/>
  <c r="X38" i="120"/>
  <c r="X14" i="123"/>
  <c r="X58" i="123" s="1"/>
  <c r="AB16" i="123"/>
  <c r="AB14" i="123" s="1"/>
  <c r="AB27" i="123"/>
  <c r="AB58" i="123" l="1"/>
  <c r="AB10" i="133"/>
  <c r="AB18" i="133" s="1"/>
  <c r="AB24" i="132"/>
  <c r="AB9" i="121"/>
  <c r="AB8" i="121" s="1"/>
  <c r="AB40" i="121" s="1"/>
  <c r="AB38" i="120"/>
</calcChain>
</file>

<file path=xl/sharedStrings.xml><?xml version="1.0" encoding="utf-8"?>
<sst xmlns="http://schemas.openxmlformats.org/spreadsheetml/2006/main" count="1567" uniqueCount="653">
  <si>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</si>
  <si>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</si>
  <si>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</si>
  <si>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</si>
  <si>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</si>
  <si>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</si>
  <si>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</si>
  <si>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</si>
  <si>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</si>
  <si>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</si>
  <si>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</si>
  <si>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</si>
  <si>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</si>
  <si>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</si>
  <si>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</si>
  <si>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</si>
  <si>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</si>
  <si>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</si>
  <si>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</si>
  <si>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</si>
  <si>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</si>
  <si>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</si>
  <si>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</si>
  <si>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</si>
  <si>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</si>
  <si>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</si>
  <si>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</si>
  <si>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</si>
  <si>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</si>
  <si>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</si>
  <si>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</si>
  <si>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</si>
  <si>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</si>
  <si>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</si>
  <si>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</si>
  <si>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</si>
  <si>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</si>
  <si>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</si>
  <si>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</si>
  <si>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</si>
  <si>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</si>
  <si>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</si>
  <si>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</si>
  <si>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</si>
  <si>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</si>
  <si>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</si>
  <si>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</si>
  <si>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</si>
  <si>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</si>
  <si>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</si>
  <si>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</si>
  <si>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</si>
  <si>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</si>
  <si>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</si>
  <si>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</si>
  <si>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</si>
  <si>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</si>
  <si>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</si>
  <si>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</si>
  <si>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</si>
  <si>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</si>
  <si>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</si>
  <si>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</si>
  <si>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</si>
  <si>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</si>
  <si>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</si>
  <si>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</si>
  <si>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</si>
  <si>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</si>
  <si>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</si>
  <si>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</si>
  <si>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</si>
  <si>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</si>
  <si>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</si>
  <si>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</si>
  <si>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</si>
  <si>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</si>
  <si>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</si>
  <si>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</si>
  <si>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</si>
  <si>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</si>
  <si>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</si>
  <si>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</si>
  <si>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</si>
  <si>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</si>
  <si>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</si>
  <si>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</si>
  <si>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</si>
  <si>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</si>
  <si>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</si>
  <si>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</si>
  <si>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</si>
  <si>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</si>
  <si>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</si>
  <si>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</si>
  <si>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</si>
  <si>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</si>
  <si>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</si>
  <si>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</si>
  <si>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</si>
  <si>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</si>
  <si>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</si>
  <si>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</si>
  <si>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</si>
  <si>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</si>
  <si>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</si>
  <si>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</si>
  <si>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</si>
  <si>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</si>
  <si>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</si>
  <si>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</si>
  <si>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</si>
  <si>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</si>
  <si>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</si>
  <si>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</si>
  <si>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</si>
  <si>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</si>
  <si>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</si>
  <si>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</si>
  <si>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</si>
  <si>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</si>
  <si>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</si>
  <si>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</si>
  <si>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</si>
  <si>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</si>
  <si>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</si>
  <si>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</si>
  <si>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</si>
  <si>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</si>
  <si>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</si>
  <si>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</si>
  <si>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</si>
  <si>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</si>
  <si>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</si>
  <si>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</si>
  <si>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</si>
  <si>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</si>
  <si>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</si>
  <si>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</si>
  <si>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</si>
  <si>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</si>
  <si>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</si>
  <si>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</si>
  <si>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</si>
  <si>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</si>
  <si>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</si>
  <si>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</si>
  <si>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</si>
  <si>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</si>
  <si>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</si>
  <si>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</si>
  <si>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</si>
  <si>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</si>
  <si>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</si>
  <si>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</si>
  <si>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</si>
  <si>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</si>
  <si>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</si>
  <si>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</si>
  <si>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</si>
  <si>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</si>
  <si>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</si>
  <si>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</si>
  <si>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</si>
  <si>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</si>
  <si>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</si>
  <si>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</si>
  <si>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</si>
  <si>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</si>
  <si>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</si>
  <si>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</si>
  <si>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</si>
  <si>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</si>
  <si>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</si>
  <si>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</si>
  <si>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</si>
  <si>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</si>
  <si>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</si>
  <si>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</si>
  <si>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</si>
  <si>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</si>
  <si>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</si>
  <si>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</si>
  <si>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</si>
  <si>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</si>
  <si>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</si>
  <si>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</si>
  <si>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</si>
  <si>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</si>
  <si>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</si>
  <si>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</si>
  <si>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</si>
  <si>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</si>
  <si>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</si>
  <si>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</si>
  <si>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</si>
  <si>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</si>
  <si>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</si>
  <si>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</si>
  <si>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</si>
  <si>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</si>
  <si>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</si>
  <si>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</si>
  <si>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</si>
  <si>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</si>
  <si>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</si>
  <si>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</si>
  <si>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</si>
  <si>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</si>
  <si>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</si>
  <si>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</si>
  <si>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</si>
  <si>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</si>
  <si>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</si>
  <si>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</si>
  <si>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</si>
  <si>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</si>
  <si>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</si>
  <si>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</si>
  <si>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</si>
  <si>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</si>
  <si>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</si>
  <si>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</si>
  <si>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</si>
  <si>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</si>
  <si>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</si>
  <si>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</si>
  <si>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</si>
  <si>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</si>
  <si>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</si>
  <si>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</si>
  <si>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</si>
  <si>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</si>
  <si>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</si>
  <si>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</si>
  <si>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</si>
  <si>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</si>
  <si>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</si>
  <si>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</si>
  <si>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</si>
  <si>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</si>
  <si>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</si>
  <si>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</si>
  <si>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</si>
  <si>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</si>
  <si>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</si>
  <si>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</si>
  <si>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</si>
  <si>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</si>
  <si>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</si>
  <si>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</si>
  <si>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</si>
  <si>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</si>
  <si>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</si>
  <si>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</si>
  <si>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</si>
  <si>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</si>
  <si>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</si>
  <si>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</si>
  <si>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</si>
  <si>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</si>
  <si>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</si>
  <si>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</si>
  <si>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</si>
  <si>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</si>
  <si>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</si>
  <si>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</si>
  <si>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</si>
  <si>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</si>
  <si>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</si>
  <si>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</si>
  <si>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</si>
  <si>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</si>
  <si>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</si>
  <si>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</si>
  <si>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</si>
  <si>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</si>
  <si>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</si>
  <si>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</si>
  <si>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</si>
  <si>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</si>
  <si>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</si>
  <si>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</si>
  <si>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</si>
  <si>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</si>
  <si>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</si>
  <si>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</si>
  <si>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</si>
  <si>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</si>
  <si>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</si>
  <si>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</si>
  <si>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</si>
  <si>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</si>
  <si>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</si>
  <si>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</si>
  <si>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</si>
  <si>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</si>
  <si>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</si>
  <si>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</si>
  <si>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</si>
  <si>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</si>
  <si>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</si>
  <si>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</si>
  <si>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</si>
  <si>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</si>
  <si>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</si>
  <si>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</si>
  <si>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</si>
  <si>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</si>
  <si>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</si>
  <si>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</si>
  <si>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</si>
  <si>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</si>
  <si>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</si>
  <si>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</si>
  <si>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</si>
  <si>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</si>
  <si>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</si>
  <si>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</si>
  <si>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</si>
  <si>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</si>
  <si>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</si>
  <si>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</si>
  <si>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</si>
  <si>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</si>
  <si>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</si>
  <si>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</si>
  <si>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</si>
  <si>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</si>
  <si>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</si>
  <si>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</si>
  <si>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</si>
  <si>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</si>
  <si>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</si>
  <si>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</si>
  <si>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</si>
  <si>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</si>
  <si>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</si>
  <si>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</si>
  <si>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</si>
  <si>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</si>
  <si>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</si>
  <si>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</si>
  <si>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</si>
  <si>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</si>
  <si>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</si>
  <si>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</si>
  <si>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</si>
  <si>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</si>
  <si>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</si>
  <si>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</si>
  <si>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</si>
  <si>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</si>
  <si>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</si>
  <si>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</si>
  <si>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</si>
  <si>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</si>
  <si>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</si>
  <si>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</si>
  <si>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</si>
  <si>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</si>
  <si>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</si>
  <si>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</si>
  <si>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</si>
  <si>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</si>
  <si>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</si>
  <si>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</si>
  <si>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</si>
  <si>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</si>
  <si>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</si>
  <si>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</si>
  <si>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</si>
  <si>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</si>
  <si>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</si>
  <si>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</si>
  <si>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</si>
  <si>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</si>
  <si>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</si>
  <si>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</si>
  <si>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</si>
  <si>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</si>
  <si>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</si>
  <si>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</si>
  <si>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</si>
  <si>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</si>
  <si>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</si>
  <si>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</si>
  <si>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</si>
  <si>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</si>
  <si>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</si>
  <si>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</si>
  <si>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</si>
  <si>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</si>
  <si>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</si>
  <si>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</si>
  <si>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</si>
  <si>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</si>
  <si>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</si>
  <si>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</si>
  <si>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</si>
  <si>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</si>
  <si>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</si>
  <si>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</si>
  <si>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</si>
  <si>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</si>
  <si>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</si>
  <si>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</si>
  <si>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</si>
  <si>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</si>
  <si>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</si>
  <si>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</si>
  <si>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</si>
  <si>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</si>
  <si>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</si>
  <si>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</si>
  <si>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</si>
  <si>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</si>
  <si>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</si>
  <si>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</si>
  <si>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</si>
  <si>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</si>
  <si>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</si>
  <si>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</si>
  <si>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</si>
  <si>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</si>
  <si>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</si>
  <si>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</si>
  <si>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</si>
  <si>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</si>
  <si>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</si>
  <si>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</si>
  <si>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</si>
  <si>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</si>
  <si>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</si>
  <si>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</si>
  <si>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</si>
  <si>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</si>
  <si>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</si>
  <si>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</si>
  <si>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</si>
  <si>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</si>
  <si>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</si>
  <si>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</si>
  <si>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</si>
  <si>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</si>
  <si>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</si>
  <si>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</si>
  <si>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</si>
  <si>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</si>
  <si>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</si>
  <si>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</si>
  <si>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</si>
  <si>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</si>
  <si>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</si>
  <si>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</si>
  <si>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</si>
  <si>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</si>
  <si>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</si>
  <si>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</si>
  <si>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</si>
  <si>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</si>
  <si>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</si>
  <si>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</si>
  <si>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</si>
  <si>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</si>
  <si>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</si>
  <si>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</si>
  <si>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</si>
  <si>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</si>
  <si>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</si>
  <si>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</si>
  <si>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</si>
  <si>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</si>
  <si>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</si>
  <si>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</si>
  <si>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</si>
  <si>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</si>
  <si>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</si>
  <si>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</si>
  <si>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</si>
  <si>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</si>
  <si>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</si>
  <si>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</si>
  <si>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</si>
  <si>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</si>
  <si>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</si>
  <si>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</si>
  <si>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</si>
  <si>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</si>
  <si>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</si>
  <si>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</si>
  <si>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</si>
  <si>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</si>
  <si>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</si>
  <si>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</si>
  <si>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</si>
  <si>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</si>
  <si>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</si>
  <si>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</si>
  <si>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</si>
  <si>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</si>
  <si>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</si>
  <si>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</si>
  <si>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</si>
  <si>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</si>
  <si>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</si>
  <si>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</si>
  <si>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</si>
  <si>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</si>
  <si>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</si>
  <si>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</si>
  <si>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</si>
  <si>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</si>
  <si>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</si>
  <si>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</si>
  <si>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</si>
  <si>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</si>
  <si>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</si>
  <si>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</si>
  <si>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</si>
  <si>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</si>
  <si>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</si>
  <si>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</si>
  <si>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</si>
  <si>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</si>
  <si>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</si>
  <si>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</si>
  <si>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</si>
  <si>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</si>
  <si>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</si>
  <si>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</si>
  <si>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</si>
  <si>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</si>
  <si>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</si>
  <si>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</si>
  <si>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</si>
  <si>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</si>
  <si>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</si>
  <si>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</si>
  <si>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</si>
  <si>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</si>
  <si>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</si>
  <si>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</si>
  <si>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</si>
  <si>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</si>
  <si>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</si>
  <si>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</si>
  <si>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</si>
  <si>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</si>
  <si>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</si>
  <si>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</si>
  <si>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</si>
  <si>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</si>
  <si>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</si>
  <si>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</si>
  <si>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</si>
  <si>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</si>
  <si>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</si>
  <si>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</si>
  <si>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</si>
  <si>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</si>
  <si>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</si>
  <si>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</si>
  <si>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</si>
  <si>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</si>
  <si>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</si>
  <si>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</si>
  <si>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</si>
  <si>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</si>
  <si>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</si>
  <si>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</si>
  <si>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</si>
  <si>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</si>
  <si>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</si>
  <si>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</si>
  <si>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</si>
  <si>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</si>
  <si>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</si>
  <si>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</si>
  <si>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</si>
  <si>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</si>
  <si>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</si>
  <si>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</si>
  <si>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</si>
  <si>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</si>
  <si>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</si>
  <si>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</si>
  <si>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</si>
  <si>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</si>
  <si>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</si>
  <si>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</si>
  <si>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</si>
  <si>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</si>
  <si>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</si>
  <si>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</si>
  <si>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</si>
  <si>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</si>
  <si>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</si>
  <si>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</si>
  <si>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</si>
  <si>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</si>
  <si>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</si>
  <si>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</si>
  <si>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</si>
  <si>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</si>
  <si>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</si>
  <si>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</si>
  <si>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</si>
  <si>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</si>
  <si>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</si>
  <si>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</si>
  <si>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</si>
  <si>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</si>
  <si>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</si>
  <si>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</si>
  <si>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</si>
  <si>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</si>
  <si>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</si>
  <si>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</si>
  <si>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</si>
  <si>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</si>
  <si>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</si>
  <si>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</si>
  <si>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</si>
  <si>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</si>
  <si>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</si>
  <si>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</si>
  <si>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</si>
  <si>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</si>
  <si>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</si>
  <si>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</si>
  <si>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</si>
  <si>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</si>
  <si>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</si>
  <si>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</si>
  <si>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</si>
  <si>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</si>
  <si>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</si>
  <si>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</si>
  <si>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</si>
  <si>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</si>
  <si>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</si>
  <si>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</si>
  <si>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</si>
  <si>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</si>
  <si>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</si>
  <si>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SUELDO  DEL 01 AL 15 DE SEPTIEMBRE DE 2025</t>
  </si>
  <si>
    <t>ANTONIO DE JESUS VAZQUEZ VEGA</t>
  </si>
  <si>
    <t>430</t>
  </si>
  <si>
    <t>431</t>
  </si>
  <si>
    <t>LUIS DANIEL RESENDEZ SALAZAR</t>
  </si>
  <si>
    <t>RESL930622D49</t>
  </si>
  <si>
    <t>RESL930622HZSSLS02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</si>
</sst>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3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40" fillId="5" borderId="0" xfId="0" applyNumberFormat="1" applyFont="1" applyFill="1" applyBorder="1" applyAlignment="1">
      <alignment vertical="center" wrapText="1"/>
    </xf>
    <xf numFmtId="14" fontId="3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19</xdr:row>
      <xdr:rowOff>70039</xdr:rowOff>
    </xdr:from>
    <xdr:to>
      <xdr:col>3</xdr:col>
      <xdr:colOff>1804066</xdr:colOff>
      <xdr:row>22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32</xdr:row>
      <xdr:rowOff>364191</xdr:rowOff>
    </xdr:from>
    <xdr:to>
      <xdr:col>3</xdr:col>
      <xdr:colOff>1986162</xdr:colOff>
      <xdr:row>35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21</xdr:row>
      <xdr:rowOff>242454</xdr:rowOff>
    </xdr:from>
    <xdr:to>
      <xdr:col>3</xdr:col>
      <xdr:colOff>851312</xdr:colOff>
      <xdr:row>23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35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46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188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521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7" t="s">
        <v>10</v>
      </c>
      <c r="C7" s="457"/>
      <c r="D7" s="457"/>
      <c r="E7" s="7"/>
      <c r="F7" s="458" t="s">
        <v>48</v>
      </c>
      <c r="G7" s="459"/>
      <c r="I7" s="110" t="s">
        <v>189</v>
      </c>
    </row>
    <row r="8" spans="1:9" ht="14.25" customHeight="1" x14ac:dyDescent="0.2">
      <c r="B8" s="460" t="s">
        <v>9</v>
      </c>
      <c r="C8" s="460"/>
      <c r="D8" s="460"/>
      <c r="E8" s="7"/>
      <c r="F8" s="461" t="s">
        <v>49</v>
      </c>
      <c r="G8" s="462"/>
      <c r="I8" s="109">
        <v>113.14</v>
      </c>
    </row>
    <row r="9" spans="1:9" ht="8.25" customHeight="1" x14ac:dyDescent="0.2">
      <c r="B9" s="454"/>
      <c r="C9" s="454"/>
      <c r="D9" s="454"/>
      <c r="E9" s="7"/>
      <c r="F9" s="455"/>
      <c r="G9" s="45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523</v>
      </c>
      <c r="C28" s="7"/>
      <c r="D28" s="7"/>
    </row>
    <row r="29" spans="1:8" x14ac:dyDescent="0.2">
      <c r="B29" s="32" t="s">
        <v>522</v>
      </c>
      <c r="C29" s="7"/>
      <c r="D29" s="7"/>
    </row>
    <row r="30" spans="1:8" x14ac:dyDescent="0.2">
      <c r="B30" s="198" t="s">
        <v>358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58" t="s">
        <v>53</v>
      </c>
      <c r="G32" s="459"/>
    </row>
    <row r="33" spans="2:7" x14ac:dyDescent="0.2">
      <c r="E33" s="7"/>
      <c r="F33" s="461" t="s">
        <v>54</v>
      </c>
      <c r="G33" s="462"/>
    </row>
    <row r="34" spans="2:7" ht="5.25" customHeight="1" x14ac:dyDescent="0.2">
      <c r="E34" s="7"/>
      <c r="F34" s="455"/>
      <c r="G34" s="456"/>
    </row>
    <row r="35" spans="2:7" x14ac:dyDescent="0.2">
      <c r="B35" s="457" t="s">
        <v>10</v>
      </c>
      <c r="C35" s="457"/>
      <c r="D35" s="457"/>
      <c r="E35" s="7"/>
      <c r="F35" s="9" t="s">
        <v>16</v>
      </c>
      <c r="G35" s="9" t="s">
        <v>17</v>
      </c>
    </row>
    <row r="36" spans="2:7" x14ac:dyDescent="0.2">
      <c r="B36" s="460" t="s">
        <v>9</v>
      </c>
      <c r="C36" s="460"/>
      <c r="D36" s="460"/>
      <c r="E36" s="7"/>
      <c r="F36" s="9"/>
      <c r="G36" s="9" t="s">
        <v>18</v>
      </c>
    </row>
    <row r="37" spans="2:7" x14ac:dyDescent="0.2">
      <c r="B37" s="454"/>
      <c r="C37" s="454"/>
      <c r="D37" s="45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" zoomScale="73" zoomScaleNormal="73" workbookViewId="0">
      <selection activeCell="Z14" sqref="Z1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77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30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30" ht="19.5" x14ac:dyDescent="0.25">
      <c r="A3" s="467" t="str">
        <f>PRESIDENCIA!A3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14" t="s">
        <v>96</v>
      </c>
      <c r="C5" s="514" t="s">
        <v>116</v>
      </c>
      <c r="D5" s="22"/>
      <c r="E5" s="22"/>
      <c r="F5" s="22"/>
      <c r="G5" s="22"/>
      <c r="H5" s="22"/>
      <c r="I5" s="23" t="s">
        <v>22</v>
      </c>
      <c r="J5" s="23" t="s">
        <v>5</v>
      </c>
      <c r="K5" s="478" t="s">
        <v>1</v>
      </c>
      <c r="L5" s="479"/>
      <c r="M5" s="480"/>
      <c r="N5" s="24" t="s">
        <v>25</v>
      </c>
      <c r="O5" s="25"/>
      <c r="P5" s="481" t="s">
        <v>8</v>
      </c>
      <c r="Q5" s="482"/>
      <c r="R5" s="482"/>
      <c r="S5" s="482"/>
      <c r="T5" s="482"/>
      <c r="U5" s="483"/>
      <c r="V5" s="24" t="s">
        <v>29</v>
      </c>
      <c r="W5" s="24" t="s">
        <v>9</v>
      </c>
      <c r="X5" s="23" t="s">
        <v>52</v>
      </c>
      <c r="Y5" s="484" t="s">
        <v>2</v>
      </c>
      <c r="Z5" s="485"/>
      <c r="AA5" s="486"/>
      <c r="AB5" s="23" t="s">
        <v>0</v>
      </c>
      <c r="AC5" s="33"/>
    </row>
    <row r="6" spans="1:30" ht="12.75" customHeight="1" x14ac:dyDescent="0.2">
      <c r="A6" s="26" t="s">
        <v>20</v>
      </c>
      <c r="B6" s="515"/>
      <c r="C6" s="515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16"/>
      <c r="C7" s="516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191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509</v>
      </c>
      <c r="E8" s="228" t="s">
        <v>97</v>
      </c>
      <c r="F8" s="228" t="s">
        <v>221</v>
      </c>
      <c r="G8" s="227" t="s">
        <v>273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85</v>
      </c>
      <c r="B9" s="289" t="s">
        <v>158</v>
      </c>
      <c r="C9" s="375" t="s">
        <v>115</v>
      </c>
      <c r="D9" s="263" t="s">
        <v>143</v>
      </c>
      <c r="E9" s="145" t="s">
        <v>154</v>
      </c>
      <c r="F9" s="145" t="s">
        <v>236</v>
      </c>
      <c r="G9" s="241">
        <v>43374</v>
      </c>
      <c r="H9" s="325" t="s">
        <v>117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9">
        <f t="shared" ref="O9" si="2">(K9+N9)/I9*30.4</f>
        <v>11345.279999999999</v>
      </c>
      <c r="P9" s="319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7"/>
      <c r="B10" s="282">
        <v>188</v>
      </c>
      <c r="C10" s="375" t="s">
        <v>115</v>
      </c>
      <c r="D10" s="284" t="s">
        <v>159</v>
      </c>
      <c r="E10" s="285" t="s">
        <v>160</v>
      </c>
      <c r="F10" s="285" t="s">
        <v>237</v>
      </c>
      <c r="G10" s="376">
        <v>43389</v>
      </c>
      <c r="H10" s="271" t="s">
        <v>220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9">
        <f>(K10+N10)/I10*30.4</f>
        <v>14666.317866666666</v>
      </c>
      <c r="P10" s="319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7"/>
      <c r="B11" s="283" t="s">
        <v>207</v>
      </c>
      <c r="C11" s="283" t="s">
        <v>115</v>
      </c>
      <c r="D11" s="333" t="s">
        <v>208</v>
      </c>
      <c r="E11" s="134" t="s">
        <v>209</v>
      </c>
      <c r="F11" s="134" t="s">
        <v>239</v>
      </c>
      <c r="G11" s="210">
        <v>43512</v>
      </c>
      <c r="H11" s="325" t="s">
        <v>117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9">
        <f>(K11+N11)/I11*30.4</f>
        <v>9411.84</v>
      </c>
      <c r="P11" s="319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7"/>
      <c r="B12" s="282">
        <v>317</v>
      </c>
      <c r="C12" s="283" t="s">
        <v>115</v>
      </c>
      <c r="D12" s="262" t="s">
        <v>282</v>
      </c>
      <c r="E12" s="145" t="s">
        <v>283</v>
      </c>
      <c r="F12" s="145" t="s">
        <v>284</v>
      </c>
      <c r="G12" s="241">
        <v>45078</v>
      </c>
      <c r="H12" s="325" t="s">
        <v>117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9">
        <f t="shared" ref="O12" si="19">(K12+N12)/I12*30.4</f>
        <v>11345.279999999999</v>
      </c>
      <c r="P12" s="319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0</v>
      </c>
      <c r="AA12" s="276">
        <f t="shared" ref="AA12" si="29">SUM(Y12:Z12)</f>
        <v>458.09</v>
      </c>
      <c r="AB12" s="276">
        <f t="shared" ref="AB12" si="30">M12+X12-AA12</f>
        <v>5139.91</v>
      </c>
      <c r="AC12" s="288"/>
    </row>
    <row r="13" spans="1:30" s="280" customFormat="1" ht="230.25" customHeight="1" x14ac:dyDescent="0.2">
      <c r="A13" s="377"/>
      <c r="B13" s="324">
        <v>353</v>
      </c>
      <c r="C13" s="283" t="s">
        <v>115</v>
      </c>
      <c r="D13" s="264" t="s">
        <v>355</v>
      </c>
      <c r="E13" s="135" t="s">
        <v>356</v>
      </c>
      <c r="F13" s="135" t="s">
        <v>357</v>
      </c>
      <c r="G13" s="261">
        <v>45391</v>
      </c>
      <c r="H13" s="325" t="s">
        <v>117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9">
        <f>(K13+N13)/I13*30.4</f>
        <v>9411.84</v>
      </c>
      <c r="P13" s="319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77" t="s">
        <v>77</v>
      </c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</row>
    <row r="17" spans="1:30" s="91" customFormat="1" ht="26.25" customHeight="1" x14ac:dyDescent="0.25">
      <c r="A17" s="146"/>
      <c r="B17" s="477" t="s">
        <v>64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</row>
    <row r="18" spans="1:30" s="91" customFormat="1" ht="27.75" customHeight="1" x14ac:dyDescent="0.25">
      <c r="A18" s="146"/>
      <c r="B18" s="467" t="str">
        <f>A3</f>
        <v>SUELDO  DEL 01 AL 15 DE SEPTIEMBRE DE 2025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7"/>
      <c r="B20" s="324">
        <v>398</v>
      </c>
      <c r="C20" s="283" t="s">
        <v>115</v>
      </c>
      <c r="D20" s="264" t="s">
        <v>502</v>
      </c>
      <c r="E20" s="135" t="s">
        <v>503</v>
      </c>
      <c r="F20" s="135" t="s">
        <v>504</v>
      </c>
      <c r="G20" s="261">
        <v>45597</v>
      </c>
      <c r="H20" s="325" t="s">
        <v>117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9">
        <f>(K20+N20)/I20*30.4</f>
        <v>9411.84</v>
      </c>
      <c r="P20" s="319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7"/>
      <c r="B21" s="434">
        <v>422</v>
      </c>
      <c r="C21" s="435" t="s">
        <v>115</v>
      </c>
      <c r="D21" s="436" t="s">
        <v>606</v>
      </c>
      <c r="E21" s="438" t="s">
        <v>608</v>
      </c>
      <c r="F21" s="437" t="s">
        <v>607</v>
      </c>
      <c r="G21" s="261">
        <v>45809</v>
      </c>
      <c r="H21" s="325" t="s">
        <v>117</v>
      </c>
      <c r="I21" s="272">
        <v>15</v>
      </c>
      <c r="J21" s="273">
        <f>K21/I21</f>
        <v>373.2</v>
      </c>
      <c r="K21" s="274">
        <v>5598</v>
      </c>
      <c r="L21" s="275">
        <v>0</v>
      </c>
      <c r="M21" s="276">
        <f t="shared" ref="M21" si="34">SUM(K21:L21)</f>
        <v>5598</v>
      </c>
      <c r="N21" s="298">
        <f t="shared" ref="N21" si="35">IF(K21/15&lt;=SMG,0,L21/2)</f>
        <v>0</v>
      </c>
      <c r="O21" s="319">
        <f t="shared" ref="O21" si="36">(K21+N21)/I21*30.4</f>
        <v>11345.279999999999</v>
      </c>
      <c r="P21" s="319">
        <f t="shared" ref="P21" si="37">VLOOKUP(O21,Tarifa,1)</f>
        <v>11128.02</v>
      </c>
      <c r="Q21" s="298">
        <f t="shared" ref="Q21" si="38">O21-P21</f>
        <v>217.2599999999984</v>
      </c>
      <c r="R21" s="299">
        <f t="shared" ref="R21" si="39">VLOOKUP(O21,Tarifa,3)</f>
        <v>0.16</v>
      </c>
      <c r="S21" s="298">
        <f t="shared" ref="S21" si="40">Q21*R21</f>
        <v>34.761599999999746</v>
      </c>
      <c r="T21" s="300">
        <f t="shared" ref="T21" si="41">VLOOKUP(O21,Tarifa,2)</f>
        <v>893.63</v>
      </c>
      <c r="U21" s="298">
        <f t="shared" ref="U21" si="42">S21+T21</f>
        <v>928.3915999999997</v>
      </c>
      <c r="V21" s="298">
        <f t="shared" ref="V21" si="43">VLOOKUP(O21,Credito,2)</f>
        <v>0</v>
      </c>
      <c r="W21" s="298">
        <f t="shared" ref="W21" si="44">ROUND((U21-V21)/30.4*I21,2)</f>
        <v>458.09</v>
      </c>
      <c r="X21" s="276">
        <f t="shared" si="31"/>
        <v>0</v>
      </c>
      <c r="Y21" s="276">
        <f t="shared" si="32"/>
        <v>458.09</v>
      </c>
      <c r="Z21" s="277">
        <v>0</v>
      </c>
      <c r="AA21" s="276">
        <f t="shared" ref="AA21" si="45">SUM(Y21:Z21)</f>
        <v>458.09</v>
      </c>
      <c r="AB21" s="276">
        <f t="shared" ref="AB21" si="46">M21+X21-AA21</f>
        <v>5139.91</v>
      </c>
      <c r="AC21" s="288"/>
    </row>
    <row r="22" spans="1:30" s="280" customFormat="1" ht="216.75" customHeight="1" x14ac:dyDescent="0.2">
      <c r="A22" s="377"/>
      <c r="B22" s="289" t="s">
        <v>181</v>
      </c>
      <c r="C22" s="283" t="s">
        <v>115</v>
      </c>
      <c r="D22" s="268" t="s">
        <v>80</v>
      </c>
      <c r="E22" s="269" t="s">
        <v>106</v>
      </c>
      <c r="F22" s="269" t="s">
        <v>224</v>
      </c>
      <c r="G22" s="270">
        <v>41410</v>
      </c>
      <c r="H22" s="271" t="s">
        <v>174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9">
        <f>(K22+N22)/I22*30.4</f>
        <v>7701.333333333333</v>
      </c>
      <c r="P22" s="319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63" t="s">
        <v>44</v>
      </c>
      <c r="B24" s="464"/>
      <c r="C24" s="464"/>
      <c r="D24" s="464"/>
      <c r="E24" s="464"/>
      <c r="F24" s="464"/>
      <c r="G24" s="464"/>
      <c r="H24" s="464"/>
      <c r="I24" s="464"/>
      <c r="J24" s="465"/>
      <c r="K24" s="208">
        <f t="shared" ref="K24:AB24" si="47">SUM(K9:K23)</f>
        <v>41762.67</v>
      </c>
      <c r="L24" s="208">
        <f t="shared" si="47"/>
        <v>0</v>
      </c>
      <c r="M24" s="208">
        <f t="shared" si="47"/>
        <v>41762.67</v>
      </c>
      <c r="N24" s="209">
        <f t="shared" si="47"/>
        <v>0</v>
      </c>
      <c r="O24" s="209">
        <f t="shared" si="47"/>
        <v>84639.011199999979</v>
      </c>
      <c r="P24" s="209">
        <f t="shared" si="47"/>
        <v>71648.12999999999</v>
      </c>
      <c r="Q24" s="209">
        <f t="shared" si="47"/>
        <v>12990.881199999994</v>
      </c>
      <c r="R24" s="209">
        <f t="shared" si="47"/>
        <v>1.0944</v>
      </c>
      <c r="S24" s="209">
        <f t="shared" si="47"/>
        <v>1568.6053563733321</v>
      </c>
      <c r="T24" s="209">
        <f t="shared" si="47"/>
        <v>5351.09</v>
      </c>
      <c r="U24" s="209">
        <f t="shared" si="47"/>
        <v>6919.6953563733323</v>
      </c>
      <c r="V24" s="209">
        <f t="shared" si="47"/>
        <v>1900</v>
      </c>
      <c r="W24" s="209">
        <f t="shared" si="47"/>
        <v>2476.83</v>
      </c>
      <c r="X24" s="208">
        <f t="shared" si="47"/>
        <v>0</v>
      </c>
      <c r="Y24" s="208">
        <f t="shared" si="47"/>
        <v>2454.23</v>
      </c>
      <c r="Z24" s="208">
        <f t="shared" si="47"/>
        <v>0</v>
      </c>
      <c r="AA24" s="208">
        <f t="shared" si="47"/>
        <v>2454.23</v>
      </c>
      <c r="AB24" s="208">
        <f t="shared" si="47"/>
        <v>39308.44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478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149</v>
      </c>
      <c r="Z40" s="108"/>
      <c r="AA40" s="108"/>
      <c r="AB40" s="108"/>
    </row>
    <row r="41" spans="4:29" ht="18" x14ac:dyDescent="0.25">
      <c r="D41" s="213" t="s">
        <v>496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218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2"/>
  <sheetViews>
    <sheetView topLeftCell="B38" zoomScale="68" zoomScaleNormal="68" workbookViewId="0">
      <selection activeCell="K67" sqref="K67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77" t="s">
        <v>76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"/>
    </row>
    <row r="2" spans="1:30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"/>
    </row>
    <row r="3" spans="1:30" ht="18" x14ac:dyDescent="0.25">
      <c r="A3" s="433"/>
      <c r="B3" s="477" t="str">
        <f>PRESIDENCIA!A3</f>
        <v>SUELDO  DEL 01 AL 15 DE SEPTIEMBRE DE 2025</v>
      </c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8"/>
      <c r="K5" s="478" t="s">
        <v>1</v>
      </c>
      <c r="L5" s="479"/>
      <c r="M5" s="480"/>
      <c r="N5" s="24" t="s">
        <v>25</v>
      </c>
      <c r="O5" s="25"/>
      <c r="P5" s="481" t="s">
        <v>8</v>
      </c>
      <c r="Q5" s="482"/>
      <c r="R5" s="482"/>
      <c r="S5" s="482"/>
      <c r="T5" s="482"/>
      <c r="U5" s="483"/>
      <c r="V5" s="24" t="s">
        <v>29</v>
      </c>
      <c r="W5" s="24" t="s">
        <v>9</v>
      </c>
      <c r="X5" s="23" t="s">
        <v>52</v>
      </c>
      <c r="Y5" s="484" t="s">
        <v>2</v>
      </c>
      <c r="Z5" s="485"/>
      <c r="AA5" s="486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125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22" t="s">
        <v>114</v>
      </c>
      <c r="C8" s="523"/>
      <c r="D8" s="524"/>
      <c r="E8" s="228" t="s">
        <v>97</v>
      </c>
      <c r="F8" s="228" t="s">
        <v>221</v>
      </c>
      <c r="G8" s="227" t="s">
        <v>273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2" customFormat="1" ht="195" customHeight="1" x14ac:dyDescent="0.2">
      <c r="A9" s="265" t="s">
        <v>83</v>
      </c>
      <c r="B9" s="283" t="s">
        <v>338</v>
      </c>
      <c r="C9" s="283" t="s">
        <v>115</v>
      </c>
      <c r="D9" s="380" t="s">
        <v>339</v>
      </c>
      <c r="E9" s="365" t="s">
        <v>340</v>
      </c>
      <c r="F9" s="365" t="s">
        <v>341</v>
      </c>
      <c r="G9" s="357">
        <v>45367</v>
      </c>
      <c r="H9" s="325" t="s">
        <v>66</v>
      </c>
      <c r="I9" s="272">
        <v>15</v>
      </c>
      <c r="J9" s="272">
        <f t="shared" ref="J9:J14" si="0">K9/I9</f>
        <v>728</v>
      </c>
      <c r="K9" s="274">
        <v>10920</v>
      </c>
      <c r="L9" s="275">
        <v>0</v>
      </c>
      <c r="M9" s="276">
        <f t="shared" ref="M9" si="1">SUM(K9:L9)</f>
        <v>10920</v>
      </c>
      <c r="N9" s="298">
        <f t="shared" ref="N9:N14" si="2">IF(K9/15&lt;=SMG,0,L9/2)</f>
        <v>0</v>
      </c>
      <c r="O9" s="319">
        <f t="shared" ref="O9:O14" si="3">(K9+N9)/I9*30.4</f>
        <v>22131.200000000001</v>
      </c>
      <c r="P9" s="319">
        <f t="shared" ref="P9:P14" si="4">VLOOKUP(O9,Tarifa,1)</f>
        <v>15487.72</v>
      </c>
      <c r="Q9" s="298">
        <f t="shared" ref="Q9:Q14" si="5">O9-P9</f>
        <v>6643.4800000000014</v>
      </c>
      <c r="R9" s="299">
        <f t="shared" ref="R9:R14" si="6">VLOOKUP(O9,Tarifa,3)</f>
        <v>0.21360000000000001</v>
      </c>
      <c r="S9" s="298">
        <f t="shared" ref="S9:S14" si="7">Q9*R9</f>
        <v>1419.0473280000003</v>
      </c>
      <c r="T9" s="300">
        <f t="shared" ref="T9:T14" si="8">VLOOKUP(O9,Tarifa,2)</f>
        <v>1640.18</v>
      </c>
      <c r="U9" s="298">
        <f t="shared" ref="U9:U14" si="9">S9+T9</f>
        <v>3059.2273280000004</v>
      </c>
      <c r="V9" s="298">
        <f t="shared" ref="V9:V14" si="10">VLOOKUP(O9,Credito,2)</f>
        <v>0</v>
      </c>
      <c r="W9" s="298">
        <f t="shared" ref="W9:W14" si="11">ROUND((U9-V9)/30.4*I9,2)</f>
        <v>1509.49</v>
      </c>
      <c r="X9" s="276">
        <f>-IF(W9&gt;0,0,0)</f>
        <v>0</v>
      </c>
      <c r="Y9" s="276">
        <f t="shared" ref="Y9" si="12">IF(K9/15&lt;=SMG,0,IF(W9&lt;0,0,W9))</f>
        <v>1509.49</v>
      </c>
      <c r="Z9" s="277">
        <v>0</v>
      </c>
      <c r="AA9" s="276">
        <f t="shared" ref="AA9" si="13">SUM(Y9:Z9)</f>
        <v>1509.49</v>
      </c>
      <c r="AB9" s="276">
        <f>M9+X9-Y9</f>
        <v>9410.51</v>
      </c>
      <c r="AC9" s="381"/>
      <c r="AD9" s="339"/>
    </row>
    <row r="10" spans="1:30" s="280" customFormat="1" ht="195" customHeight="1" x14ac:dyDescent="0.2">
      <c r="A10" s="377"/>
      <c r="B10" s="283" t="s">
        <v>173</v>
      </c>
      <c r="C10" s="283" t="s">
        <v>115</v>
      </c>
      <c r="D10" s="380" t="s">
        <v>171</v>
      </c>
      <c r="E10" s="365" t="s">
        <v>172</v>
      </c>
      <c r="F10" s="365" t="s">
        <v>242</v>
      </c>
      <c r="G10" s="357">
        <v>43601</v>
      </c>
      <c r="H10" s="271" t="s">
        <v>78</v>
      </c>
      <c r="I10" s="272">
        <v>15</v>
      </c>
      <c r="J10" s="272">
        <f t="shared" si="0"/>
        <v>594.76666666666665</v>
      </c>
      <c r="K10" s="274">
        <v>8921.5</v>
      </c>
      <c r="L10" s="275">
        <v>0</v>
      </c>
      <c r="M10" s="276">
        <f t="shared" ref="M10" si="14">SUM(K10:L10)</f>
        <v>8921.5</v>
      </c>
      <c r="N10" s="298">
        <f t="shared" si="2"/>
        <v>0</v>
      </c>
      <c r="O10" s="319">
        <f t="shared" si="3"/>
        <v>18080.906666666666</v>
      </c>
      <c r="P10" s="319">
        <f t="shared" si="4"/>
        <v>15487.72</v>
      </c>
      <c r="Q10" s="298">
        <f t="shared" si="5"/>
        <v>2593.1866666666665</v>
      </c>
      <c r="R10" s="299">
        <f t="shared" si="6"/>
        <v>0.21360000000000001</v>
      </c>
      <c r="S10" s="298">
        <f t="shared" si="7"/>
        <v>553.90467200000001</v>
      </c>
      <c r="T10" s="300">
        <f t="shared" si="8"/>
        <v>1640.18</v>
      </c>
      <c r="U10" s="298">
        <f t="shared" si="9"/>
        <v>2194.084672</v>
      </c>
      <c r="V10" s="298">
        <f t="shared" si="10"/>
        <v>0</v>
      </c>
      <c r="W10" s="298">
        <f t="shared" si="11"/>
        <v>1082.6099999999999</v>
      </c>
      <c r="X10" s="276">
        <f t="shared" ref="X10" si="15">-IF(W10&gt;0,0,0)</f>
        <v>0</v>
      </c>
      <c r="Y10" s="276">
        <f t="shared" ref="Y10" si="16">IF(K10/15&lt;=SMG,0,IF(W10&lt;0,0,W10))</f>
        <v>1082.6099999999999</v>
      </c>
      <c r="Z10" s="277">
        <v>0</v>
      </c>
      <c r="AA10" s="276">
        <f t="shared" ref="AA10" si="17">SUM(Y10:Z10)</f>
        <v>1082.6099999999999</v>
      </c>
      <c r="AB10" s="276">
        <f t="shared" ref="AB10" si="18">M10+X10-AA10</f>
        <v>7838.89</v>
      </c>
      <c r="AC10" s="381"/>
      <c r="AD10" s="339"/>
    </row>
    <row r="11" spans="1:30" s="280" customFormat="1" ht="195" customHeight="1" x14ac:dyDescent="0.2">
      <c r="A11" s="377"/>
      <c r="B11" s="283" t="s">
        <v>342</v>
      </c>
      <c r="C11" s="283" t="s">
        <v>115</v>
      </c>
      <c r="D11" s="383" t="s">
        <v>343</v>
      </c>
      <c r="E11" s="365" t="s">
        <v>344</v>
      </c>
      <c r="F11" s="365" t="s">
        <v>345</v>
      </c>
      <c r="G11" s="357">
        <v>45367</v>
      </c>
      <c r="H11" s="271" t="s">
        <v>78</v>
      </c>
      <c r="I11" s="272">
        <v>15</v>
      </c>
      <c r="J11" s="272">
        <f t="shared" si="0"/>
        <v>594.76666666666665</v>
      </c>
      <c r="K11" s="274">
        <v>8921.5</v>
      </c>
      <c r="L11" s="275">
        <v>0</v>
      </c>
      <c r="M11" s="276">
        <f t="shared" ref="M11" si="19">SUM(K11:L11)</f>
        <v>8921.5</v>
      </c>
      <c r="N11" s="298">
        <f t="shared" si="2"/>
        <v>0</v>
      </c>
      <c r="O11" s="319">
        <f t="shared" si="3"/>
        <v>18080.906666666666</v>
      </c>
      <c r="P11" s="319">
        <f t="shared" si="4"/>
        <v>15487.72</v>
      </c>
      <c r="Q11" s="298">
        <f t="shared" si="5"/>
        <v>2593.1866666666665</v>
      </c>
      <c r="R11" s="299">
        <f t="shared" si="6"/>
        <v>0.21360000000000001</v>
      </c>
      <c r="S11" s="298">
        <f t="shared" si="7"/>
        <v>553.90467200000001</v>
      </c>
      <c r="T11" s="300">
        <f t="shared" si="8"/>
        <v>1640.18</v>
      </c>
      <c r="U11" s="298">
        <f t="shared" si="9"/>
        <v>2194.084672</v>
      </c>
      <c r="V11" s="298">
        <f t="shared" si="10"/>
        <v>0</v>
      </c>
      <c r="W11" s="298">
        <f t="shared" si="11"/>
        <v>1082.6099999999999</v>
      </c>
      <c r="X11" s="276">
        <f t="shared" ref="X11:X12" si="20">-IF(W11&gt;0,0,0)</f>
        <v>0</v>
      </c>
      <c r="Y11" s="276">
        <f t="shared" ref="Y11:Y12" si="21">IF(K11/15&lt;=SMG,0,IF(W11&lt;0,0,W11))</f>
        <v>1082.6099999999999</v>
      </c>
      <c r="Z11" s="277">
        <v>0</v>
      </c>
      <c r="AA11" s="276">
        <f t="shared" ref="AA11:AA12" si="22">SUM(Y11:Z11)</f>
        <v>1082.6099999999999</v>
      </c>
      <c r="AB11" s="276">
        <f t="shared" ref="AB11:AB12" si="23">M11+X11-AA11</f>
        <v>7838.89</v>
      </c>
      <c r="AC11" s="381"/>
      <c r="AD11" s="339"/>
    </row>
    <row r="12" spans="1:30" s="280" customFormat="1" ht="195" customHeight="1" x14ac:dyDescent="0.2">
      <c r="A12" s="377"/>
      <c r="B12" s="283" t="s">
        <v>346</v>
      </c>
      <c r="C12" s="283" t="s">
        <v>115</v>
      </c>
      <c r="D12" s="383" t="s">
        <v>493</v>
      </c>
      <c r="E12" s="365" t="s">
        <v>347</v>
      </c>
      <c r="F12" s="278" t="s">
        <v>348</v>
      </c>
      <c r="G12" s="329">
        <v>45367</v>
      </c>
      <c r="H12" s="271" t="s">
        <v>250</v>
      </c>
      <c r="I12" s="272">
        <v>15</v>
      </c>
      <c r="J12" s="272">
        <f t="shared" ref="J12" si="24">K12/I12</f>
        <v>566.93333333333328</v>
      </c>
      <c r="K12" s="274">
        <v>8504</v>
      </c>
      <c r="L12" s="275">
        <v>0</v>
      </c>
      <c r="M12" s="276">
        <f t="shared" ref="M12" si="25">SUM(K12:L12)</f>
        <v>8504</v>
      </c>
      <c r="N12" s="298">
        <f t="shared" ref="N12" si="26">IF(K12/15&lt;=SMG,0,L12/2)</f>
        <v>0</v>
      </c>
      <c r="O12" s="319">
        <f t="shared" ref="O12" si="27">(K12+N12)/I12*30.4</f>
        <v>17234.773333333331</v>
      </c>
      <c r="P12" s="319">
        <f t="shared" ref="P12" si="28">VLOOKUP(O12,Tarifa,1)</f>
        <v>15487.72</v>
      </c>
      <c r="Q12" s="298">
        <f t="shared" ref="Q12" si="29">O12-P12</f>
        <v>1747.0533333333315</v>
      </c>
      <c r="R12" s="299">
        <f t="shared" ref="R12" si="30">VLOOKUP(O12,Tarifa,3)</f>
        <v>0.21360000000000001</v>
      </c>
      <c r="S12" s="298">
        <f t="shared" ref="S12" si="31">Q12*R12</f>
        <v>373.1705919999996</v>
      </c>
      <c r="T12" s="300">
        <f t="shared" ref="T12" si="32">VLOOKUP(O12,Tarifa,2)</f>
        <v>1640.18</v>
      </c>
      <c r="U12" s="298">
        <f t="shared" ref="U12" si="33">S12+T12</f>
        <v>2013.3505919999998</v>
      </c>
      <c r="V12" s="298">
        <f t="shared" ref="V12" si="34">VLOOKUP(O12,Credito,2)</f>
        <v>0</v>
      </c>
      <c r="W12" s="298">
        <f t="shared" ref="W12" si="35">ROUND((U12-V12)/30.4*I12,2)</f>
        <v>993.43</v>
      </c>
      <c r="X12" s="276">
        <f t="shared" si="20"/>
        <v>0</v>
      </c>
      <c r="Y12" s="276">
        <f t="shared" si="21"/>
        <v>993.43</v>
      </c>
      <c r="Z12" s="277">
        <v>0</v>
      </c>
      <c r="AA12" s="276">
        <f t="shared" si="22"/>
        <v>993.43</v>
      </c>
      <c r="AB12" s="276">
        <f t="shared" si="23"/>
        <v>7510.57</v>
      </c>
      <c r="AC12" s="381"/>
      <c r="AD12" s="339"/>
    </row>
    <row r="13" spans="1:30" s="280" customFormat="1" ht="195" customHeight="1" x14ac:dyDescent="0.2">
      <c r="A13" s="377"/>
      <c r="B13" s="283" t="s">
        <v>352</v>
      </c>
      <c r="C13" s="283" t="s">
        <v>115</v>
      </c>
      <c r="D13" s="383" t="s">
        <v>492</v>
      </c>
      <c r="E13" s="365" t="s">
        <v>353</v>
      </c>
      <c r="F13" s="278" t="s">
        <v>354</v>
      </c>
      <c r="G13" s="329">
        <v>45367</v>
      </c>
      <c r="H13" s="271" t="s">
        <v>250</v>
      </c>
      <c r="I13" s="272">
        <v>15</v>
      </c>
      <c r="J13" s="272">
        <f t="shared" si="0"/>
        <v>566.93333333333328</v>
      </c>
      <c r="K13" s="274">
        <v>8504</v>
      </c>
      <c r="L13" s="275">
        <v>0</v>
      </c>
      <c r="M13" s="276">
        <f t="shared" ref="M13" si="36">SUM(K13:L13)</f>
        <v>8504</v>
      </c>
      <c r="N13" s="298">
        <f t="shared" si="2"/>
        <v>0</v>
      </c>
      <c r="O13" s="319">
        <f t="shared" si="3"/>
        <v>17234.773333333331</v>
      </c>
      <c r="P13" s="319">
        <f t="shared" si="4"/>
        <v>15487.72</v>
      </c>
      <c r="Q13" s="298">
        <f t="shared" si="5"/>
        <v>1747.0533333333315</v>
      </c>
      <c r="R13" s="299">
        <f t="shared" si="6"/>
        <v>0.21360000000000001</v>
      </c>
      <c r="S13" s="298">
        <f t="shared" si="7"/>
        <v>373.1705919999996</v>
      </c>
      <c r="T13" s="300">
        <f t="shared" si="8"/>
        <v>1640.18</v>
      </c>
      <c r="U13" s="298">
        <f t="shared" si="9"/>
        <v>2013.3505919999998</v>
      </c>
      <c r="V13" s="298">
        <f t="shared" si="10"/>
        <v>0</v>
      </c>
      <c r="W13" s="298">
        <f t="shared" si="11"/>
        <v>993.43</v>
      </c>
      <c r="X13" s="276">
        <f t="shared" ref="X13" si="37">-IF(W13&gt;0,0,0)</f>
        <v>0</v>
      </c>
      <c r="Y13" s="276">
        <f t="shared" ref="Y13" si="38">IF(K13/15&lt;=SMG,0,IF(W13&lt;0,0,W13))</f>
        <v>993.43</v>
      </c>
      <c r="Z13" s="277">
        <v>0</v>
      </c>
      <c r="AA13" s="276">
        <f t="shared" ref="AA13" si="39">SUM(Y13:Z13)</f>
        <v>993.43</v>
      </c>
      <c r="AB13" s="276">
        <f t="shared" ref="AB13" si="40">M13+X13-AA13</f>
        <v>7510.57</v>
      </c>
      <c r="AC13" s="381"/>
      <c r="AD13" s="339"/>
    </row>
    <row r="14" spans="1:30" s="280" customFormat="1" ht="195" customHeight="1" x14ac:dyDescent="0.2">
      <c r="A14" s="377"/>
      <c r="B14" s="283" t="s">
        <v>102</v>
      </c>
      <c r="C14" s="283" t="s">
        <v>115</v>
      </c>
      <c r="D14" s="380" t="s">
        <v>82</v>
      </c>
      <c r="E14" s="278" t="s">
        <v>113</v>
      </c>
      <c r="F14" s="278" t="s">
        <v>226</v>
      </c>
      <c r="G14" s="329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76">
        <f t="shared" ref="M14" si="41">SUM(K14:L14)</f>
        <v>8087</v>
      </c>
      <c r="N14" s="298">
        <f t="shared" si="2"/>
        <v>0</v>
      </c>
      <c r="O14" s="319">
        <f t="shared" si="3"/>
        <v>16389.653333333332</v>
      </c>
      <c r="P14" s="319">
        <f t="shared" si="4"/>
        <v>15487.72</v>
      </c>
      <c r="Q14" s="298">
        <f t="shared" si="5"/>
        <v>901.93333333333248</v>
      </c>
      <c r="R14" s="299">
        <f t="shared" si="6"/>
        <v>0.21360000000000001</v>
      </c>
      <c r="S14" s="298">
        <f t="shared" si="7"/>
        <v>192.65295999999984</v>
      </c>
      <c r="T14" s="300">
        <f t="shared" si="8"/>
        <v>1640.18</v>
      </c>
      <c r="U14" s="298">
        <f t="shared" si="9"/>
        <v>1832.83296</v>
      </c>
      <c r="V14" s="298">
        <f t="shared" si="10"/>
        <v>0</v>
      </c>
      <c r="W14" s="298">
        <f t="shared" si="11"/>
        <v>904.36</v>
      </c>
      <c r="X14" s="276">
        <f t="shared" ref="X14" si="42">-IF(W14&gt;0,0,0)</f>
        <v>0</v>
      </c>
      <c r="Y14" s="276">
        <f t="shared" ref="Y14" si="43">IF(K14/15&lt;=SMG,0,IF(W14&lt;0,0,W14))</f>
        <v>904.36</v>
      </c>
      <c r="Z14" s="277">
        <v>0</v>
      </c>
      <c r="AA14" s="276">
        <f t="shared" ref="AA14:AA16" si="44">SUM(Y14:Z14)</f>
        <v>904.36</v>
      </c>
      <c r="AB14" s="276">
        <f t="shared" ref="AB14" si="45">M14+X14-AA14</f>
        <v>7182.64</v>
      </c>
      <c r="AC14" s="381"/>
      <c r="AD14" s="339"/>
    </row>
    <row r="15" spans="1:30" s="280" customFormat="1" ht="195" customHeight="1" x14ac:dyDescent="0.2">
      <c r="A15" s="377"/>
      <c r="B15" s="283" t="s">
        <v>289</v>
      </c>
      <c r="C15" s="283" t="s">
        <v>115</v>
      </c>
      <c r="D15" s="383" t="s">
        <v>290</v>
      </c>
      <c r="E15" s="365" t="s">
        <v>291</v>
      </c>
      <c r="F15" s="278" t="s">
        <v>292</v>
      </c>
      <c r="G15" s="329">
        <v>45092</v>
      </c>
      <c r="H15" s="271" t="s">
        <v>79</v>
      </c>
      <c r="I15" s="272">
        <v>15</v>
      </c>
      <c r="J15" s="272">
        <f t="shared" ref="J15:J16" si="46">K15/I15</f>
        <v>539.13333333333333</v>
      </c>
      <c r="K15" s="274">
        <v>8087</v>
      </c>
      <c r="L15" s="275">
        <v>0</v>
      </c>
      <c r="M15" s="276">
        <f t="shared" ref="M15:M16" si="47">SUM(K15:L15)</f>
        <v>8087</v>
      </c>
      <c r="N15" s="298">
        <f t="shared" ref="N15:N16" si="48">IF(K15/15&lt;=SMG,0,L15/2)</f>
        <v>0</v>
      </c>
      <c r="O15" s="319">
        <f t="shared" ref="O15:O16" si="49">(K15+N15)/I15*30.4</f>
        <v>16389.653333333332</v>
      </c>
      <c r="P15" s="319">
        <f t="shared" ref="P15:P16" si="50">VLOOKUP(O15,Tarifa,1)</f>
        <v>15487.72</v>
      </c>
      <c r="Q15" s="298">
        <f t="shared" ref="Q15:Q16" si="51">O15-P15</f>
        <v>901.93333333333248</v>
      </c>
      <c r="R15" s="299">
        <f t="shared" ref="R15:R16" si="52">VLOOKUP(O15,Tarifa,3)</f>
        <v>0.21360000000000001</v>
      </c>
      <c r="S15" s="298">
        <f t="shared" ref="S15:S16" si="53">Q15*R15</f>
        <v>192.65295999999984</v>
      </c>
      <c r="T15" s="300">
        <f t="shared" ref="T15:T16" si="54">VLOOKUP(O15,Tarifa,2)</f>
        <v>1640.18</v>
      </c>
      <c r="U15" s="298">
        <f t="shared" ref="U15:U16" si="55">S15+T15</f>
        <v>1832.83296</v>
      </c>
      <c r="V15" s="298">
        <f t="shared" ref="V15:V16" si="56">VLOOKUP(O15,Credito,2)</f>
        <v>0</v>
      </c>
      <c r="W15" s="298">
        <f t="shared" ref="W15:W16" si="57">ROUND((U15-V15)/30.4*I15,2)</f>
        <v>904.36</v>
      </c>
      <c r="X15" s="276">
        <f t="shared" ref="X15:X16" si="58">-IF(W15&gt;0,0,0)</f>
        <v>0</v>
      </c>
      <c r="Y15" s="276">
        <f t="shared" ref="Y15:Y16" si="59">IF(K15/15&lt;=SMG,0,IF(W15&lt;0,0,W15))</f>
        <v>904.36</v>
      </c>
      <c r="Z15" s="277">
        <v>0</v>
      </c>
      <c r="AA15" s="276">
        <f t="shared" si="44"/>
        <v>904.36</v>
      </c>
      <c r="AB15" s="276">
        <f t="shared" ref="AB15:AB16" si="60">M15+X15-AA15</f>
        <v>7182.64</v>
      </c>
      <c r="AC15" s="381"/>
      <c r="AD15" s="339"/>
    </row>
    <row r="16" spans="1:30" s="280" customFormat="1" ht="195" customHeight="1" x14ac:dyDescent="0.2">
      <c r="A16" s="377"/>
      <c r="B16" s="283" t="s">
        <v>349</v>
      </c>
      <c r="C16" s="283" t="s">
        <v>115</v>
      </c>
      <c r="D16" s="383" t="s">
        <v>494</v>
      </c>
      <c r="E16" s="365" t="s">
        <v>350</v>
      </c>
      <c r="F16" s="278" t="s">
        <v>351</v>
      </c>
      <c r="G16" s="329">
        <v>45367</v>
      </c>
      <c r="H16" s="271" t="s">
        <v>79</v>
      </c>
      <c r="I16" s="272">
        <v>15</v>
      </c>
      <c r="J16" s="272">
        <f t="shared" si="46"/>
        <v>539.13333333333333</v>
      </c>
      <c r="K16" s="274">
        <v>8087</v>
      </c>
      <c r="L16" s="275">
        <v>0</v>
      </c>
      <c r="M16" s="276">
        <f t="shared" si="47"/>
        <v>8087</v>
      </c>
      <c r="N16" s="298">
        <f t="shared" si="48"/>
        <v>0</v>
      </c>
      <c r="O16" s="319">
        <f t="shared" si="49"/>
        <v>16389.653333333332</v>
      </c>
      <c r="P16" s="319">
        <f t="shared" si="50"/>
        <v>15487.72</v>
      </c>
      <c r="Q16" s="298">
        <f t="shared" si="51"/>
        <v>901.93333333333248</v>
      </c>
      <c r="R16" s="299">
        <f t="shared" si="52"/>
        <v>0.21360000000000001</v>
      </c>
      <c r="S16" s="298">
        <f t="shared" si="53"/>
        <v>192.65295999999984</v>
      </c>
      <c r="T16" s="300">
        <f t="shared" si="54"/>
        <v>1640.18</v>
      </c>
      <c r="U16" s="298">
        <f t="shared" si="55"/>
        <v>1832.83296</v>
      </c>
      <c r="V16" s="298">
        <f t="shared" si="56"/>
        <v>0</v>
      </c>
      <c r="W16" s="298">
        <f t="shared" si="57"/>
        <v>904.36</v>
      </c>
      <c r="X16" s="276">
        <f t="shared" si="58"/>
        <v>0</v>
      </c>
      <c r="Y16" s="276">
        <f t="shared" si="59"/>
        <v>904.36</v>
      </c>
      <c r="Z16" s="277">
        <v>0</v>
      </c>
      <c r="AA16" s="276">
        <f t="shared" si="44"/>
        <v>904.36</v>
      </c>
      <c r="AB16" s="276">
        <f t="shared" si="60"/>
        <v>7182.64</v>
      </c>
      <c r="AC16" s="338"/>
      <c r="AD16" s="339"/>
    </row>
    <row r="17" spans="1:30" ht="5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5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27.75" customHeight="1" x14ac:dyDescent="0.25">
      <c r="A20" s="146"/>
      <c r="B20" s="518" t="s">
        <v>363</v>
      </c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4"/>
    </row>
    <row r="21" spans="1:30" ht="23.25" customHeight="1" x14ac:dyDescent="0.25">
      <c r="A21" s="146"/>
      <c r="B21" s="518" t="s">
        <v>364</v>
      </c>
      <c r="C21" s="519"/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519"/>
      <c r="AD21" s="4"/>
    </row>
    <row r="22" spans="1:30" ht="23.25" customHeight="1" x14ac:dyDescent="0.25">
      <c r="A22" s="146"/>
      <c r="B22" s="517" t="str">
        <f>PRESIDENCIA!A3</f>
        <v>SUELDO  DEL 01 AL 15 DE SEPTIEMBRE DE 2025</v>
      </c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4"/>
    </row>
    <row r="23" spans="1:30" ht="20.25" customHeight="1" x14ac:dyDescent="0.25">
      <c r="A23" s="146"/>
      <c r="B23" s="520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M23" s="521"/>
      <c r="N23" s="521"/>
      <c r="O23" s="521"/>
      <c r="P23" s="521"/>
      <c r="Q23" s="521"/>
      <c r="R23" s="521"/>
      <c r="S23" s="521"/>
      <c r="T23" s="521"/>
      <c r="U23" s="521"/>
      <c r="V23" s="521"/>
      <c r="W23" s="521"/>
      <c r="X23" s="521"/>
      <c r="Y23" s="521"/>
      <c r="Z23" s="521"/>
      <c r="AA23" s="521"/>
      <c r="AB23" s="521"/>
      <c r="AC23" s="521"/>
      <c r="AD23" s="4"/>
    </row>
    <row r="24" spans="1:30" s="382" customFormat="1" ht="195.75" customHeight="1" x14ac:dyDescent="0.2">
      <c r="A24" s="377"/>
      <c r="B24" s="283" t="s">
        <v>319</v>
      </c>
      <c r="C24" s="283" t="s">
        <v>115</v>
      </c>
      <c r="D24" s="383" t="s">
        <v>320</v>
      </c>
      <c r="E24" s="365" t="s">
        <v>328</v>
      </c>
      <c r="F24" s="278" t="s">
        <v>321</v>
      </c>
      <c r="G24" s="329">
        <v>45200</v>
      </c>
      <c r="H24" s="271" t="s">
        <v>79</v>
      </c>
      <c r="I24" s="272">
        <v>15</v>
      </c>
      <c r="J24" s="272">
        <f t="shared" ref="J24:J27" si="61">K24/I24</f>
        <v>539.13333333333333</v>
      </c>
      <c r="K24" s="274">
        <v>8087</v>
      </c>
      <c r="L24" s="275">
        <v>0</v>
      </c>
      <c r="M24" s="276">
        <f t="shared" ref="M24:M27" si="62">SUM(K24:L24)</f>
        <v>8087</v>
      </c>
      <c r="N24" s="298">
        <f t="shared" ref="N24:N27" si="63">IF(K24/15&lt;=SMG,0,L24/2)</f>
        <v>0</v>
      </c>
      <c r="O24" s="319">
        <f t="shared" ref="O24:O27" si="64">(K24+N24)/I24*30.4</f>
        <v>16389.653333333332</v>
      </c>
      <c r="P24" s="319">
        <f t="shared" ref="P24:P27" si="65">VLOOKUP(O24,Tarifa,1)</f>
        <v>15487.72</v>
      </c>
      <c r="Q24" s="298">
        <f t="shared" ref="Q24:Q27" si="66">O24-P24</f>
        <v>901.93333333333248</v>
      </c>
      <c r="R24" s="299">
        <f t="shared" ref="R24:R27" si="67">VLOOKUP(O24,Tarifa,3)</f>
        <v>0.21360000000000001</v>
      </c>
      <c r="S24" s="298">
        <f t="shared" ref="S24:S27" si="68">Q24*R24</f>
        <v>192.65295999999984</v>
      </c>
      <c r="T24" s="300">
        <f t="shared" ref="T24:T27" si="69">VLOOKUP(O24,Tarifa,2)</f>
        <v>1640.18</v>
      </c>
      <c r="U24" s="298">
        <f t="shared" ref="U24:U27" si="70">S24+T24</f>
        <v>1832.83296</v>
      </c>
      <c r="V24" s="298">
        <f t="shared" ref="V24:V27" si="71">VLOOKUP(O24,Credito,2)</f>
        <v>0</v>
      </c>
      <c r="W24" s="298">
        <f t="shared" ref="W24:W27" si="72">ROUND((U24-V24)/30.4*I24,2)</f>
        <v>904.36</v>
      </c>
      <c r="X24" s="276">
        <f t="shared" ref="X24:X27" si="73">-IF(W24&gt;0,0,0)</f>
        <v>0</v>
      </c>
      <c r="Y24" s="276">
        <f t="shared" ref="Y24:Y27" si="74">IF(K24/15&lt;=SMG,0,IF(W24&lt;0,0,W24))</f>
        <v>904.36</v>
      </c>
      <c r="Z24" s="277">
        <v>0</v>
      </c>
      <c r="AA24" s="276">
        <f t="shared" ref="AA24:AA27" si="75">SUM(Y24:Z24)</f>
        <v>904.36</v>
      </c>
      <c r="AB24" s="276">
        <f t="shared" ref="AB24:AB27" si="76">M24+X24-AA24</f>
        <v>7182.64</v>
      </c>
      <c r="AC24" s="338"/>
      <c r="AD24" s="339"/>
    </row>
    <row r="25" spans="1:30" s="382" customFormat="1" ht="195.75" customHeight="1" x14ac:dyDescent="0.2">
      <c r="A25" s="377"/>
      <c r="B25" s="283" t="s">
        <v>333</v>
      </c>
      <c r="C25" s="283" t="s">
        <v>115</v>
      </c>
      <c r="D25" s="383" t="s">
        <v>336</v>
      </c>
      <c r="E25" s="365" t="s">
        <v>334</v>
      </c>
      <c r="F25" s="278" t="s">
        <v>335</v>
      </c>
      <c r="G25" s="329">
        <v>45292</v>
      </c>
      <c r="H25" s="271" t="s">
        <v>79</v>
      </c>
      <c r="I25" s="272">
        <v>15</v>
      </c>
      <c r="J25" s="272">
        <f t="shared" si="61"/>
        <v>539.13333333333333</v>
      </c>
      <c r="K25" s="274">
        <v>8087</v>
      </c>
      <c r="L25" s="275">
        <v>0</v>
      </c>
      <c r="M25" s="276">
        <f t="shared" si="62"/>
        <v>8087</v>
      </c>
      <c r="N25" s="298">
        <f t="shared" si="63"/>
        <v>0</v>
      </c>
      <c r="O25" s="319">
        <f t="shared" si="64"/>
        <v>16389.653333333332</v>
      </c>
      <c r="P25" s="319">
        <f t="shared" si="65"/>
        <v>15487.72</v>
      </c>
      <c r="Q25" s="298">
        <f t="shared" si="66"/>
        <v>901.93333333333248</v>
      </c>
      <c r="R25" s="299">
        <f t="shared" si="67"/>
        <v>0.21360000000000001</v>
      </c>
      <c r="S25" s="298">
        <f t="shared" si="68"/>
        <v>192.65295999999984</v>
      </c>
      <c r="T25" s="300">
        <f t="shared" si="69"/>
        <v>1640.18</v>
      </c>
      <c r="U25" s="298">
        <f t="shared" si="70"/>
        <v>1832.83296</v>
      </c>
      <c r="V25" s="298">
        <f t="shared" si="71"/>
        <v>0</v>
      </c>
      <c r="W25" s="298">
        <f t="shared" si="72"/>
        <v>904.36</v>
      </c>
      <c r="X25" s="276">
        <f t="shared" si="73"/>
        <v>0</v>
      </c>
      <c r="Y25" s="276">
        <f t="shared" si="74"/>
        <v>904.36</v>
      </c>
      <c r="Z25" s="277">
        <v>0</v>
      </c>
      <c r="AA25" s="276">
        <f t="shared" si="75"/>
        <v>904.36</v>
      </c>
      <c r="AB25" s="276">
        <f t="shared" si="76"/>
        <v>7182.64</v>
      </c>
      <c r="AC25" s="338"/>
      <c r="AD25" s="339"/>
    </row>
    <row r="26" spans="1:30" s="382" customFormat="1" ht="195.75" customHeight="1" x14ac:dyDescent="0.2">
      <c r="A26" s="377"/>
      <c r="B26" s="283" t="s">
        <v>359</v>
      </c>
      <c r="C26" s="283" t="s">
        <v>115</v>
      </c>
      <c r="D26" s="383" t="s">
        <v>360</v>
      </c>
      <c r="E26" s="365" t="s">
        <v>361</v>
      </c>
      <c r="F26" s="278" t="s">
        <v>362</v>
      </c>
      <c r="G26" s="329">
        <v>45413</v>
      </c>
      <c r="H26" s="271" t="s">
        <v>79</v>
      </c>
      <c r="I26" s="272">
        <v>15</v>
      </c>
      <c r="J26" s="272">
        <f t="shared" si="61"/>
        <v>539.13333333333333</v>
      </c>
      <c r="K26" s="274">
        <v>8087</v>
      </c>
      <c r="L26" s="275">
        <v>0</v>
      </c>
      <c r="M26" s="276">
        <f t="shared" si="62"/>
        <v>8087</v>
      </c>
      <c r="N26" s="298">
        <f t="shared" si="63"/>
        <v>0</v>
      </c>
      <c r="O26" s="319">
        <f t="shared" si="64"/>
        <v>16389.653333333332</v>
      </c>
      <c r="P26" s="319">
        <f t="shared" si="65"/>
        <v>15487.72</v>
      </c>
      <c r="Q26" s="298">
        <f t="shared" si="66"/>
        <v>901.93333333333248</v>
      </c>
      <c r="R26" s="299">
        <f t="shared" si="67"/>
        <v>0.21360000000000001</v>
      </c>
      <c r="S26" s="298">
        <f t="shared" si="68"/>
        <v>192.65295999999984</v>
      </c>
      <c r="T26" s="300">
        <f t="shared" si="69"/>
        <v>1640.18</v>
      </c>
      <c r="U26" s="298">
        <f t="shared" si="70"/>
        <v>1832.83296</v>
      </c>
      <c r="V26" s="298">
        <f t="shared" si="71"/>
        <v>0</v>
      </c>
      <c r="W26" s="298">
        <f t="shared" si="72"/>
        <v>904.36</v>
      </c>
      <c r="X26" s="276">
        <f t="shared" si="73"/>
        <v>0</v>
      </c>
      <c r="Y26" s="276">
        <f t="shared" si="74"/>
        <v>904.36</v>
      </c>
      <c r="Z26" s="277">
        <v>0</v>
      </c>
      <c r="AA26" s="276">
        <f t="shared" si="75"/>
        <v>904.36</v>
      </c>
      <c r="AB26" s="276">
        <f t="shared" si="76"/>
        <v>7182.64</v>
      </c>
      <c r="AC26" s="338"/>
      <c r="AD26" s="339"/>
    </row>
    <row r="27" spans="1:30" s="382" customFormat="1" ht="195.75" customHeight="1" x14ac:dyDescent="0.2">
      <c r="A27" s="377"/>
      <c r="B27" s="283" t="s">
        <v>365</v>
      </c>
      <c r="C27" s="283" t="s">
        <v>115</v>
      </c>
      <c r="D27" s="383" t="s">
        <v>366</v>
      </c>
      <c r="E27" s="365" t="s">
        <v>372</v>
      </c>
      <c r="F27" s="278" t="s">
        <v>367</v>
      </c>
      <c r="G27" s="329">
        <v>45444</v>
      </c>
      <c r="H27" s="271" t="s">
        <v>79</v>
      </c>
      <c r="I27" s="272">
        <v>15</v>
      </c>
      <c r="J27" s="272">
        <f t="shared" si="61"/>
        <v>539.13333333333333</v>
      </c>
      <c r="K27" s="274">
        <v>8087</v>
      </c>
      <c r="L27" s="275">
        <v>0</v>
      </c>
      <c r="M27" s="276">
        <f t="shared" si="62"/>
        <v>8087</v>
      </c>
      <c r="N27" s="298">
        <f t="shared" si="63"/>
        <v>0</v>
      </c>
      <c r="O27" s="319">
        <f t="shared" si="64"/>
        <v>16389.653333333332</v>
      </c>
      <c r="P27" s="319">
        <f t="shared" si="65"/>
        <v>15487.72</v>
      </c>
      <c r="Q27" s="298">
        <f t="shared" si="66"/>
        <v>901.93333333333248</v>
      </c>
      <c r="R27" s="299">
        <f t="shared" si="67"/>
        <v>0.21360000000000001</v>
      </c>
      <c r="S27" s="298">
        <f t="shared" si="68"/>
        <v>192.65295999999984</v>
      </c>
      <c r="T27" s="300">
        <f t="shared" si="69"/>
        <v>1640.18</v>
      </c>
      <c r="U27" s="298">
        <f t="shared" si="70"/>
        <v>1832.83296</v>
      </c>
      <c r="V27" s="298">
        <f t="shared" si="71"/>
        <v>0</v>
      </c>
      <c r="W27" s="298">
        <f t="shared" si="72"/>
        <v>904.36</v>
      </c>
      <c r="X27" s="276">
        <f t="shared" si="73"/>
        <v>0</v>
      </c>
      <c r="Y27" s="276">
        <f t="shared" si="74"/>
        <v>904.36</v>
      </c>
      <c r="Z27" s="277">
        <v>0</v>
      </c>
      <c r="AA27" s="276">
        <f t="shared" si="75"/>
        <v>904.36</v>
      </c>
      <c r="AB27" s="276">
        <f t="shared" si="76"/>
        <v>7182.64</v>
      </c>
      <c r="AC27" s="338"/>
      <c r="AD27" s="339"/>
    </row>
    <row r="28" spans="1:30" s="382" customFormat="1" ht="195.75" customHeight="1" x14ac:dyDescent="0.2">
      <c r="A28" s="377"/>
      <c r="B28" s="283" t="s">
        <v>389</v>
      </c>
      <c r="C28" s="283" t="s">
        <v>115</v>
      </c>
      <c r="D28" s="383" t="s">
        <v>390</v>
      </c>
      <c r="E28" s="365" t="s">
        <v>391</v>
      </c>
      <c r="F28" s="278" t="s">
        <v>392</v>
      </c>
      <c r="G28" s="329">
        <v>45520</v>
      </c>
      <c r="H28" s="271" t="s">
        <v>79</v>
      </c>
      <c r="I28" s="272">
        <v>15</v>
      </c>
      <c r="J28" s="272">
        <f t="shared" ref="J28:J38" si="77">K28/I28</f>
        <v>539.13333333333333</v>
      </c>
      <c r="K28" s="274">
        <v>8087</v>
      </c>
      <c r="L28" s="275">
        <v>0</v>
      </c>
      <c r="M28" s="276">
        <f t="shared" ref="M28:M38" si="78">SUM(K28:L28)</f>
        <v>8087</v>
      </c>
      <c r="N28" s="298">
        <f t="shared" ref="N28:N38" si="79">IF(K28/15&lt;=SMG,0,L28/2)</f>
        <v>0</v>
      </c>
      <c r="O28" s="319">
        <f t="shared" ref="O28:O38" si="80">(K28+N28)/I28*30.4</f>
        <v>16389.653333333332</v>
      </c>
      <c r="P28" s="319">
        <f t="shared" ref="P28:P38" si="81">VLOOKUP(O28,Tarifa,1)</f>
        <v>15487.72</v>
      </c>
      <c r="Q28" s="298">
        <f t="shared" ref="Q28:Q38" si="82">O28-P28</f>
        <v>901.93333333333248</v>
      </c>
      <c r="R28" s="299">
        <f t="shared" ref="R28:R38" si="83">VLOOKUP(O28,Tarifa,3)</f>
        <v>0.21360000000000001</v>
      </c>
      <c r="S28" s="298">
        <f t="shared" ref="S28:S38" si="84">Q28*R28</f>
        <v>192.65295999999984</v>
      </c>
      <c r="T28" s="300">
        <f t="shared" ref="T28:T38" si="85">VLOOKUP(O28,Tarifa,2)</f>
        <v>1640.18</v>
      </c>
      <c r="U28" s="298">
        <f t="shared" ref="U28:U38" si="86">S28+T28</f>
        <v>1832.83296</v>
      </c>
      <c r="V28" s="298">
        <f t="shared" ref="V28:V38" si="87">VLOOKUP(O28,Credito,2)</f>
        <v>0</v>
      </c>
      <c r="W28" s="298">
        <f t="shared" ref="W28:W38" si="88">ROUND((U28-V28)/30.4*I28,2)</f>
        <v>904.36</v>
      </c>
      <c r="X28" s="276">
        <f t="shared" ref="X28:X38" si="89">-IF(W28&gt;0,0,0)</f>
        <v>0</v>
      </c>
      <c r="Y28" s="276">
        <f t="shared" ref="Y28:Y38" si="90">IF(K28/15&lt;=SMG,0,IF(W28&lt;0,0,W28))</f>
        <v>904.36</v>
      </c>
      <c r="Z28" s="277">
        <v>0</v>
      </c>
      <c r="AA28" s="276">
        <f t="shared" ref="AA28:AA38" si="91">SUM(Y28:Z28)</f>
        <v>904.36</v>
      </c>
      <c r="AB28" s="276">
        <f t="shared" ref="AB28:AB38" si="92">M28+X28-AA28</f>
        <v>7182.64</v>
      </c>
      <c r="AC28" s="338"/>
      <c r="AD28" s="339"/>
    </row>
    <row r="29" spans="1:30" s="382" customFormat="1" ht="195.75" customHeight="1" x14ac:dyDescent="0.2">
      <c r="A29" s="377"/>
      <c r="B29" s="283" t="s">
        <v>556</v>
      </c>
      <c r="C29" s="283" t="s">
        <v>115</v>
      </c>
      <c r="D29" s="383" t="s">
        <v>549</v>
      </c>
      <c r="E29" s="365" t="s">
        <v>563</v>
      </c>
      <c r="F29" s="278" t="s">
        <v>550</v>
      </c>
      <c r="G29" s="329">
        <v>45704</v>
      </c>
      <c r="H29" s="271" t="s">
        <v>79</v>
      </c>
      <c r="I29" s="272">
        <v>15</v>
      </c>
      <c r="J29" s="272">
        <f t="shared" si="77"/>
        <v>539.13333333333333</v>
      </c>
      <c r="K29" s="274">
        <v>8087</v>
      </c>
      <c r="L29" s="275">
        <v>0</v>
      </c>
      <c r="M29" s="276">
        <f t="shared" si="78"/>
        <v>8087</v>
      </c>
      <c r="N29" s="298">
        <f t="shared" si="79"/>
        <v>0</v>
      </c>
      <c r="O29" s="319">
        <f t="shared" si="80"/>
        <v>16389.653333333332</v>
      </c>
      <c r="P29" s="319">
        <f t="shared" si="81"/>
        <v>15487.72</v>
      </c>
      <c r="Q29" s="298">
        <f t="shared" si="82"/>
        <v>901.93333333333248</v>
      </c>
      <c r="R29" s="299">
        <f t="shared" si="83"/>
        <v>0.21360000000000001</v>
      </c>
      <c r="S29" s="298">
        <f t="shared" si="84"/>
        <v>192.65295999999984</v>
      </c>
      <c r="T29" s="300">
        <f t="shared" si="85"/>
        <v>1640.18</v>
      </c>
      <c r="U29" s="298">
        <f t="shared" si="86"/>
        <v>1832.83296</v>
      </c>
      <c r="V29" s="298">
        <f t="shared" si="87"/>
        <v>0</v>
      </c>
      <c r="W29" s="298">
        <f t="shared" si="88"/>
        <v>904.36</v>
      </c>
      <c r="X29" s="276">
        <f t="shared" si="89"/>
        <v>0</v>
      </c>
      <c r="Y29" s="276">
        <f t="shared" si="90"/>
        <v>904.36</v>
      </c>
      <c r="Z29" s="277">
        <v>0</v>
      </c>
      <c r="AA29" s="276">
        <f t="shared" si="91"/>
        <v>904.36</v>
      </c>
      <c r="AB29" s="276">
        <f t="shared" si="92"/>
        <v>7182.64</v>
      </c>
      <c r="AC29" s="338"/>
      <c r="AD29" s="339"/>
    </row>
    <row r="30" spans="1:30" s="382" customFormat="1" ht="195.75" customHeight="1" x14ac:dyDescent="0.2">
      <c r="A30" s="377"/>
      <c r="B30" s="283" t="s">
        <v>557</v>
      </c>
      <c r="C30" s="283" t="s">
        <v>115</v>
      </c>
      <c r="D30" s="383" t="s">
        <v>551</v>
      </c>
      <c r="E30" s="365" t="s">
        <v>552</v>
      </c>
      <c r="F30" s="278" t="s">
        <v>553</v>
      </c>
      <c r="G30" s="329">
        <v>45704</v>
      </c>
      <c r="H30" s="271" t="s">
        <v>79</v>
      </c>
      <c r="I30" s="272">
        <v>15</v>
      </c>
      <c r="J30" s="272">
        <f t="shared" si="77"/>
        <v>539.13333333333333</v>
      </c>
      <c r="K30" s="274">
        <v>8087</v>
      </c>
      <c r="L30" s="275">
        <v>0</v>
      </c>
      <c r="M30" s="276">
        <f t="shared" si="78"/>
        <v>8087</v>
      </c>
      <c r="N30" s="298">
        <f t="shared" si="79"/>
        <v>0</v>
      </c>
      <c r="O30" s="319">
        <f t="shared" si="80"/>
        <v>16389.653333333332</v>
      </c>
      <c r="P30" s="319">
        <f t="shared" si="81"/>
        <v>15487.72</v>
      </c>
      <c r="Q30" s="298">
        <f t="shared" si="82"/>
        <v>901.93333333333248</v>
      </c>
      <c r="R30" s="299">
        <f t="shared" si="83"/>
        <v>0.21360000000000001</v>
      </c>
      <c r="S30" s="298">
        <f t="shared" si="84"/>
        <v>192.65295999999984</v>
      </c>
      <c r="T30" s="300">
        <f t="shared" si="85"/>
        <v>1640.18</v>
      </c>
      <c r="U30" s="298">
        <f t="shared" si="86"/>
        <v>1832.83296</v>
      </c>
      <c r="V30" s="298">
        <f t="shared" si="87"/>
        <v>0</v>
      </c>
      <c r="W30" s="298">
        <f t="shared" si="88"/>
        <v>904.36</v>
      </c>
      <c r="X30" s="276">
        <f t="shared" si="89"/>
        <v>0</v>
      </c>
      <c r="Y30" s="276">
        <f t="shared" si="90"/>
        <v>904.36</v>
      </c>
      <c r="Z30" s="277">
        <v>0</v>
      </c>
      <c r="AA30" s="276">
        <f t="shared" si="91"/>
        <v>904.36</v>
      </c>
      <c r="AB30" s="276">
        <f t="shared" si="92"/>
        <v>7182.64</v>
      </c>
      <c r="AC30" s="338"/>
      <c r="AD30" s="339"/>
    </row>
    <row r="31" spans="1:30" s="382" customFormat="1" ht="195.75" customHeight="1" x14ac:dyDescent="0.2">
      <c r="A31" s="377"/>
      <c r="B31" s="283" t="s">
        <v>561</v>
      </c>
      <c r="C31" s="283" t="s">
        <v>115</v>
      </c>
      <c r="D31" s="383" t="s">
        <v>562</v>
      </c>
      <c r="E31" s="365" t="s">
        <v>559</v>
      </c>
      <c r="F31" s="278" t="s">
        <v>560</v>
      </c>
      <c r="G31" s="329">
        <v>45717</v>
      </c>
      <c r="H31" s="271" t="s">
        <v>79</v>
      </c>
      <c r="I31" s="272">
        <v>15</v>
      </c>
      <c r="J31" s="272">
        <f t="shared" si="77"/>
        <v>539.13333333333333</v>
      </c>
      <c r="K31" s="274">
        <v>8087</v>
      </c>
      <c r="L31" s="275">
        <v>0</v>
      </c>
      <c r="M31" s="276">
        <f t="shared" si="78"/>
        <v>8087</v>
      </c>
      <c r="N31" s="298">
        <f t="shared" si="79"/>
        <v>0</v>
      </c>
      <c r="O31" s="319">
        <f t="shared" si="80"/>
        <v>16389.653333333332</v>
      </c>
      <c r="P31" s="319">
        <f t="shared" si="81"/>
        <v>15487.72</v>
      </c>
      <c r="Q31" s="298">
        <f t="shared" si="82"/>
        <v>901.93333333333248</v>
      </c>
      <c r="R31" s="299">
        <f t="shared" si="83"/>
        <v>0.21360000000000001</v>
      </c>
      <c r="S31" s="298">
        <f t="shared" si="84"/>
        <v>192.65295999999984</v>
      </c>
      <c r="T31" s="300">
        <f t="shared" si="85"/>
        <v>1640.18</v>
      </c>
      <c r="U31" s="298">
        <f t="shared" si="86"/>
        <v>1832.83296</v>
      </c>
      <c r="V31" s="298">
        <f t="shared" si="87"/>
        <v>0</v>
      </c>
      <c r="W31" s="298">
        <f t="shared" si="88"/>
        <v>904.36</v>
      </c>
      <c r="X31" s="276">
        <f t="shared" si="89"/>
        <v>0</v>
      </c>
      <c r="Y31" s="276">
        <f t="shared" si="90"/>
        <v>904.36</v>
      </c>
      <c r="Z31" s="277">
        <v>0</v>
      </c>
      <c r="AA31" s="276">
        <f t="shared" si="91"/>
        <v>904.36</v>
      </c>
      <c r="AB31" s="276">
        <f t="shared" si="92"/>
        <v>7182.64</v>
      </c>
      <c r="AC31" s="338"/>
      <c r="AD31" s="339"/>
    </row>
    <row r="32" spans="1:30" s="382" customFormat="1" ht="32.25" customHeight="1" x14ac:dyDescent="0.2">
      <c r="A32" s="377"/>
      <c r="B32" s="413"/>
      <c r="C32" s="413"/>
      <c r="D32" s="448"/>
      <c r="E32" s="431"/>
      <c r="F32" s="424"/>
      <c r="G32" s="449"/>
      <c r="H32" s="417"/>
      <c r="I32" s="418"/>
      <c r="J32" s="418"/>
      <c r="K32" s="420"/>
      <c r="L32" s="421"/>
      <c r="M32" s="422"/>
      <c r="N32" s="393"/>
      <c r="O32" s="394"/>
      <c r="P32" s="394"/>
      <c r="Q32" s="393"/>
      <c r="R32" s="395"/>
      <c r="S32" s="393"/>
      <c r="T32" s="396"/>
      <c r="U32" s="393"/>
      <c r="V32" s="393"/>
      <c r="W32" s="393"/>
      <c r="X32" s="422"/>
      <c r="Y32" s="422"/>
      <c r="Z32" s="423"/>
      <c r="AA32" s="422"/>
      <c r="AB32" s="422"/>
      <c r="AC32" s="450"/>
      <c r="AD32" s="339"/>
    </row>
    <row r="33" spans="1:30" s="382" customFormat="1" ht="32.25" customHeight="1" x14ac:dyDescent="0.25">
      <c r="A33" s="377"/>
      <c r="B33" s="518" t="s">
        <v>363</v>
      </c>
      <c r="C33" s="519"/>
      <c r="D33" s="519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19"/>
      <c r="Z33" s="519"/>
      <c r="AA33" s="519"/>
      <c r="AB33" s="519"/>
      <c r="AC33" s="519"/>
      <c r="AD33" s="339"/>
    </row>
    <row r="34" spans="1:30" s="382" customFormat="1" ht="32.25" customHeight="1" x14ac:dyDescent="0.25">
      <c r="A34" s="377"/>
      <c r="B34" s="518" t="s">
        <v>364</v>
      </c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339"/>
    </row>
    <row r="35" spans="1:30" s="452" customFormat="1" ht="32.25" customHeight="1" x14ac:dyDescent="0.2">
      <c r="A35" s="451"/>
      <c r="B35" s="525" t="str">
        <f>B22</f>
        <v>SUELDO  DEL 01 AL 15 DE SEPTIEMBRE DE 2025</v>
      </c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525"/>
      <c r="Y35" s="525"/>
      <c r="Z35" s="525"/>
      <c r="AA35" s="525"/>
      <c r="AB35" s="525"/>
      <c r="AC35" s="525"/>
    </row>
    <row r="36" spans="1:30" s="452" customFormat="1" ht="32.25" customHeight="1" x14ac:dyDescent="0.2">
      <c r="A36" s="451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  <c r="AC36" s="453"/>
    </row>
    <row r="37" spans="1:30" s="382" customFormat="1" ht="195" customHeight="1" x14ac:dyDescent="0.2">
      <c r="A37" s="377"/>
      <c r="B37" s="341" t="s">
        <v>628</v>
      </c>
      <c r="C37" s="341" t="s">
        <v>115</v>
      </c>
      <c r="D37" s="439" t="s">
        <v>629</v>
      </c>
      <c r="E37" s="440" t="s">
        <v>630</v>
      </c>
      <c r="F37" s="441" t="s">
        <v>631</v>
      </c>
      <c r="G37" s="442">
        <v>45884</v>
      </c>
      <c r="H37" s="345" t="s">
        <v>79</v>
      </c>
      <c r="I37" s="443">
        <v>15</v>
      </c>
      <c r="J37" s="443">
        <f t="shared" ref="J37" si="93">K37/I37</f>
        <v>539.13333333333333</v>
      </c>
      <c r="K37" s="346">
        <v>8087</v>
      </c>
      <c r="L37" s="347">
        <v>0</v>
      </c>
      <c r="M37" s="348">
        <f t="shared" ref="M37" si="94">SUM(K37:L37)</f>
        <v>8087</v>
      </c>
      <c r="N37" s="444">
        <f t="shared" ref="N37" si="95">IF(K37/15&lt;=SMG,0,L37/2)</f>
        <v>0</v>
      </c>
      <c r="O37" s="445">
        <f t="shared" ref="O37" si="96">(K37+N37)/I37*30.4</f>
        <v>16389.653333333332</v>
      </c>
      <c r="P37" s="445">
        <f t="shared" ref="P37" si="97">VLOOKUP(O37,Tarifa,1)</f>
        <v>15487.72</v>
      </c>
      <c r="Q37" s="444">
        <f t="shared" ref="Q37" si="98">O37-P37</f>
        <v>901.93333333333248</v>
      </c>
      <c r="R37" s="446">
        <f t="shared" ref="R37" si="99">VLOOKUP(O37,Tarifa,3)</f>
        <v>0.21360000000000001</v>
      </c>
      <c r="S37" s="444">
        <f t="shared" ref="S37" si="100">Q37*R37</f>
        <v>192.65295999999984</v>
      </c>
      <c r="T37" s="447">
        <f t="shared" ref="T37" si="101">VLOOKUP(O37,Tarifa,2)</f>
        <v>1640.18</v>
      </c>
      <c r="U37" s="444">
        <f t="shared" ref="U37" si="102">S37+T37</f>
        <v>1832.83296</v>
      </c>
      <c r="V37" s="444">
        <f t="shared" ref="V37" si="103">VLOOKUP(O37,Credito,2)</f>
        <v>0</v>
      </c>
      <c r="W37" s="444">
        <f t="shared" ref="W37" si="104">ROUND((U37-V37)/30.4*I37,2)</f>
        <v>904.36</v>
      </c>
      <c r="X37" s="348">
        <f t="shared" ref="X37" si="105">-IF(W37&gt;0,0,0)</f>
        <v>0</v>
      </c>
      <c r="Y37" s="348">
        <f t="shared" ref="Y37" si="106">IF(K37/15&lt;=SMG,0,IF(W37&lt;0,0,W37))</f>
        <v>904.36</v>
      </c>
      <c r="Z37" s="349">
        <v>0</v>
      </c>
      <c r="AA37" s="348">
        <f t="shared" ref="AA37" si="107">SUM(Y37:Z37)</f>
        <v>904.36</v>
      </c>
      <c r="AB37" s="348">
        <f t="shared" ref="AB37" si="108">M37+X37-AA37</f>
        <v>7182.64</v>
      </c>
      <c r="AC37" s="350"/>
      <c r="AD37" s="339"/>
    </row>
    <row r="38" spans="1:30" s="382" customFormat="1" ht="195" customHeight="1" x14ac:dyDescent="0.2">
      <c r="A38" s="377"/>
      <c r="B38" s="283" t="s">
        <v>636</v>
      </c>
      <c r="C38" s="283" t="s">
        <v>115</v>
      </c>
      <c r="D38" s="383" t="s">
        <v>647</v>
      </c>
      <c r="E38" s="365" t="s">
        <v>637</v>
      </c>
      <c r="F38" s="278" t="s">
        <v>638</v>
      </c>
      <c r="G38" s="329">
        <v>45884</v>
      </c>
      <c r="H38" s="271" t="s">
        <v>79</v>
      </c>
      <c r="I38" s="272">
        <v>15</v>
      </c>
      <c r="J38" s="272">
        <f t="shared" si="77"/>
        <v>539.13333333333333</v>
      </c>
      <c r="K38" s="274">
        <v>8087</v>
      </c>
      <c r="L38" s="275">
        <v>0</v>
      </c>
      <c r="M38" s="276">
        <f t="shared" si="78"/>
        <v>8087</v>
      </c>
      <c r="N38" s="298">
        <f t="shared" si="79"/>
        <v>0</v>
      </c>
      <c r="O38" s="319">
        <f t="shared" si="80"/>
        <v>16389.653333333332</v>
      </c>
      <c r="P38" s="319">
        <f t="shared" si="81"/>
        <v>15487.72</v>
      </c>
      <c r="Q38" s="298">
        <f t="shared" si="82"/>
        <v>901.93333333333248</v>
      </c>
      <c r="R38" s="299">
        <f t="shared" si="83"/>
        <v>0.21360000000000001</v>
      </c>
      <c r="S38" s="298">
        <f t="shared" si="84"/>
        <v>192.65295999999984</v>
      </c>
      <c r="T38" s="300">
        <f t="shared" si="85"/>
        <v>1640.18</v>
      </c>
      <c r="U38" s="298">
        <f t="shared" si="86"/>
        <v>1832.83296</v>
      </c>
      <c r="V38" s="298">
        <f t="shared" si="87"/>
        <v>0</v>
      </c>
      <c r="W38" s="298">
        <f t="shared" si="88"/>
        <v>904.36</v>
      </c>
      <c r="X38" s="276">
        <f t="shared" si="89"/>
        <v>0</v>
      </c>
      <c r="Y38" s="276">
        <f t="shared" si="90"/>
        <v>904.36</v>
      </c>
      <c r="Z38" s="277">
        <v>0</v>
      </c>
      <c r="AA38" s="276">
        <f t="shared" si="91"/>
        <v>904.36</v>
      </c>
      <c r="AB38" s="276">
        <f t="shared" si="92"/>
        <v>7182.64</v>
      </c>
      <c r="AC38" s="338"/>
      <c r="AD38" s="339"/>
    </row>
    <row r="39" spans="1:30" s="382" customFormat="1" ht="195" customHeight="1" x14ac:dyDescent="0.2">
      <c r="A39" s="377"/>
      <c r="B39" s="283" t="s">
        <v>649</v>
      </c>
      <c r="C39" s="283" t="s">
        <v>115</v>
      </c>
      <c r="D39" s="383" t="s">
        <v>650</v>
      </c>
      <c r="E39" s="365" t="s">
        <v>651</v>
      </c>
      <c r="F39" s="278" t="s">
        <v>652</v>
      </c>
      <c r="G39" s="329">
        <v>45901</v>
      </c>
      <c r="H39" s="271" t="s">
        <v>79</v>
      </c>
      <c r="I39" s="272">
        <v>15</v>
      </c>
      <c r="J39" s="272">
        <f t="shared" ref="J39" si="109">K39/I39</f>
        <v>539.13333333333333</v>
      </c>
      <c r="K39" s="274">
        <v>8087</v>
      </c>
      <c r="L39" s="275">
        <v>0</v>
      </c>
      <c r="M39" s="276">
        <f t="shared" ref="M39" si="110">SUM(K39:L39)</f>
        <v>8087</v>
      </c>
      <c r="N39" s="298">
        <f t="shared" ref="N39" si="111">IF(K39/15&lt;=SMG,0,L39/2)</f>
        <v>0</v>
      </c>
      <c r="O39" s="319">
        <f t="shared" ref="O39" si="112">(K39+N39)/I39*30.4</f>
        <v>16389.653333333332</v>
      </c>
      <c r="P39" s="319">
        <f t="shared" ref="P39" si="113">VLOOKUP(O39,Tarifa,1)</f>
        <v>15487.72</v>
      </c>
      <c r="Q39" s="298">
        <f t="shared" ref="Q39" si="114">O39-P39</f>
        <v>901.93333333333248</v>
      </c>
      <c r="R39" s="299">
        <f t="shared" ref="R39" si="115">VLOOKUP(O39,Tarifa,3)</f>
        <v>0.21360000000000001</v>
      </c>
      <c r="S39" s="298">
        <f t="shared" ref="S39" si="116">Q39*R39</f>
        <v>192.65295999999984</v>
      </c>
      <c r="T39" s="300">
        <f t="shared" ref="T39" si="117">VLOOKUP(O39,Tarifa,2)</f>
        <v>1640.18</v>
      </c>
      <c r="U39" s="298">
        <f t="shared" ref="U39" si="118">S39+T39</f>
        <v>1832.83296</v>
      </c>
      <c r="V39" s="298">
        <f t="shared" ref="V39" si="119">VLOOKUP(O39,Credito,2)</f>
        <v>0</v>
      </c>
      <c r="W39" s="298">
        <f t="shared" ref="W39" si="120">ROUND((U39-V39)/30.4*I39,2)</f>
        <v>904.36</v>
      </c>
      <c r="X39" s="276">
        <f t="shared" ref="X39" si="121">-IF(W39&gt;0,0,0)</f>
        <v>0</v>
      </c>
      <c r="Y39" s="276">
        <f t="shared" ref="Y39" si="122">IF(K39/15&lt;=SMG,0,IF(W39&lt;0,0,W39))</f>
        <v>904.36</v>
      </c>
      <c r="Z39" s="277">
        <v>0</v>
      </c>
      <c r="AA39" s="276">
        <f t="shared" ref="AA39" si="123">SUM(Y39:Z39)</f>
        <v>904.36</v>
      </c>
      <c r="AB39" s="276">
        <f t="shared" ref="AB39" si="124">M39+X39-AA39</f>
        <v>7182.64</v>
      </c>
      <c r="AC39" s="338"/>
      <c r="AD39" s="339"/>
    </row>
    <row r="40" spans="1:30" ht="29.25" customHeight="1" thickBot="1" x14ac:dyDescent="0.35">
      <c r="A40" s="463" t="s">
        <v>44</v>
      </c>
      <c r="B40" s="464"/>
      <c r="C40" s="464"/>
      <c r="D40" s="464"/>
      <c r="E40" s="464"/>
      <c r="F40" s="464"/>
      <c r="G40" s="464"/>
      <c r="H40" s="464"/>
      <c r="I40" s="464"/>
      <c r="J40" s="379"/>
      <c r="K40" s="208">
        <f>SUM(K9:K39)</f>
        <v>158989</v>
      </c>
      <c r="L40" s="208">
        <f>SUM(L9:L39)</f>
        <v>0</v>
      </c>
      <c r="M40" s="208">
        <f>SUM(M9:M39)</f>
        <v>158989</v>
      </c>
      <c r="N40" s="209">
        <f t="shared" ref="N40:W40" si="125">SUM(N9:N16)</f>
        <v>0</v>
      </c>
      <c r="O40" s="209">
        <f t="shared" si="125"/>
        <v>141931.51999999999</v>
      </c>
      <c r="P40" s="209">
        <f t="shared" si="125"/>
        <v>123901.75999999999</v>
      </c>
      <c r="Q40" s="209">
        <f t="shared" si="125"/>
        <v>18029.759999999995</v>
      </c>
      <c r="R40" s="209">
        <f t="shared" si="125"/>
        <v>1.7088000000000001</v>
      </c>
      <c r="S40" s="209">
        <f t="shared" si="125"/>
        <v>3851.156735999999</v>
      </c>
      <c r="T40" s="209">
        <f t="shared" si="125"/>
        <v>13121.44</v>
      </c>
      <c r="U40" s="209">
        <f t="shared" si="125"/>
        <v>16972.596736</v>
      </c>
      <c r="V40" s="209">
        <f t="shared" si="125"/>
        <v>0</v>
      </c>
      <c r="W40" s="209">
        <f t="shared" si="125"/>
        <v>8374.65</v>
      </c>
      <c r="X40" s="208">
        <f>SUM(X9:X39)</f>
        <v>0</v>
      </c>
      <c r="Y40" s="208">
        <f>SUM(Y9:Y39)</f>
        <v>18322.610000000004</v>
      </c>
      <c r="Z40" s="208">
        <f>SUM(Z9:Z39)</f>
        <v>0</v>
      </c>
      <c r="AA40" s="208">
        <f>SUM(AA9:AA39)</f>
        <v>18322.610000000004</v>
      </c>
      <c r="AB40" s="208">
        <f>SUM(AB9:AB39)</f>
        <v>140666.39000000001</v>
      </c>
      <c r="AC40" s="4"/>
      <c r="AD40" s="4"/>
    </row>
    <row r="41" spans="1:30" ht="13.5" thickTop="1" x14ac:dyDescent="0.2"/>
    <row r="54" spans="4:42" ht="6" customHeight="1" x14ac:dyDescent="0.2"/>
    <row r="56" spans="4:42" ht="18" x14ac:dyDescent="0.25">
      <c r="D56" s="213" t="s">
        <v>478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213" t="s">
        <v>150</v>
      </c>
      <c r="AA56" s="108"/>
      <c r="AB56" s="108"/>
      <c r="AC56" s="108"/>
    </row>
    <row r="57" spans="4:42" ht="18" x14ac:dyDescent="0.25">
      <c r="D57" s="213" t="s">
        <v>496</v>
      </c>
      <c r="E57" s="213"/>
      <c r="F57" s="213"/>
      <c r="G57" s="213"/>
      <c r="H57" s="213"/>
      <c r="I57" s="213"/>
      <c r="J57" s="213"/>
      <c r="K57" s="213"/>
      <c r="L57" s="213"/>
      <c r="M57" s="213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13" t="s">
        <v>215</v>
      </c>
      <c r="AA57" s="108"/>
      <c r="AB57" s="213"/>
      <c r="AC57" s="213"/>
      <c r="AD57" s="85"/>
      <c r="AE57" s="85"/>
      <c r="AF57" s="85"/>
      <c r="AG57" s="85"/>
      <c r="AH57" s="85"/>
      <c r="AI57" s="85"/>
      <c r="AJ57" s="85"/>
      <c r="AK57" s="85"/>
      <c r="AL57" s="85"/>
      <c r="AO57" s="85"/>
      <c r="AP57" s="85"/>
    </row>
    <row r="62" spans="4:42" x14ac:dyDescent="0.2">
      <c r="E62" s="4"/>
    </row>
  </sheetData>
  <mergeCells count="15">
    <mergeCell ref="B22:AC22"/>
    <mergeCell ref="A40:I40"/>
    <mergeCell ref="A1:AC1"/>
    <mergeCell ref="A2:AC2"/>
    <mergeCell ref="K5:M5"/>
    <mergeCell ref="P5:U5"/>
    <mergeCell ref="Y5:AA5"/>
    <mergeCell ref="B20:AC20"/>
    <mergeCell ref="B21:AC21"/>
    <mergeCell ref="B23:AC23"/>
    <mergeCell ref="B8:D8"/>
    <mergeCell ref="B3:AC3"/>
    <mergeCell ref="B33:AC33"/>
    <mergeCell ref="B34:AC34"/>
    <mergeCell ref="B35:AC35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3" zoomScale="73" zoomScaleNormal="73" workbookViewId="0">
      <selection activeCell="L11" sqref="L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77" t="s">
        <v>76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29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29" ht="19.5" x14ac:dyDescent="0.25">
      <c r="A3" s="467" t="str">
        <f>CHOFERES!A3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26" t="s">
        <v>1</v>
      </c>
      <c r="L5" s="527"/>
      <c r="M5" s="528"/>
      <c r="N5" s="70" t="s">
        <v>25</v>
      </c>
      <c r="O5" s="71"/>
      <c r="P5" s="529" t="s">
        <v>8</v>
      </c>
      <c r="Q5" s="530"/>
      <c r="R5" s="530"/>
      <c r="S5" s="530"/>
      <c r="T5" s="530"/>
      <c r="U5" s="531"/>
      <c r="V5" s="70" t="s">
        <v>29</v>
      </c>
      <c r="W5" s="70" t="s">
        <v>9</v>
      </c>
      <c r="X5" s="69" t="s">
        <v>52</v>
      </c>
      <c r="Y5" s="532" t="s">
        <v>2</v>
      </c>
      <c r="Z5" s="533"/>
      <c r="AA5" s="534"/>
      <c r="AB5" s="69" t="s">
        <v>0</v>
      </c>
      <c r="AC5" s="72"/>
    </row>
    <row r="6" spans="1:29" ht="22.5" x14ac:dyDescent="0.2">
      <c r="A6" s="73" t="s">
        <v>20</v>
      </c>
      <c r="B6" s="74" t="s">
        <v>96</v>
      </c>
      <c r="C6" s="74" t="s">
        <v>116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267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125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132</v>
      </c>
      <c r="E8" s="36" t="s">
        <v>97</v>
      </c>
      <c r="F8" s="36" t="s">
        <v>221</v>
      </c>
      <c r="G8" s="98" t="s">
        <v>272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2" customFormat="1" ht="117" customHeight="1" x14ac:dyDescent="0.2">
      <c r="A9" s="384"/>
      <c r="B9" s="385">
        <v>391</v>
      </c>
      <c r="C9" s="267" t="s">
        <v>115</v>
      </c>
      <c r="D9" s="355" t="s">
        <v>485</v>
      </c>
      <c r="E9" s="356" t="s">
        <v>486</v>
      </c>
      <c r="F9" s="356" t="s">
        <v>487</v>
      </c>
      <c r="G9" s="386">
        <v>45586</v>
      </c>
      <c r="H9" s="387" t="s">
        <v>484</v>
      </c>
      <c r="I9" s="356">
        <v>15</v>
      </c>
      <c r="J9" s="356">
        <f t="shared" ref="J9:J17" si="0">K9/I9</f>
        <v>675.23333333333335</v>
      </c>
      <c r="K9" s="274">
        <v>10128.5</v>
      </c>
      <c r="L9" s="275">
        <v>0</v>
      </c>
      <c r="M9" s="276">
        <f t="shared" ref="M9" si="1">SUM(K9:L9)</f>
        <v>10128.5</v>
      </c>
      <c r="N9" s="409">
        <f t="shared" ref="N9:N17" si="2">IF(K9/15&lt;=SMG,0,L9/2)</f>
        <v>0</v>
      </c>
      <c r="O9" s="409">
        <f t="shared" ref="O9:O17" si="3">(K9+N9)/I9*30.4</f>
        <v>20527.093333333334</v>
      </c>
      <c r="P9" s="409">
        <f t="shared" ref="P9:P17" si="4">VLOOKUP(O9,Tarifa,1)</f>
        <v>15487.72</v>
      </c>
      <c r="Q9" s="409">
        <f t="shared" ref="Q9:Q17" si="5">O9-P9</f>
        <v>5039.3733333333348</v>
      </c>
      <c r="R9" s="410">
        <f t="shared" ref="R9:R17" si="6">VLOOKUP(O9,Tarifa,3)</f>
        <v>0.21360000000000001</v>
      </c>
      <c r="S9" s="409">
        <f t="shared" ref="S9:S17" si="7">Q9*R9</f>
        <v>1076.4101440000004</v>
      </c>
      <c r="T9" s="411">
        <f t="shared" ref="T9:T17" si="8">VLOOKUP(O9,Tarifa,2)</f>
        <v>1640.18</v>
      </c>
      <c r="U9" s="409">
        <f t="shared" ref="U9:U17" si="9">S9+T9</f>
        <v>2716.5901440000007</v>
      </c>
      <c r="V9" s="409">
        <f t="shared" ref="V9:V17" si="10">VLOOKUP(O9,Credito,2)</f>
        <v>0</v>
      </c>
      <c r="W9" s="409">
        <f t="shared" ref="W9:W17" si="11">ROUND((U9-V9)/30.4*I9,2)</f>
        <v>1340.42</v>
      </c>
      <c r="X9" s="276">
        <f>-IF(W9&gt;0,0,0)</f>
        <v>0</v>
      </c>
      <c r="Y9" s="276">
        <f t="shared" ref="Y9" si="12">IF(K9/15&lt;=SMG,0,IF(W9&lt;0,0,W9))</f>
        <v>1340.42</v>
      </c>
      <c r="Z9" s="277">
        <v>0</v>
      </c>
      <c r="AA9" s="276">
        <f t="shared" ref="AA9" si="13">SUM(Y9:Z9)</f>
        <v>1340.42</v>
      </c>
      <c r="AB9" s="276">
        <f t="shared" ref="AB9" si="14">M9+X9-AA9</f>
        <v>8788.08</v>
      </c>
      <c r="AC9" s="356"/>
    </row>
    <row r="10" spans="1:29" s="280" customFormat="1" ht="117" customHeight="1" x14ac:dyDescent="0.2">
      <c r="A10" s="265"/>
      <c r="B10" s="267" t="s">
        <v>528</v>
      </c>
      <c r="C10" s="267" t="s">
        <v>115</v>
      </c>
      <c r="D10" s="380" t="s">
        <v>524</v>
      </c>
      <c r="E10" s="365" t="s">
        <v>525</v>
      </c>
      <c r="F10" s="365" t="s">
        <v>526</v>
      </c>
      <c r="G10" s="388">
        <v>45658</v>
      </c>
      <c r="H10" s="387" t="s">
        <v>484</v>
      </c>
      <c r="I10" s="356">
        <v>15</v>
      </c>
      <c r="J10" s="356">
        <f t="shared" si="0"/>
        <v>774.58933333333334</v>
      </c>
      <c r="K10" s="274">
        <v>11618.84</v>
      </c>
      <c r="L10" s="275">
        <v>0</v>
      </c>
      <c r="M10" s="276">
        <f t="shared" ref="M10:M11" si="15">SUM(K10:L10)</f>
        <v>11618.84</v>
      </c>
      <c r="N10" s="409">
        <f t="shared" si="2"/>
        <v>0</v>
      </c>
      <c r="O10" s="409">
        <f t="shared" si="3"/>
        <v>23547.515733333334</v>
      </c>
      <c r="P10" s="409">
        <f t="shared" si="4"/>
        <v>15487.72</v>
      </c>
      <c r="Q10" s="409">
        <f t="shared" si="5"/>
        <v>8059.7957333333343</v>
      </c>
      <c r="R10" s="410">
        <f t="shared" si="6"/>
        <v>0.21360000000000001</v>
      </c>
      <c r="S10" s="409">
        <f t="shared" si="7"/>
        <v>1721.5723686400004</v>
      </c>
      <c r="T10" s="411">
        <f t="shared" si="8"/>
        <v>1640.18</v>
      </c>
      <c r="U10" s="409">
        <f t="shared" si="9"/>
        <v>3361.7523686400004</v>
      </c>
      <c r="V10" s="409">
        <f t="shared" si="10"/>
        <v>0</v>
      </c>
      <c r="W10" s="409">
        <f t="shared" si="11"/>
        <v>1658.76</v>
      </c>
      <c r="X10" s="276">
        <f>-IF(W10&gt;0,0,0)</f>
        <v>0</v>
      </c>
      <c r="Y10" s="276">
        <f t="shared" ref="Y10:Y11" si="16">IF(K10/15&lt;=SMG,0,IF(W10&lt;0,0,W10))</f>
        <v>1658.76</v>
      </c>
      <c r="Z10" s="277">
        <v>0</v>
      </c>
      <c r="AA10" s="276">
        <f t="shared" ref="AA10:AA11" si="17">SUM(Y10:Z10)</f>
        <v>1658.76</v>
      </c>
      <c r="AB10" s="276">
        <f t="shared" ref="AB10:AB11" si="18">M10+X10-AA10</f>
        <v>9960.08</v>
      </c>
      <c r="AC10" s="278"/>
    </row>
    <row r="11" spans="1:29" s="280" customFormat="1" ht="117" customHeight="1" x14ac:dyDescent="0.2">
      <c r="A11" s="265"/>
      <c r="B11" s="267" t="s">
        <v>632</v>
      </c>
      <c r="C11" s="267" t="s">
        <v>115</v>
      </c>
      <c r="D11" s="380" t="s">
        <v>633</v>
      </c>
      <c r="E11" s="365" t="s">
        <v>634</v>
      </c>
      <c r="F11" s="365" t="s">
        <v>635</v>
      </c>
      <c r="G11" s="388">
        <v>45885</v>
      </c>
      <c r="H11" s="387" t="s">
        <v>484</v>
      </c>
      <c r="I11" s="356">
        <v>15</v>
      </c>
      <c r="J11" s="356">
        <f t="shared" ref="J11" si="19">K11/I11</f>
        <v>675.23333333333335</v>
      </c>
      <c r="K11" s="274">
        <v>10128.5</v>
      </c>
      <c r="L11" s="275">
        <v>0</v>
      </c>
      <c r="M11" s="276">
        <f t="shared" si="15"/>
        <v>10128.5</v>
      </c>
      <c r="N11" s="409">
        <f t="shared" ref="N11" si="20">IF(K11/15&lt;=SMG,0,L11/2)</f>
        <v>0</v>
      </c>
      <c r="O11" s="409">
        <f t="shared" ref="O11" si="21">(K11+N11)/I11*30.4</f>
        <v>20527.093333333334</v>
      </c>
      <c r="P11" s="409">
        <f t="shared" ref="P11" si="22">VLOOKUP(O11,Tarifa,1)</f>
        <v>15487.72</v>
      </c>
      <c r="Q11" s="409">
        <f t="shared" ref="Q11" si="23">O11-P11</f>
        <v>5039.3733333333348</v>
      </c>
      <c r="R11" s="410">
        <f t="shared" ref="R11" si="24">VLOOKUP(O11,Tarifa,3)</f>
        <v>0.21360000000000001</v>
      </c>
      <c r="S11" s="409">
        <f t="shared" ref="S11" si="25">Q11*R11</f>
        <v>1076.4101440000004</v>
      </c>
      <c r="T11" s="411">
        <f t="shared" ref="T11" si="26">VLOOKUP(O11,Tarifa,2)</f>
        <v>1640.18</v>
      </c>
      <c r="U11" s="409">
        <f t="shared" ref="U11" si="27">S11+T11</f>
        <v>2716.5901440000007</v>
      </c>
      <c r="V11" s="409">
        <f t="shared" ref="V11" si="28">VLOOKUP(O11,Credito,2)</f>
        <v>0</v>
      </c>
      <c r="W11" s="409">
        <f t="shared" ref="W11" si="29">ROUND((U11-V11)/30.4*I11,2)</f>
        <v>1340.42</v>
      </c>
      <c r="X11" s="276">
        <f>-IF(W11&gt;0,0,0)</f>
        <v>0</v>
      </c>
      <c r="Y11" s="276">
        <f t="shared" si="16"/>
        <v>1340.42</v>
      </c>
      <c r="Z11" s="277">
        <v>0</v>
      </c>
      <c r="AA11" s="276">
        <f t="shared" si="17"/>
        <v>1340.42</v>
      </c>
      <c r="AB11" s="276">
        <f t="shared" si="18"/>
        <v>8788.08</v>
      </c>
      <c r="AC11" s="278"/>
    </row>
    <row r="12" spans="1:29" s="280" customFormat="1" ht="117" customHeight="1" x14ac:dyDescent="0.2">
      <c r="A12" s="265"/>
      <c r="B12" s="267" t="s">
        <v>187</v>
      </c>
      <c r="C12" s="267" t="s">
        <v>115</v>
      </c>
      <c r="D12" s="380" t="s">
        <v>185</v>
      </c>
      <c r="E12" s="365" t="s">
        <v>186</v>
      </c>
      <c r="F12" s="365" t="s">
        <v>246</v>
      </c>
      <c r="G12" s="388">
        <v>43998</v>
      </c>
      <c r="H12" s="269" t="s">
        <v>130</v>
      </c>
      <c r="I12" s="356">
        <v>15</v>
      </c>
      <c r="J12" s="356">
        <f t="shared" si="0"/>
        <v>407.9</v>
      </c>
      <c r="K12" s="274">
        <v>6118.5</v>
      </c>
      <c r="L12" s="275">
        <v>0</v>
      </c>
      <c r="M12" s="276">
        <f t="shared" ref="M12" si="30">SUM(K12:L12)</f>
        <v>6118.5</v>
      </c>
      <c r="N12" s="409">
        <f t="shared" si="2"/>
        <v>0</v>
      </c>
      <c r="O12" s="409">
        <f t="shared" si="3"/>
        <v>12400.159999999998</v>
      </c>
      <c r="P12" s="409">
        <f t="shared" si="4"/>
        <v>11128.02</v>
      </c>
      <c r="Q12" s="409">
        <f t="shared" si="5"/>
        <v>1272.1399999999976</v>
      </c>
      <c r="R12" s="410">
        <f t="shared" si="6"/>
        <v>0.16</v>
      </c>
      <c r="S12" s="409">
        <f t="shared" si="7"/>
        <v>203.54239999999962</v>
      </c>
      <c r="T12" s="411">
        <f t="shared" si="8"/>
        <v>893.63</v>
      </c>
      <c r="U12" s="409">
        <f t="shared" si="9"/>
        <v>1097.1723999999997</v>
      </c>
      <c r="V12" s="409">
        <f t="shared" si="10"/>
        <v>0</v>
      </c>
      <c r="W12" s="409">
        <f t="shared" si="11"/>
        <v>541.37</v>
      </c>
      <c r="X12" s="276">
        <f t="shared" ref="X12" si="31">-IF(W12&gt;0,0,0)</f>
        <v>0</v>
      </c>
      <c r="Y12" s="276">
        <f t="shared" ref="Y12" si="32">IF(K12/15&lt;=SMG,0,IF(W12&lt;0,0,W12))</f>
        <v>541.37</v>
      </c>
      <c r="Z12" s="277">
        <v>0</v>
      </c>
      <c r="AA12" s="276">
        <f t="shared" ref="AA12" si="33">SUM(Y12:Z12)</f>
        <v>541.37</v>
      </c>
      <c r="AB12" s="276">
        <f t="shared" ref="AB12" si="34">M12+X12-AA12</f>
        <v>5577.13</v>
      </c>
      <c r="AC12" s="288"/>
    </row>
    <row r="13" spans="1:29" s="280" customFormat="1" ht="117" customHeight="1" x14ac:dyDescent="0.2">
      <c r="A13" s="265"/>
      <c r="B13" s="267" t="s">
        <v>382</v>
      </c>
      <c r="C13" s="267" t="s">
        <v>115</v>
      </c>
      <c r="D13" s="380" t="s">
        <v>383</v>
      </c>
      <c r="E13" s="365" t="s">
        <v>384</v>
      </c>
      <c r="F13" s="365" t="s">
        <v>385</v>
      </c>
      <c r="G13" s="388">
        <v>45481</v>
      </c>
      <c r="H13" s="269" t="s">
        <v>130</v>
      </c>
      <c r="I13" s="356">
        <v>15</v>
      </c>
      <c r="J13" s="356">
        <f t="shared" si="0"/>
        <v>407.9</v>
      </c>
      <c r="K13" s="274">
        <v>6118.5</v>
      </c>
      <c r="L13" s="275">
        <v>0</v>
      </c>
      <c r="M13" s="276">
        <f t="shared" ref="M13:M15" si="35">SUM(K13:L13)</f>
        <v>6118.5</v>
      </c>
      <c r="N13" s="409">
        <f t="shared" si="2"/>
        <v>0</v>
      </c>
      <c r="O13" s="409">
        <f t="shared" si="3"/>
        <v>12400.159999999998</v>
      </c>
      <c r="P13" s="409">
        <f t="shared" si="4"/>
        <v>11128.02</v>
      </c>
      <c r="Q13" s="409">
        <f t="shared" si="5"/>
        <v>1272.1399999999976</v>
      </c>
      <c r="R13" s="410">
        <f t="shared" si="6"/>
        <v>0.16</v>
      </c>
      <c r="S13" s="409">
        <f t="shared" si="7"/>
        <v>203.54239999999962</v>
      </c>
      <c r="T13" s="411">
        <f t="shared" si="8"/>
        <v>893.63</v>
      </c>
      <c r="U13" s="409">
        <f t="shared" si="9"/>
        <v>1097.1723999999997</v>
      </c>
      <c r="V13" s="409">
        <f t="shared" si="10"/>
        <v>0</v>
      </c>
      <c r="W13" s="409">
        <f t="shared" si="11"/>
        <v>541.37</v>
      </c>
      <c r="X13" s="276">
        <f t="shared" ref="X13:X15" si="36">-IF(W13&gt;0,0,0)</f>
        <v>0</v>
      </c>
      <c r="Y13" s="276">
        <f t="shared" ref="Y13:Y15" si="37">IF(K13/15&lt;=SMG,0,IF(W13&lt;0,0,W13))</f>
        <v>541.37</v>
      </c>
      <c r="Z13" s="277">
        <v>0</v>
      </c>
      <c r="AA13" s="276">
        <f t="shared" ref="AA13:AA15" si="38">SUM(Y13:Z13)</f>
        <v>541.37</v>
      </c>
      <c r="AB13" s="276">
        <f t="shared" ref="AB13:AB15" si="39">M13+X13-AA13</f>
        <v>5577.13</v>
      </c>
      <c r="AC13" s="288"/>
    </row>
    <row r="14" spans="1:29" s="280" customFormat="1" ht="117" customHeight="1" x14ac:dyDescent="0.2">
      <c r="A14" s="265"/>
      <c r="B14" s="267" t="s">
        <v>613</v>
      </c>
      <c r="C14" s="267" t="s">
        <v>115</v>
      </c>
      <c r="D14" s="380" t="s">
        <v>614</v>
      </c>
      <c r="E14" s="365" t="s">
        <v>615</v>
      </c>
      <c r="F14" s="365" t="s">
        <v>616</v>
      </c>
      <c r="G14" s="388">
        <v>45854</v>
      </c>
      <c r="H14" s="269" t="s">
        <v>130</v>
      </c>
      <c r="I14" s="356">
        <v>15</v>
      </c>
      <c r="J14" s="356">
        <f t="shared" ref="J14" si="40">K14/I14</f>
        <v>407.9</v>
      </c>
      <c r="K14" s="274">
        <v>6118.5</v>
      </c>
      <c r="L14" s="275">
        <v>0</v>
      </c>
      <c r="M14" s="276">
        <f t="shared" ref="M14" si="41">SUM(K14:L14)</f>
        <v>6118.5</v>
      </c>
      <c r="N14" s="409">
        <f t="shared" ref="N14" si="42">IF(K14/15&lt;=SMG,0,L14/2)</f>
        <v>0</v>
      </c>
      <c r="O14" s="409">
        <f t="shared" ref="O14" si="43">(K14+N14)/I14*30.4</f>
        <v>12400.159999999998</v>
      </c>
      <c r="P14" s="409">
        <f t="shared" ref="P14" si="44">VLOOKUP(O14,Tarifa,1)</f>
        <v>11128.02</v>
      </c>
      <c r="Q14" s="409">
        <f t="shared" ref="Q14" si="45">O14-P14</f>
        <v>1272.1399999999976</v>
      </c>
      <c r="R14" s="410">
        <f t="shared" ref="R14" si="46">VLOOKUP(O14,Tarifa,3)</f>
        <v>0.16</v>
      </c>
      <c r="S14" s="409">
        <f t="shared" ref="S14" si="47">Q14*R14</f>
        <v>203.54239999999962</v>
      </c>
      <c r="T14" s="411">
        <f t="shared" ref="T14" si="48">VLOOKUP(O14,Tarifa,2)</f>
        <v>893.63</v>
      </c>
      <c r="U14" s="409">
        <f t="shared" ref="U14" si="49">S14+T14</f>
        <v>1097.1723999999997</v>
      </c>
      <c r="V14" s="409">
        <f t="shared" ref="V14" si="50">VLOOKUP(O14,Credito,2)</f>
        <v>0</v>
      </c>
      <c r="W14" s="409">
        <f t="shared" ref="W14" si="51">ROUND((U14-V14)/30.4*I14,2)</f>
        <v>541.37</v>
      </c>
      <c r="X14" s="276">
        <f t="shared" ref="X14" si="52">-IF(W14&gt;0,0,0)</f>
        <v>0</v>
      </c>
      <c r="Y14" s="276">
        <f t="shared" ref="Y14" si="53">IF(K14/15&lt;=SMG,0,IF(W14&lt;0,0,W14))</f>
        <v>541.37</v>
      </c>
      <c r="Z14" s="277">
        <v>0</v>
      </c>
      <c r="AA14" s="276">
        <f t="shared" ref="AA14" si="54">SUM(Y14:Z14)</f>
        <v>541.37</v>
      </c>
      <c r="AB14" s="276">
        <f t="shared" ref="AB14" si="55">M14+X14-AA14</f>
        <v>5577.13</v>
      </c>
      <c r="AC14" s="288"/>
    </row>
    <row r="15" spans="1:29" s="280" customFormat="1" ht="117" customHeight="1" x14ac:dyDescent="0.2">
      <c r="A15" s="265"/>
      <c r="B15" s="267" t="s">
        <v>133</v>
      </c>
      <c r="C15" s="267" t="s">
        <v>115</v>
      </c>
      <c r="D15" s="380" t="s">
        <v>129</v>
      </c>
      <c r="E15" s="365" t="s">
        <v>134</v>
      </c>
      <c r="F15" s="365" t="s">
        <v>231</v>
      </c>
      <c r="G15" s="388">
        <v>43101</v>
      </c>
      <c r="H15" s="286" t="s">
        <v>131</v>
      </c>
      <c r="I15" s="356">
        <v>15</v>
      </c>
      <c r="J15" s="356">
        <f t="shared" si="0"/>
        <v>366.73333333333335</v>
      </c>
      <c r="K15" s="274">
        <v>5501</v>
      </c>
      <c r="L15" s="275">
        <v>0</v>
      </c>
      <c r="M15" s="276">
        <f t="shared" si="35"/>
        <v>5501</v>
      </c>
      <c r="N15" s="409">
        <f t="shared" si="2"/>
        <v>0</v>
      </c>
      <c r="O15" s="409">
        <f t="shared" si="3"/>
        <v>11148.693333333333</v>
      </c>
      <c r="P15" s="409">
        <f t="shared" si="4"/>
        <v>11128.02</v>
      </c>
      <c r="Q15" s="409">
        <f t="shared" si="5"/>
        <v>20.673333333332266</v>
      </c>
      <c r="R15" s="410">
        <f t="shared" si="6"/>
        <v>0.16</v>
      </c>
      <c r="S15" s="409">
        <f t="shared" si="7"/>
        <v>3.3077333333331627</v>
      </c>
      <c r="T15" s="411">
        <f t="shared" si="8"/>
        <v>893.63</v>
      </c>
      <c r="U15" s="409">
        <f t="shared" si="9"/>
        <v>896.9377333333332</v>
      </c>
      <c r="V15" s="409">
        <f t="shared" si="10"/>
        <v>0</v>
      </c>
      <c r="W15" s="409">
        <f t="shared" si="11"/>
        <v>442.57</v>
      </c>
      <c r="X15" s="276">
        <f t="shared" si="36"/>
        <v>0</v>
      </c>
      <c r="Y15" s="276">
        <f t="shared" si="37"/>
        <v>442.57</v>
      </c>
      <c r="Z15" s="277">
        <v>0</v>
      </c>
      <c r="AA15" s="276">
        <f t="shared" si="38"/>
        <v>442.57</v>
      </c>
      <c r="AB15" s="276">
        <f t="shared" si="39"/>
        <v>5058.43</v>
      </c>
      <c r="AC15" s="288"/>
    </row>
    <row r="16" spans="1:29" s="280" customFormat="1" ht="117" customHeight="1" x14ac:dyDescent="0.2">
      <c r="A16" s="265"/>
      <c r="B16" s="389">
        <v>328</v>
      </c>
      <c r="C16" s="267" t="s">
        <v>115</v>
      </c>
      <c r="D16" s="262" t="s">
        <v>386</v>
      </c>
      <c r="E16" s="145" t="s">
        <v>387</v>
      </c>
      <c r="F16" s="145" t="s">
        <v>388</v>
      </c>
      <c r="G16" s="388">
        <v>45505</v>
      </c>
      <c r="H16" s="286" t="s">
        <v>131</v>
      </c>
      <c r="I16" s="356">
        <v>15</v>
      </c>
      <c r="J16" s="356">
        <f t="shared" si="0"/>
        <v>366.73333333333335</v>
      </c>
      <c r="K16" s="274">
        <v>5501</v>
      </c>
      <c r="L16" s="275">
        <v>0</v>
      </c>
      <c r="M16" s="276">
        <f t="shared" ref="M16" si="56">SUM(K16:L16)</f>
        <v>5501</v>
      </c>
      <c r="N16" s="409">
        <f t="shared" si="2"/>
        <v>0</v>
      </c>
      <c r="O16" s="409">
        <f t="shared" si="3"/>
        <v>11148.693333333333</v>
      </c>
      <c r="P16" s="409">
        <f t="shared" si="4"/>
        <v>11128.02</v>
      </c>
      <c r="Q16" s="409">
        <f t="shared" si="5"/>
        <v>20.673333333332266</v>
      </c>
      <c r="R16" s="410">
        <f t="shared" si="6"/>
        <v>0.16</v>
      </c>
      <c r="S16" s="409">
        <f t="shared" si="7"/>
        <v>3.3077333333331627</v>
      </c>
      <c r="T16" s="411">
        <f t="shared" si="8"/>
        <v>893.63</v>
      </c>
      <c r="U16" s="409">
        <f t="shared" si="9"/>
        <v>896.9377333333332</v>
      </c>
      <c r="V16" s="409">
        <f t="shared" si="10"/>
        <v>0</v>
      </c>
      <c r="W16" s="409">
        <f t="shared" si="11"/>
        <v>442.57</v>
      </c>
      <c r="X16" s="276">
        <f t="shared" ref="X16" si="57">-IF(W16&gt;0,0,0)</f>
        <v>0</v>
      </c>
      <c r="Y16" s="276">
        <f t="shared" ref="Y16:Y17" si="58">IF(K16/15&lt;=SMG,0,IF(W16&lt;0,0,W16))</f>
        <v>442.57</v>
      </c>
      <c r="Z16" s="277">
        <v>0</v>
      </c>
      <c r="AA16" s="276">
        <f t="shared" ref="AA16" si="59">SUM(Y16:Z16)</f>
        <v>442.57</v>
      </c>
      <c r="AB16" s="276">
        <f t="shared" ref="AB16" si="60">M16+X16-AA16</f>
        <v>5058.43</v>
      </c>
      <c r="AC16" s="288"/>
    </row>
    <row r="17" spans="1:41" s="280" customFormat="1" ht="117" customHeight="1" x14ac:dyDescent="0.2">
      <c r="A17" s="265"/>
      <c r="B17" s="389">
        <v>406</v>
      </c>
      <c r="C17" s="267" t="s">
        <v>476</v>
      </c>
      <c r="D17" s="262" t="s">
        <v>537</v>
      </c>
      <c r="E17" s="145" t="s">
        <v>538</v>
      </c>
      <c r="F17" s="145" t="s">
        <v>539</v>
      </c>
      <c r="G17" s="388">
        <v>45689</v>
      </c>
      <c r="H17" s="286" t="s">
        <v>540</v>
      </c>
      <c r="I17" s="356">
        <v>15</v>
      </c>
      <c r="J17" s="356">
        <f t="shared" si="0"/>
        <v>272.93333333333334</v>
      </c>
      <c r="K17" s="274">
        <v>4094</v>
      </c>
      <c r="L17" s="275">
        <v>0</v>
      </c>
      <c r="M17" s="276">
        <f>SUM(K17:L17)</f>
        <v>4094</v>
      </c>
      <c r="N17" s="409">
        <f t="shared" si="2"/>
        <v>0</v>
      </c>
      <c r="O17" s="409">
        <f t="shared" si="3"/>
        <v>8297.1733333333323</v>
      </c>
      <c r="P17" s="409">
        <f t="shared" si="4"/>
        <v>6332.06</v>
      </c>
      <c r="Q17" s="409">
        <f t="shared" si="5"/>
        <v>1965.1133333333319</v>
      </c>
      <c r="R17" s="410">
        <f t="shared" si="6"/>
        <v>0.10879999999999999</v>
      </c>
      <c r="S17" s="409">
        <f t="shared" si="7"/>
        <v>213.80433066666649</v>
      </c>
      <c r="T17" s="411">
        <f t="shared" si="8"/>
        <v>371.83</v>
      </c>
      <c r="U17" s="409">
        <f t="shared" si="9"/>
        <v>585.63433066666653</v>
      </c>
      <c r="V17" s="409">
        <f t="shared" si="10"/>
        <v>475</v>
      </c>
      <c r="W17" s="409">
        <f t="shared" si="11"/>
        <v>54.59</v>
      </c>
      <c r="X17" s="276">
        <f>-IF(W17&gt;0,0,0)</f>
        <v>0</v>
      </c>
      <c r="Y17" s="276">
        <f t="shared" si="58"/>
        <v>0</v>
      </c>
      <c r="Z17" s="277">
        <v>0</v>
      </c>
      <c r="AA17" s="276">
        <f>SUM(Y17:Z17)</f>
        <v>0</v>
      </c>
      <c r="AB17" s="276">
        <f>M17+X17-AA17</f>
        <v>4094</v>
      </c>
      <c r="AC17" s="288"/>
    </row>
    <row r="18" spans="1:41" ht="40.5" customHeight="1" thickBot="1" x14ac:dyDescent="0.3">
      <c r="A18" s="463" t="s">
        <v>44</v>
      </c>
      <c r="B18" s="464"/>
      <c r="C18" s="464"/>
      <c r="D18" s="464"/>
      <c r="E18" s="464"/>
      <c r="F18" s="464"/>
      <c r="G18" s="464"/>
      <c r="H18" s="464"/>
      <c r="I18" s="464"/>
      <c r="J18" s="465"/>
      <c r="K18" s="136">
        <f>SUM(K9:K17)</f>
        <v>65327.34</v>
      </c>
      <c r="L18" s="136">
        <f>SUM(L9:L17)</f>
        <v>0</v>
      </c>
      <c r="M18" s="136">
        <f>SUM(M9:M17)</f>
        <v>65327.34</v>
      </c>
      <c r="N18" s="137">
        <f t="shared" ref="N18:W18" si="61">SUM(N10:N17)</f>
        <v>0</v>
      </c>
      <c r="O18" s="137">
        <f t="shared" si="61"/>
        <v>111869.64906666667</v>
      </c>
      <c r="P18" s="137">
        <f t="shared" si="61"/>
        <v>92947.6</v>
      </c>
      <c r="Q18" s="137">
        <f t="shared" si="61"/>
        <v>18922.049066666656</v>
      </c>
      <c r="R18" s="137">
        <f t="shared" si="61"/>
        <v>1.3360000000000001</v>
      </c>
      <c r="S18" s="137">
        <f t="shared" si="61"/>
        <v>3629.029509973333</v>
      </c>
      <c r="T18" s="137">
        <f t="shared" si="61"/>
        <v>8120.34</v>
      </c>
      <c r="U18" s="137">
        <f t="shared" si="61"/>
        <v>11749.369509973332</v>
      </c>
      <c r="V18" s="137">
        <f t="shared" si="61"/>
        <v>475</v>
      </c>
      <c r="W18" s="137">
        <f t="shared" si="61"/>
        <v>5563.0199999999995</v>
      </c>
      <c r="X18" s="136">
        <f>SUM(X9:X17)</f>
        <v>0</v>
      </c>
      <c r="Y18" s="136">
        <f>SUM(Y9:Y17)</f>
        <v>6848.8499999999995</v>
      </c>
      <c r="Z18" s="136">
        <f>SUM(Z9:Z17)</f>
        <v>0</v>
      </c>
      <c r="AA18" s="136">
        <f>SUM(AA9:AA17)</f>
        <v>6848.8499999999995</v>
      </c>
      <c r="AB18" s="136">
        <f>SUM(AB9:AB17)</f>
        <v>58478.489999999991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478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150</v>
      </c>
      <c r="Z24" s="91"/>
      <c r="AA24" s="91"/>
      <c r="AB24" s="91"/>
    </row>
    <row r="25" spans="1:41" ht="15" x14ac:dyDescent="0.25">
      <c r="D25" s="94" t="s">
        <v>496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214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tabSelected="1" topLeftCell="B1" zoomScale="70" zoomScaleNormal="70" workbookViewId="0">
      <pane ySplit="1" topLeftCell="A11" activePane="bottomLeft" state="frozen"/>
      <selection activeCell="B1" sqref="B1"/>
      <selection pane="bottomLeft" activeCell="X13" sqref="X1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9.5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67" t="s">
        <v>646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68" t="s">
        <v>1</v>
      </c>
      <c r="L5" s="469"/>
      <c r="M5" s="470"/>
      <c r="N5" s="116" t="s">
        <v>25</v>
      </c>
      <c r="O5" s="117"/>
      <c r="P5" s="471" t="s">
        <v>8</v>
      </c>
      <c r="Q5" s="472"/>
      <c r="R5" s="472"/>
      <c r="S5" s="472"/>
      <c r="T5" s="472"/>
      <c r="U5" s="473"/>
      <c r="V5" s="116" t="s">
        <v>52</v>
      </c>
      <c r="W5" s="116" t="s">
        <v>9</v>
      </c>
      <c r="X5" s="115" t="s">
        <v>52</v>
      </c>
      <c r="Y5" s="474" t="s">
        <v>2</v>
      </c>
      <c r="Z5" s="475"/>
      <c r="AA5" s="476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96</v>
      </c>
      <c r="C6" s="118" t="s">
        <v>121</v>
      </c>
      <c r="D6" s="119" t="s">
        <v>21</v>
      </c>
      <c r="E6" s="119" t="s">
        <v>97</v>
      </c>
      <c r="F6" s="119" t="s">
        <v>221</v>
      </c>
      <c r="G6" s="118" t="s">
        <v>273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197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0" t="s">
        <v>96</v>
      </c>
      <c r="C8" s="390" t="s">
        <v>121</v>
      </c>
      <c r="D8" s="164" t="s">
        <v>62</v>
      </c>
      <c r="E8" s="160" t="s">
        <v>97</v>
      </c>
      <c r="F8" s="160" t="s">
        <v>221</v>
      </c>
      <c r="G8" s="390" t="s">
        <v>273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1000</v>
      </c>
      <c r="AA8" s="165">
        <f>SUM(AA9:AA11)</f>
        <v>9965.6699999999983</v>
      </c>
      <c r="AB8" s="165">
        <f>SUM(AB9:AB11)</f>
        <v>40302.83</v>
      </c>
      <c r="AC8" s="65"/>
    </row>
    <row r="9" spans="1:29" s="303" customFormat="1" ht="265.5" customHeight="1" x14ac:dyDescent="0.2">
      <c r="A9" s="267" t="s">
        <v>83</v>
      </c>
      <c r="B9" s="266" t="s">
        <v>395</v>
      </c>
      <c r="C9" s="267" t="s">
        <v>115</v>
      </c>
      <c r="D9" s="268" t="s">
        <v>393</v>
      </c>
      <c r="E9" s="269" t="s">
        <v>394</v>
      </c>
      <c r="F9" s="293" t="s">
        <v>396</v>
      </c>
      <c r="G9" s="294">
        <v>45566</v>
      </c>
      <c r="H9" s="286" t="s">
        <v>192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9">
        <f>(K9+N9)/I9*30.4</f>
        <v>59567.786666666667</v>
      </c>
      <c r="P9" s="319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84</v>
      </c>
      <c r="B10" s="266" t="s">
        <v>194</v>
      </c>
      <c r="C10" s="267" t="s">
        <v>115</v>
      </c>
      <c r="D10" s="268" t="s">
        <v>195</v>
      </c>
      <c r="E10" s="269" t="s">
        <v>196</v>
      </c>
      <c r="F10" s="269" t="s">
        <v>234</v>
      </c>
      <c r="G10" s="294">
        <v>45566</v>
      </c>
      <c r="H10" s="286" t="s">
        <v>193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9">
        <f>(K10+N10)/I10*30.4</f>
        <v>30194.293333333331</v>
      </c>
      <c r="P10" s="319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104</v>
      </c>
      <c r="C11" s="266" t="s">
        <v>115</v>
      </c>
      <c r="D11" s="268" t="s">
        <v>65</v>
      </c>
      <c r="E11" s="269" t="s">
        <v>105</v>
      </c>
      <c r="F11" s="293" t="s">
        <v>223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9">
        <f>(K11+N11)/I11*30.4</f>
        <v>12115.413333333334</v>
      </c>
      <c r="P11" s="319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1000</v>
      </c>
      <c r="AA11" s="297">
        <f>SUM(Y11:Z11)</f>
        <v>1518.8899999999999</v>
      </c>
      <c r="AB11" s="297">
        <f>M11+X11-AA11</f>
        <v>4459.1100000000006</v>
      </c>
      <c r="AC11" s="302"/>
    </row>
    <row r="12" spans="1:29" s="52" customFormat="1" ht="30.75" customHeight="1" x14ac:dyDescent="0.25">
      <c r="A12" s="133"/>
      <c r="B12" s="390" t="s">
        <v>96</v>
      </c>
      <c r="C12" s="390" t="s">
        <v>121</v>
      </c>
      <c r="D12" s="164" t="s">
        <v>118</v>
      </c>
      <c r="E12" s="160" t="s">
        <v>97</v>
      </c>
      <c r="F12" s="160" t="s">
        <v>221</v>
      </c>
      <c r="G12" s="390" t="s">
        <v>273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87</v>
      </c>
      <c r="B13" s="267" t="s">
        <v>199</v>
      </c>
      <c r="C13" s="267" t="s">
        <v>337</v>
      </c>
      <c r="D13" s="268" t="s">
        <v>201</v>
      </c>
      <c r="E13" s="291" t="s">
        <v>202</v>
      </c>
      <c r="F13" s="293" t="s">
        <v>247</v>
      </c>
      <c r="G13" s="294">
        <v>44470</v>
      </c>
      <c r="H13" s="286" t="s">
        <v>262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9">
        <f>(K13+N13)/I13*30.4</f>
        <v>12047.52</v>
      </c>
      <c r="P13" s="319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97"/>
      <c r="B14" s="377"/>
      <c r="C14" s="377"/>
      <c r="D14" s="392"/>
      <c r="E14" s="398"/>
      <c r="F14" s="399"/>
      <c r="G14" s="400"/>
      <c r="H14" s="401"/>
      <c r="I14" s="402"/>
      <c r="J14" s="403"/>
      <c r="K14" s="404"/>
      <c r="L14" s="405"/>
      <c r="M14" s="406"/>
      <c r="N14" s="393"/>
      <c r="O14" s="394"/>
      <c r="P14" s="394"/>
      <c r="Q14" s="393"/>
      <c r="R14" s="395"/>
      <c r="S14" s="393"/>
      <c r="T14" s="396"/>
      <c r="U14" s="393"/>
      <c r="V14" s="393"/>
      <c r="W14" s="393"/>
      <c r="X14" s="406"/>
      <c r="Y14" s="406"/>
      <c r="Z14" s="407"/>
      <c r="AA14" s="406"/>
      <c r="AB14" s="406"/>
    </row>
    <row r="15" spans="1:29" s="303" customFormat="1" ht="23.25" customHeight="1" x14ac:dyDescent="0.2">
      <c r="A15" s="397"/>
      <c r="B15" s="377"/>
      <c r="C15" s="377"/>
      <c r="D15" s="392"/>
      <c r="E15" s="398"/>
      <c r="F15" s="399"/>
      <c r="G15" s="400"/>
      <c r="H15" s="401"/>
      <c r="I15" s="402"/>
      <c r="J15" s="403"/>
      <c r="K15" s="404"/>
      <c r="L15" s="405"/>
      <c r="M15" s="406"/>
      <c r="N15" s="393"/>
      <c r="O15" s="394"/>
      <c r="P15" s="394"/>
      <c r="Q15" s="393"/>
      <c r="R15" s="395"/>
      <c r="S15" s="393"/>
      <c r="T15" s="396"/>
      <c r="U15" s="393"/>
      <c r="V15" s="393"/>
      <c r="W15" s="393"/>
      <c r="X15" s="406"/>
      <c r="Y15" s="406"/>
      <c r="Z15" s="407"/>
      <c r="AA15" s="406"/>
      <c r="AB15" s="406"/>
    </row>
    <row r="16" spans="1:29" s="303" customFormat="1" ht="23.25" customHeight="1" x14ac:dyDescent="0.2">
      <c r="A16" s="397"/>
      <c r="B16" s="377"/>
      <c r="C16" s="377"/>
      <c r="D16" s="392"/>
      <c r="E16" s="398"/>
      <c r="F16" s="399"/>
      <c r="G16" s="400"/>
      <c r="H16" s="401"/>
      <c r="I16" s="402"/>
      <c r="J16" s="403"/>
      <c r="K16" s="404"/>
      <c r="L16" s="405"/>
      <c r="M16" s="406"/>
      <c r="N16" s="393"/>
      <c r="O16" s="394"/>
      <c r="P16" s="394"/>
      <c r="Q16" s="393"/>
      <c r="R16" s="395"/>
      <c r="S16" s="393"/>
      <c r="T16" s="396"/>
      <c r="U16" s="393"/>
      <c r="V16" s="393"/>
      <c r="W16" s="393"/>
      <c r="X16" s="406"/>
      <c r="Y16" s="406"/>
      <c r="Z16" s="407"/>
      <c r="AA16" s="406"/>
      <c r="AB16" s="406"/>
    </row>
    <row r="17" spans="1:29" s="303" customFormat="1" ht="23.25" customHeight="1" x14ac:dyDescent="0.2">
      <c r="A17" s="397"/>
      <c r="B17" s="377"/>
      <c r="C17" s="377"/>
      <c r="D17" s="392"/>
      <c r="E17" s="398"/>
      <c r="F17" s="399"/>
      <c r="G17" s="400"/>
      <c r="H17" s="401"/>
      <c r="I17" s="402"/>
      <c r="J17" s="403"/>
      <c r="K17" s="404"/>
      <c r="L17" s="405"/>
      <c r="M17" s="406"/>
      <c r="N17" s="393"/>
      <c r="O17" s="394"/>
      <c r="P17" s="394"/>
      <c r="Q17" s="393"/>
      <c r="R17" s="395"/>
      <c r="S17" s="393"/>
      <c r="T17" s="396"/>
      <c r="U17" s="393"/>
      <c r="V17" s="393"/>
      <c r="W17" s="393"/>
      <c r="X17" s="406"/>
      <c r="Y17" s="406"/>
      <c r="Z17" s="407"/>
      <c r="AA17" s="406"/>
      <c r="AB17" s="406"/>
    </row>
    <row r="18" spans="1:29" s="52" customFormat="1" ht="36.75" customHeight="1" x14ac:dyDescent="0.25">
      <c r="A18" s="133"/>
      <c r="B18" s="391" t="s">
        <v>96</v>
      </c>
      <c r="C18" s="391" t="s">
        <v>121</v>
      </c>
      <c r="D18" s="180" t="s">
        <v>119</v>
      </c>
      <c r="E18" s="180" t="s">
        <v>97</v>
      </c>
      <c r="F18" s="180" t="s">
        <v>221</v>
      </c>
      <c r="G18" s="391" t="s">
        <v>273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08"/>
    </row>
    <row r="19" spans="1:29" s="303" customFormat="1" ht="207.75" customHeight="1" x14ac:dyDescent="0.2">
      <c r="A19" s="267" t="s">
        <v>88</v>
      </c>
      <c r="B19" s="266" t="s">
        <v>155</v>
      </c>
      <c r="C19" s="267" t="s">
        <v>115</v>
      </c>
      <c r="D19" s="268" t="s">
        <v>135</v>
      </c>
      <c r="E19" s="269" t="s">
        <v>151</v>
      </c>
      <c r="F19" s="293" t="s">
        <v>232</v>
      </c>
      <c r="G19" s="294">
        <v>43374</v>
      </c>
      <c r="H19" s="286" t="s">
        <v>81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9">
        <f>(K19+N19)/I19*30.4</f>
        <v>22904.373333333329</v>
      </c>
      <c r="P19" s="319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207.75" customHeight="1" x14ac:dyDescent="0.2">
      <c r="A20" s="305"/>
      <c r="B20" s="306" t="s">
        <v>275</v>
      </c>
      <c r="C20" s="307" t="s">
        <v>115</v>
      </c>
      <c r="D20" s="308" t="s">
        <v>276</v>
      </c>
      <c r="E20" s="309" t="s">
        <v>274</v>
      </c>
      <c r="F20" s="310" t="s">
        <v>277</v>
      </c>
      <c r="G20" s="311">
        <v>44991</v>
      </c>
      <c r="H20" s="312" t="s">
        <v>63</v>
      </c>
      <c r="I20" s="313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9">
        <f>(K20+N20)/I20*30.4</f>
        <v>11490.247466666666</v>
      </c>
      <c r="P20" s="319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14"/>
    </row>
    <row r="21" spans="1:29" s="303" customFormat="1" ht="57.75" customHeight="1" x14ac:dyDescent="0.25">
      <c r="A21" s="305"/>
      <c r="B21" s="391" t="s">
        <v>96</v>
      </c>
      <c r="C21" s="391" t="s">
        <v>121</v>
      </c>
      <c r="D21" s="148" t="s">
        <v>541</v>
      </c>
      <c r="E21" s="180" t="s">
        <v>97</v>
      </c>
      <c r="F21" s="180" t="s">
        <v>221</v>
      </c>
      <c r="G21" s="391" t="s">
        <v>273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207.75" customHeight="1" x14ac:dyDescent="0.2">
      <c r="A22" s="305"/>
      <c r="B22" s="267" t="s">
        <v>554</v>
      </c>
      <c r="C22" s="267" t="s">
        <v>476</v>
      </c>
      <c r="D22" s="290" t="s">
        <v>542</v>
      </c>
      <c r="E22" s="291" t="s">
        <v>543</v>
      </c>
      <c r="F22" s="293" t="s">
        <v>544</v>
      </c>
      <c r="G22" s="294">
        <v>45673</v>
      </c>
      <c r="H22" s="315" t="s">
        <v>545</v>
      </c>
      <c r="I22" s="316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9">
        <f>(K22+N22)/I22*30.4</f>
        <v>13564.48</v>
      </c>
      <c r="P22" s="319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8"/>
    </row>
    <row r="23" spans="1:29" s="52" customFormat="1" ht="31.5" customHeight="1" x14ac:dyDescent="0.25">
      <c r="A23" s="188"/>
      <c r="B23" s="391" t="s">
        <v>96</v>
      </c>
      <c r="C23" s="391" t="s">
        <v>121</v>
      </c>
      <c r="D23" s="148" t="s">
        <v>368</v>
      </c>
      <c r="E23" s="180" t="s">
        <v>97</v>
      </c>
      <c r="F23" s="180" t="s">
        <v>221</v>
      </c>
      <c r="G23" s="391" t="s">
        <v>273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209.25" customHeight="1" x14ac:dyDescent="0.2">
      <c r="A24" s="305"/>
      <c r="B24" s="267" t="s">
        <v>397</v>
      </c>
      <c r="C24" s="267" t="s">
        <v>115</v>
      </c>
      <c r="D24" s="290" t="s">
        <v>398</v>
      </c>
      <c r="E24" s="291" t="s">
        <v>399</v>
      </c>
      <c r="F24" s="293" t="s">
        <v>400</v>
      </c>
      <c r="G24" s="294">
        <v>45566</v>
      </c>
      <c r="H24" s="315" t="s">
        <v>371</v>
      </c>
      <c r="I24" s="316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9">
        <f>(K24+N24)/I24*30.4</f>
        <v>6349.5466666666662</v>
      </c>
      <c r="P24" s="319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7">
        <f>IF(K24/15&lt;=SMG,0,IF(W24&lt;0,0,W24))</f>
        <v>0</v>
      </c>
      <c r="Z24" s="301">
        <v>0</v>
      </c>
      <c r="AA24" s="297">
        <f>SUM(Y24:Z24)</f>
        <v>0</v>
      </c>
      <c r="AB24" s="317">
        <f>M24+X24-AA24</f>
        <v>3133</v>
      </c>
      <c r="AC24" s="318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63" t="s">
        <v>44</v>
      </c>
      <c r="B26" s="464"/>
      <c r="C26" s="464"/>
      <c r="D26" s="464"/>
      <c r="E26" s="464"/>
      <c r="F26" s="464"/>
      <c r="G26" s="464"/>
      <c r="H26" s="464"/>
      <c r="I26" s="464"/>
      <c r="J26" s="465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1000</v>
      </c>
      <c r="AA26" s="136">
        <f>AA8+AA12+AA18+AA23+AA21</f>
        <v>13178.949999999999</v>
      </c>
      <c r="AB26" s="136">
        <f>AB8+AB12+AB18+AB23+AB21</f>
        <v>69831.08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8" spans="4:29" ht="18" x14ac:dyDescent="0.25">
      <c r="D38" s="213" t="s">
        <v>478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213" t="s">
        <v>145</v>
      </c>
      <c r="Z38" s="108"/>
      <c r="AA38" s="108"/>
      <c r="AB38" s="108"/>
      <c r="AC38" s="108"/>
    </row>
    <row r="39" spans="4:29" ht="18" x14ac:dyDescent="0.25">
      <c r="D39" s="213" t="s">
        <v>496</v>
      </c>
      <c r="E39" s="213"/>
      <c r="F39" s="213"/>
      <c r="G39" s="213"/>
      <c r="H39" s="213"/>
      <c r="I39" s="213"/>
      <c r="J39" s="213"/>
      <c r="K39" s="213"/>
      <c r="L39" s="213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3" t="s">
        <v>210</v>
      </c>
      <c r="Z39" s="108"/>
      <c r="AA39" s="213"/>
      <c r="AB39" s="213"/>
      <c r="AC39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4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77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30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30" ht="19.5" x14ac:dyDescent="0.25">
      <c r="A3" s="149" t="s">
        <v>327</v>
      </c>
      <c r="B3" s="467" t="str">
        <f>PRESIDENCIA!A3</f>
        <v>SUELDO  DEL 01 AL 15 DE SEPTIEMBRE DE 2025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190</v>
      </c>
      <c r="K5" s="478" t="s">
        <v>1</v>
      </c>
      <c r="L5" s="479"/>
      <c r="M5" s="480"/>
      <c r="N5" s="24" t="s">
        <v>25</v>
      </c>
      <c r="O5" s="25"/>
      <c r="P5" s="481" t="s">
        <v>8</v>
      </c>
      <c r="Q5" s="482"/>
      <c r="R5" s="482"/>
      <c r="S5" s="482"/>
      <c r="T5" s="482"/>
      <c r="U5" s="483"/>
      <c r="V5" s="24" t="s">
        <v>29</v>
      </c>
      <c r="W5" s="24" t="s">
        <v>9</v>
      </c>
      <c r="X5" s="23" t="s">
        <v>52</v>
      </c>
      <c r="Y5" s="484" t="s">
        <v>2</v>
      </c>
      <c r="Z5" s="485"/>
      <c r="AA5" s="486"/>
      <c r="AB5" s="23" t="s">
        <v>0</v>
      </c>
      <c r="AC5" s="33"/>
    </row>
    <row r="6" spans="1:30" ht="22.5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26"/>
      <c r="B8" s="148" t="s">
        <v>96</v>
      </c>
      <c r="C8" s="148" t="s">
        <v>121</v>
      </c>
      <c r="D8" s="179" t="s">
        <v>627</v>
      </c>
      <c r="E8" s="180" t="s">
        <v>97</v>
      </c>
      <c r="F8" s="180" t="s">
        <v>221</v>
      </c>
      <c r="G8" s="148" t="s">
        <v>273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26"/>
      <c r="B9" s="289" t="s">
        <v>498</v>
      </c>
      <c r="C9" s="283" t="s">
        <v>115</v>
      </c>
      <c r="D9" s="268" t="s">
        <v>499</v>
      </c>
      <c r="E9" s="269" t="s">
        <v>500</v>
      </c>
      <c r="F9" s="269" t="s">
        <v>501</v>
      </c>
      <c r="G9" s="270">
        <v>45601</v>
      </c>
      <c r="H9" s="271" t="s">
        <v>572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9">
        <f t="shared" ref="O9" si="1">(K9+N9)/I9*30.4</f>
        <v>24938.964266666666</v>
      </c>
      <c r="P9" s="319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96</v>
      </c>
      <c r="C10" s="148" t="s">
        <v>121</v>
      </c>
      <c r="D10" s="179" t="s">
        <v>480</v>
      </c>
      <c r="E10" s="160" t="s">
        <v>97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3" customFormat="1" ht="166.5" customHeight="1" x14ac:dyDescent="0.2">
      <c r="A11" s="320"/>
      <c r="B11" s="266" t="s">
        <v>495</v>
      </c>
      <c r="C11" s="267" t="s">
        <v>115</v>
      </c>
      <c r="D11" s="268" t="s">
        <v>510</v>
      </c>
      <c r="E11" s="269" t="s">
        <v>482</v>
      </c>
      <c r="F11" s="269" t="s">
        <v>483</v>
      </c>
      <c r="G11" s="294">
        <v>45581</v>
      </c>
      <c r="H11" s="286" t="s">
        <v>481</v>
      </c>
      <c r="I11" s="287">
        <v>15</v>
      </c>
      <c r="J11" s="322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9">
        <f>(K11+N11)/I11*30.4</f>
        <v>16819.306666666664</v>
      </c>
      <c r="P11" s="319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96</v>
      </c>
      <c r="C12" s="148" t="s">
        <v>121</v>
      </c>
      <c r="D12" s="164" t="s">
        <v>75</v>
      </c>
      <c r="E12" s="160" t="s">
        <v>97</v>
      </c>
      <c r="F12" s="160" t="s">
        <v>221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3" customFormat="1" ht="165.75" customHeight="1" x14ac:dyDescent="0.2">
      <c r="A13" s="320"/>
      <c r="B13" s="324">
        <v>160</v>
      </c>
      <c r="C13" s="289" t="s">
        <v>115</v>
      </c>
      <c r="D13" s="268" t="s">
        <v>452</v>
      </c>
      <c r="E13" s="325" t="s">
        <v>453</v>
      </c>
      <c r="F13" s="269" t="s">
        <v>454</v>
      </c>
      <c r="G13" s="294">
        <v>45566</v>
      </c>
      <c r="H13" s="269" t="s">
        <v>75</v>
      </c>
      <c r="I13" s="321">
        <v>15</v>
      </c>
      <c r="J13" s="322">
        <f>ROUND(K13/I13,2)</f>
        <v>855.27</v>
      </c>
      <c r="K13" s="326">
        <v>12829</v>
      </c>
      <c r="L13" s="327">
        <v>0</v>
      </c>
      <c r="M13" s="328">
        <f>SUM(K13:L13)</f>
        <v>12829</v>
      </c>
      <c r="N13" s="298">
        <f>IF(K13/15&lt;=SMG,0,L13/2)</f>
        <v>0</v>
      </c>
      <c r="O13" s="319">
        <f>(K13+N13)/I13*30.4</f>
        <v>26000.106666666667</v>
      </c>
      <c r="P13" s="319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63" t="s">
        <v>44</v>
      </c>
      <c r="B14" s="464"/>
      <c r="C14" s="464"/>
      <c r="D14" s="464"/>
      <c r="E14" s="464"/>
      <c r="F14" s="464"/>
      <c r="G14" s="464"/>
      <c r="H14" s="464"/>
      <c r="I14" s="464"/>
      <c r="J14" s="465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478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145</v>
      </c>
      <c r="Z28" s="108"/>
      <c r="AA28" s="108"/>
      <c r="AB28" s="108"/>
      <c r="AC28" s="108"/>
    </row>
    <row r="29" spans="4:41" ht="18" x14ac:dyDescent="0.25">
      <c r="D29" s="213" t="s">
        <v>496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210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26" zoomScale="66" zoomScaleNormal="66" workbookViewId="0">
      <selection activeCell="L27" sqref="L2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5" ht="19.5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5" ht="19.5" x14ac:dyDescent="0.25">
      <c r="A3" s="467" t="str">
        <f>PRESIDENCIA!A3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98" t="s">
        <v>116</v>
      </c>
      <c r="D5" s="48"/>
      <c r="E5" s="48"/>
      <c r="F5" s="48"/>
      <c r="G5" s="48"/>
      <c r="H5" s="48"/>
      <c r="I5" s="49" t="s">
        <v>22</v>
      </c>
      <c r="J5" s="49" t="s">
        <v>5</v>
      </c>
      <c r="K5" s="487" t="s">
        <v>1</v>
      </c>
      <c r="L5" s="488"/>
      <c r="M5" s="489"/>
      <c r="N5" s="50" t="s">
        <v>25</v>
      </c>
      <c r="O5" s="51"/>
      <c r="P5" s="490" t="s">
        <v>8</v>
      </c>
      <c r="Q5" s="491"/>
      <c r="R5" s="491"/>
      <c r="S5" s="491"/>
      <c r="T5" s="491"/>
      <c r="U5" s="492"/>
      <c r="V5" s="50" t="s">
        <v>29</v>
      </c>
      <c r="W5" s="50" t="s">
        <v>9</v>
      </c>
      <c r="X5" s="49" t="s">
        <v>52</v>
      </c>
      <c r="Y5" s="493" t="s">
        <v>2</v>
      </c>
      <c r="Z5" s="494"/>
      <c r="AA5" s="495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96</v>
      </c>
      <c r="C6" s="49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50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122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97</v>
      </c>
      <c r="F8" s="127" t="s">
        <v>221</v>
      </c>
      <c r="G8" s="125" t="s">
        <v>273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17.5" customHeight="1" x14ac:dyDescent="0.2">
      <c r="A9" s="265" t="s">
        <v>85</v>
      </c>
      <c r="B9" s="266" t="s">
        <v>451</v>
      </c>
      <c r="C9" s="267" t="s">
        <v>115</v>
      </c>
      <c r="D9" s="268" t="s">
        <v>401</v>
      </c>
      <c r="E9" s="269" t="s">
        <v>479</v>
      </c>
      <c r="F9" s="269" t="s">
        <v>402</v>
      </c>
      <c r="G9" s="270">
        <v>45566</v>
      </c>
      <c r="H9" s="271" t="s">
        <v>511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9">
        <f>(K9+N9)/I9*30.4</f>
        <v>28804.689066666662</v>
      </c>
      <c r="P9" s="319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17.5" customHeight="1" x14ac:dyDescent="0.2">
      <c r="A10" s="265"/>
      <c r="B10" s="266" t="s">
        <v>488</v>
      </c>
      <c r="C10" s="267" t="s">
        <v>115</v>
      </c>
      <c r="D10" s="268" t="s">
        <v>489</v>
      </c>
      <c r="E10" s="269" t="s">
        <v>490</v>
      </c>
      <c r="F10" s="269" t="s">
        <v>491</v>
      </c>
      <c r="G10" s="270">
        <v>45581</v>
      </c>
      <c r="H10" s="271" t="s">
        <v>514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9">
        <f t="shared" ref="O10:O12" si="2">(K10+N10)/I10*30.4</f>
        <v>24423.359999999997</v>
      </c>
      <c r="P10" s="319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17.5" customHeight="1" x14ac:dyDescent="0.2">
      <c r="A11" s="265"/>
      <c r="B11" s="266" t="s">
        <v>293</v>
      </c>
      <c r="C11" s="267" t="s">
        <v>115</v>
      </c>
      <c r="D11" s="268" t="s">
        <v>304</v>
      </c>
      <c r="E11" s="269" t="s">
        <v>305</v>
      </c>
      <c r="F11" s="269" t="s">
        <v>307</v>
      </c>
      <c r="G11" s="270">
        <v>45139</v>
      </c>
      <c r="H11" s="271" t="s">
        <v>306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9">
        <f t="shared" si="2"/>
        <v>9411.84</v>
      </c>
      <c r="P11" s="319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17.5" customHeight="1" x14ac:dyDescent="0.2">
      <c r="A12" s="265"/>
      <c r="B12" s="267" t="s">
        <v>182</v>
      </c>
      <c r="C12" s="267" t="s">
        <v>115</v>
      </c>
      <c r="D12" s="268" t="s">
        <v>183</v>
      </c>
      <c r="E12" s="269" t="s">
        <v>184</v>
      </c>
      <c r="F12" s="269" t="s">
        <v>245</v>
      </c>
      <c r="G12" s="270">
        <v>43983</v>
      </c>
      <c r="H12" s="271" t="s">
        <v>512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9">
        <f t="shared" si="2"/>
        <v>24423.359999999997</v>
      </c>
      <c r="P12" s="319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21.25" customHeight="1" x14ac:dyDescent="0.2">
      <c r="A13" s="265"/>
      <c r="B13" s="289" t="s">
        <v>271</v>
      </c>
      <c r="C13" s="283" t="s">
        <v>115</v>
      </c>
      <c r="D13" s="290" t="s">
        <v>268</v>
      </c>
      <c r="E13" s="291" t="s">
        <v>269</v>
      </c>
      <c r="F13" s="291" t="s">
        <v>270</v>
      </c>
      <c r="G13" s="292">
        <v>44958</v>
      </c>
      <c r="H13" s="286" t="s">
        <v>138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9">
        <f t="shared" ref="O13:O14" si="20">(K13+N13)/I13*30.4</f>
        <v>11565.173333333332</v>
      </c>
      <c r="P13" s="319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23.5" customHeight="1" x14ac:dyDescent="0.2">
      <c r="A14" s="265"/>
      <c r="B14" s="266" t="s">
        <v>555</v>
      </c>
      <c r="C14" s="266" t="s">
        <v>115</v>
      </c>
      <c r="D14" s="290" t="s">
        <v>546</v>
      </c>
      <c r="E14" s="291" t="s">
        <v>547</v>
      </c>
      <c r="F14" s="278" t="s">
        <v>548</v>
      </c>
      <c r="G14" s="329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0</v>
      </c>
      <c r="M14" s="276">
        <f t="shared" ref="M14" si="29">SUM(K14:L14)</f>
        <v>7602.17</v>
      </c>
      <c r="N14" s="298">
        <f t="shared" si="19"/>
        <v>0</v>
      </c>
      <c r="O14" s="319">
        <f t="shared" si="20"/>
        <v>15407.064533333332</v>
      </c>
      <c r="P14" s="319">
        <f t="shared" si="21"/>
        <v>12935.83</v>
      </c>
      <c r="Q14" s="298">
        <f t="shared" si="22"/>
        <v>2471.2345333333324</v>
      </c>
      <c r="R14" s="299">
        <f t="shared" si="23"/>
        <v>0.1792</v>
      </c>
      <c r="S14" s="298">
        <f t="shared" si="24"/>
        <v>442.84522837333316</v>
      </c>
      <c r="T14" s="300">
        <f t="shared" si="25"/>
        <v>1182.8800000000001</v>
      </c>
      <c r="U14" s="298">
        <f t="shared" si="26"/>
        <v>1625.7252283733333</v>
      </c>
      <c r="V14" s="298">
        <f t="shared" si="27"/>
        <v>0</v>
      </c>
      <c r="W14" s="298">
        <f t="shared" si="28"/>
        <v>802.17</v>
      </c>
      <c r="X14" s="276">
        <f t="shared" ref="X14" si="30">-IF(W14&gt;0,0,0)</f>
        <v>0</v>
      </c>
      <c r="Y14" s="276">
        <f t="shared" ref="Y14" si="31">IF(K14/15&lt;=SMG,0,IF(W14&lt;0,0,W14))</f>
        <v>802.17</v>
      </c>
      <c r="Z14" s="277">
        <v>0</v>
      </c>
      <c r="AA14" s="276">
        <f t="shared" ref="AA14" si="32">SUM(Y14:Z14)</f>
        <v>802.17</v>
      </c>
      <c r="AB14" s="276">
        <f t="shared" ref="AB14" si="33">M14+X14-AA14</f>
        <v>6800</v>
      </c>
      <c r="AC14" s="288"/>
      <c r="AD14" s="279"/>
      <c r="AI14" s="281"/>
    </row>
    <row r="15" spans="1:35" s="91" customFormat="1" ht="42.75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42.75" customHeight="1" x14ac:dyDescent="0.3">
      <c r="A16" s="143"/>
      <c r="B16" s="244"/>
      <c r="C16" s="214"/>
      <c r="D16" s="215"/>
      <c r="E16" s="216"/>
      <c r="F16" s="216"/>
      <c r="G16" s="243"/>
      <c r="H16" s="150"/>
      <c r="I16" s="151"/>
      <c r="J16" s="152"/>
      <c r="K16" s="220"/>
      <c r="L16" s="221"/>
      <c r="M16" s="222"/>
      <c r="N16" s="223"/>
      <c r="O16" s="223"/>
      <c r="P16" s="223"/>
      <c r="Q16" s="223"/>
      <c r="R16" s="224"/>
      <c r="S16" s="223"/>
      <c r="T16" s="225"/>
      <c r="U16" s="223"/>
      <c r="V16" s="223"/>
      <c r="W16" s="223"/>
      <c r="X16" s="222"/>
      <c r="Y16" s="222"/>
      <c r="Z16" s="226"/>
      <c r="AA16" s="222"/>
      <c r="AB16" s="222"/>
      <c r="AD16" s="92"/>
      <c r="AI16" s="93"/>
    </row>
    <row r="17" spans="1:35" s="91" customFormat="1" ht="32.25" customHeight="1" x14ac:dyDescent="0.25">
      <c r="A17" s="143"/>
      <c r="B17" s="466" t="s">
        <v>77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I17" s="93"/>
    </row>
    <row r="18" spans="1:35" s="91" customFormat="1" ht="24" customHeight="1" x14ac:dyDescent="0.25">
      <c r="A18" s="143"/>
      <c r="B18" s="466" t="s">
        <v>64</v>
      </c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I18" s="93"/>
    </row>
    <row r="19" spans="1:35" s="91" customFormat="1" ht="27.75" customHeight="1" x14ac:dyDescent="0.3">
      <c r="A19" s="143"/>
      <c r="B19" s="496" t="str">
        <f>PRESIDENCIA!A3</f>
        <v>SUELDO  DEL 01 AL 15 DE SEPTIEMBRE DE 2025</v>
      </c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92"/>
      <c r="AI19" s="93"/>
    </row>
    <row r="20" spans="1:35" s="91" customFormat="1" ht="26.25" customHeight="1" x14ac:dyDescent="0.3">
      <c r="A20" s="143"/>
      <c r="B20" s="244"/>
      <c r="C20" s="214"/>
      <c r="D20" s="215"/>
      <c r="E20" s="216"/>
      <c r="F20" s="216"/>
      <c r="G20" s="243"/>
      <c r="H20" s="150"/>
      <c r="I20" s="151"/>
      <c r="J20" s="152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D20" s="92"/>
      <c r="AI20" s="93"/>
    </row>
    <row r="21" spans="1:35" s="280" customFormat="1" ht="232.5" customHeight="1" x14ac:dyDescent="0.2">
      <c r="A21" s="265"/>
      <c r="B21" s="266" t="s">
        <v>280</v>
      </c>
      <c r="C21" s="266" t="s">
        <v>115</v>
      </c>
      <c r="D21" s="290" t="s">
        <v>278</v>
      </c>
      <c r="E21" s="330" t="s">
        <v>281</v>
      </c>
      <c r="F21" s="331" t="s">
        <v>279</v>
      </c>
      <c r="G21" s="329">
        <v>45042</v>
      </c>
      <c r="H21" s="271" t="s">
        <v>513</v>
      </c>
      <c r="I21" s="287">
        <v>15</v>
      </c>
      <c r="J21" s="273">
        <f t="shared" ref="J21:J24" si="34">K21/I21</f>
        <v>604.86666666666667</v>
      </c>
      <c r="K21" s="274">
        <v>9073</v>
      </c>
      <c r="L21" s="275">
        <v>0</v>
      </c>
      <c r="M21" s="276">
        <f t="shared" ref="M21:M24" si="35">SUM(K21:L21)</f>
        <v>9073</v>
      </c>
      <c r="N21" s="298">
        <f t="shared" ref="N21:N24" si="36">IF(K21/15&lt;=SMG,0,L21/2)</f>
        <v>0</v>
      </c>
      <c r="O21" s="319">
        <f t="shared" ref="O21:O24" si="37">(K21+N21)/I21*30.4</f>
        <v>18387.946666666667</v>
      </c>
      <c r="P21" s="319">
        <f t="shared" ref="P21:P24" si="38">VLOOKUP(O21,Tarifa,1)</f>
        <v>15487.72</v>
      </c>
      <c r="Q21" s="298">
        <f t="shared" ref="Q21:Q24" si="39">O21-P21</f>
        <v>2900.2266666666674</v>
      </c>
      <c r="R21" s="299">
        <f t="shared" ref="R21:R24" si="40">VLOOKUP(O21,Tarifa,3)</f>
        <v>0.21360000000000001</v>
      </c>
      <c r="S21" s="298">
        <f t="shared" ref="S21:S24" si="41">Q21*R21</f>
        <v>619.48841600000014</v>
      </c>
      <c r="T21" s="300">
        <f t="shared" ref="T21:T24" si="42">VLOOKUP(O21,Tarifa,2)</f>
        <v>1640.18</v>
      </c>
      <c r="U21" s="298">
        <f t="shared" ref="U21:U24" si="43">S21+T21</f>
        <v>2259.6684160000004</v>
      </c>
      <c r="V21" s="298">
        <f t="shared" ref="V21:V24" si="44">VLOOKUP(O21,Credito,2)</f>
        <v>0</v>
      </c>
      <c r="W21" s="298">
        <f t="shared" ref="W21:W24" si="45">ROUND((U21-V21)/30.4*I21,2)</f>
        <v>1114.97</v>
      </c>
      <c r="X21" s="276">
        <f t="shared" ref="X21:X24" si="46">-IF(W21&gt;0,0,0)</f>
        <v>0</v>
      </c>
      <c r="Y21" s="276">
        <f t="shared" ref="Y21:Y24" si="47">IF(K21/15&lt;=SMG,0,IF(W21&lt;0,0,W21))</f>
        <v>1114.97</v>
      </c>
      <c r="Z21" s="277">
        <v>0</v>
      </c>
      <c r="AA21" s="276">
        <f t="shared" ref="AA21:AA24" si="48">SUM(Y21:Z21)</f>
        <v>1114.97</v>
      </c>
      <c r="AB21" s="276">
        <f t="shared" ref="AB21:AB23" si="49">M21+X21-AA21</f>
        <v>7958.03</v>
      </c>
      <c r="AC21" s="278"/>
      <c r="AD21" s="279"/>
      <c r="AI21" s="281"/>
    </row>
    <row r="22" spans="1:35" s="280" customFormat="1" ht="232.5" customHeight="1" x14ac:dyDescent="0.2">
      <c r="A22" s="265"/>
      <c r="B22" s="267" t="s">
        <v>527</v>
      </c>
      <c r="C22" s="267" t="s">
        <v>115</v>
      </c>
      <c r="D22" s="333" t="s">
        <v>161</v>
      </c>
      <c r="E22" s="134" t="s">
        <v>166</v>
      </c>
      <c r="F22" s="134" t="s">
        <v>238</v>
      </c>
      <c r="G22" s="210">
        <v>43512</v>
      </c>
      <c r="H22" s="271" t="s">
        <v>513</v>
      </c>
      <c r="I22" s="287">
        <v>15</v>
      </c>
      <c r="J22" s="273">
        <f t="shared" si="34"/>
        <v>604.86666666666667</v>
      </c>
      <c r="K22" s="274">
        <v>9073</v>
      </c>
      <c r="L22" s="275">
        <v>1119.57</v>
      </c>
      <c r="M22" s="276">
        <f t="shared" si="35"/>
        <v>10192.57</v>
      </c>
      <c r="N22" s="298">
        <f t="shared" si="36"/>
        <v>559.78499999999997</v>
      </c>
      <c r="O22" s="319">
        <f t="shared" si="37"/>
        <v>19522.444266666665</v>
      </c>
      <c r="P22" s="319">
        <f t="shared" si="38"/>
        <v>15487.72</v>
      </c>
      <c r="Q22" s="298">
        <f t="shared" si="39"/>
        <v>4034.7242666666662</v>
      </c>
      <c r="R22" s="299">
        <f t="shared" si="40"/>
        <v>0.21360000000000001</v>
      </c>
      <c r="S22" s="298">
        <f t="shared" si="41"/>
        <v>861.81710335999992</v>
      </c>
      <c r="T22" s="300">
        <f t="shared" si="42"/>
        <v>1640.18</v>
      </c>
      <c r="U22" s="298">
        <f t="shared" si="43"/>
        <v>2501.99710336</v>
      </c>
      <c r="V22" s="298">
        <f t="shared" si="44"/>
        <v>0</v>
      </c>
      <c r="W22" s="298">
        <f t="shared" si="45"/>
        <v>1234.54</v>
      </c>
      <c r="X22" s="276">
        <f t="shared" si="46"/>
        <v>0</v>
      </c>
      <c r="Y22" s="276">
        <f t="shared" si="47"/>
        <v>1234.54</v>
      </c>
      <c r="Z22" s="277">
        <v>0</v>
      </c>
      <c r="AA22" s="276">
        <f t="shared" si="48"/>
        <v>1234.54</v>
      </c>
      <c r="AB22" s="276">
        <f t="shared" si="49"/>
        <v>8958.0299999999988</v>
      </c>
      <c r="AC22" s="278"/>
      <c r="AI22" s="281"/>
    </row>
    <row r="23" spans="1:35" s="280" customFormat="1" ht="232.5" customHeight="1" x14ac:dyDescent="0.2">
      <c r="A23" s="332"/>
      <c r="B23" s="267" t="s">
        <v>251</v>
      </c>
      <c r="C23" s="267" t="s">
        <v>115</v>
      </c>
      <c r="D23" s="333" t="s">
        <v>252</v>
      </c>
      <c r="E23" s="134" t="s">
        <v>253</v>
      </c>
      <c r="F23" s="134" t="s">
        <v>254</v>
      </c>
      <c r="G23" s="210">
        <v>44728</v>
      </c>
      <c r="H23" s="271" t="s">
        <v>513</v>
      </c>
      <c r="I23" s="287">
        <v>15</v>
      </c>
      <c r="J23" s="273">
        <f t="shared" si="34"/>
        <v>604.86666666666667</v>
      </c>
      <c r="K23" s="274">
        <v>9073</v>
      </c>
      <c r="L23" s="275">
        <v>0</v>
      </c>
      <c r="M23" s="276">
        <f t="shared" si="35"/>
        <v>9073</v>
      </c>
      <c r="N23" s="298">
        <f t="shared" si="36"/>
        <v>0</v>
      </c>
      <c r="O23" s="319">
        <f t="shared" si="37"/>
        <v>18387.946666666667</v>
      </c>
      <c r="P23" s="319">
        <f t="shared" si="38"/>
        <v>15487.72</v>
      </c>
      <c r="Q23" s="298">
        <f t="shared" si="39"/>
        <v>2900.2266666666674</v>
      </c>
      <c r="R23" s="299">
        <f t="shared" si="40"/>
        <v>0.21360000000000001</v>
      </c>
      <c r="S23" s="298">
        <f t="shared" si="41"/>
        <v>619.48841600000014</v>
      </c>
      <c r="T23" s="300">
        <f t="shared" si="42"/>
        <v>1640.18</v>
      </c>
      <c r="U23" s="298">
        <f t="shared" si="43"/>
        <v>2259.6684160000004</v>
      </c>
      <c r="V23" s="298">
        <f t="shared" si="44"/>
        <v>0</v>
      </c>
      <c r="W23" s="298">
        <f t="shared" si="45"/>
        <v>1114.97</v>
      </c>
      <c r="X23" s="276">
        <f t="shared" si="46"/>
        <v>0</v>
      </c>
      <c r="Y23" s="276">
        <f t="shared" si="47"/>
        <v>1114.97</v>
      </c>
      <c r="Z23" s="277">
        <v>0</v>
      </c>
      <c r="AA23" s="276">
        <f t="shared" si="48"/>
        <v>1114.97</v>
      </c>
      <c r="AB23" s="276">
        <f t="shared" si="49"/>
        <v>7958.03</v>
      </c>
      <c r="AC23" s="278"/>
      <c r="AI23" s="281"/>
    </row>
    <row r="24" spans="1:35" s="280" customFormat="1" ht="232.5" customHeight="1" x14ac:dyDescent="0.2">
      <c r="A24" s="332"/>
      <c r="B24" s="267" t="s">
        <v>329</v>
      </c>
      <c r="C24" s="267" t="s">
        <v>115</v>
      </c>
      <c r="D24" s="268" t="s">
        <v>330</v>
      </c>
      <c r="E24" s="269" t="s">
        <v>331</v>
      </c>
      <c r="F24" s="269" t="s">
        <v>332</v>
      </c>
      <c r="G24" s="335">
        <v>45475</v>
      </c>
      <c r="H24" s="271" t="s">
        <v>513</v>
      </c>
      <c r="I24" s="287">
        <v>15</v>
      </c>
      <c r="J24" s="273">
        <f t="shared" si="34"/>
        <v>483.93333333333334</v>
      </c>
      <c r="K24" s="274">
        <v>7259</v>
      </c>
      <c r="L24" s="275">
        <v>0</v>
      </c>
      <c r="M24" s="276">
        <f t="shared" si="35"/>
        <v>7259</v>
      </c>
      <c r="N24" s="298">
        <f t="shared" si="36"/>
        <v>0</v>
      </c>
      <c r="O24" s="319">
        <f t="shared" si="37"/>
        <v>14711.573333333332</v>
      </c>
      <c r="P24" s="319">
        <f t="shared" si="38"/>
        <v>12935.83</v>
      </c>
      <c r="Q24" s="298">
        <f t="shared" si="39"/>
        <v>1775.743333333332</v>
      </c>
      <c r="R24" s="299">
        <f t="shared" si="40"/>
        <v>0.1792</v>
      </c>
      <c r="S24" s="298">
        <f t="shared" si="41"/>
        <v>318.21320533333306</v>
      </c>
      <c r="T24" s="300">
        <f t="shared" si="42"/>
        <v>1182.8800000000001</v>
      </c>
      <c r="U24" s="298">
        <f t="shared" si="43"/>
        <v>1501.0932053333331</v>
      </c>
      <c r="V24" s="298">
        <f t="shared" si="44"/>
        <v>0</v>
      </c>
      <c r="W24" s="298">
        <f t="shared" si="45"/>
        <v>740.67</v>
      </c>
      <c r="X24" s="276">
        <f t="shared" si="46"/>
        <v>0</v>
      </c>
      <c r="Y24" s="276">
        <f t="shared" si="47"/>
        <v>740.67</v>
      </c>
      <c r="Z24" s="277">
        <v>0</v>
      </c>
      <c r="AA24" s="276">
        <f t="shared" si="48"/>
        <v>740.67</v>
      </c>
      <c r="AB24" s="276">
        <f>M24+X24-AA24</f>
        <v>6518.33</v>
      </c>
      <c r="AC24" s="278"/>
      <c r="AD24" s="334"/>
      <c r="AI24" s="281"/>
    </row>
    <row r="25" spans="1:35" s="280" customFormat="1" ht="232.5" customHeight="1" x14ac:dyDescent="0.2">
      <c r="A25" s="332"/>
      <c r="B25" s="267" t="s">
        <v>433</v>
      </c>
      <c r="C25" s="267" t="s">
        <v>115</v>
      </c>
      <c r="D25" s="268" t="s">
        <v>434</v>
      </c>
      <c r="E25" s="269" t="s">
        <v>435</v>
      </c>
      <c r="F25" s="269" t="s">
        <v>436</v>
      </c>
      <c r="G25" s="335">
        <v>45566</v>
      </c>
      <c r="H25" s="271" t="s">
        <v>515</v>
      </c>
      <c r="I25" s="287">
        <v>15</v>
      </c>
      <c r="J25" s="273">
        <f t="shared" ref="J25:J26" si="50">K25/I25</f>
        <v>455.06666666666666</v>
      </c>
      <c r="K25" s="274">
        <v>6826</v>
      </c>
      <c r="L25" s="275">
        <v>0</v>
      </c>
      <c r="M25" s="276">
        <f t="shared" ref="M25:M26" si="51">SUM(K25:L25)</f>
        <v>6826</v>
      </c>
      <c r="N25" s="298">
        <f t="shared" ref="N25:N26" si="52">IF(K25/15&lt;=SMG,0,L25/2)</f>
        <v>0</v>
      </c>
      <c r="O25" s="319">
        <f t="shared" ref="O25:O26" si="53">(K25+N25)/I25*30.4</f>
        <v>13834.026666666667</v>
      </c>
      <c r="P25" s="319">
        <f t="shared" ref="P25:P26" si="54">VLOOKUP(O25,Tarifa,1)</f>
        <v>12935.83</v>
      </c>
      <c r="Q25" s="298">
        <f t="shared" ref="Q25:Q26" si="55">O25-P25</f>
        <v>898.19666666666672</v>
      </c>
      <c r="R25" s="299">
        <f t="shared" ref="R25:R26" si="56">VLOOKUP(O25,Tarifa,3)</f>
        <v>0.1792</v>
      </c>
      <c r="S25" s="298">
        <f t="shared" ref="S25:S26" si="57">Q25*R25</f>
        <v>160.95684266666666</v>
      </c>
      <c r="T25" s="300">
        <f t="shared" ref="T25:T26" si="58">VLOOKUP(O25,Tarifa,2)</f>
        <v>1182.8800000000001</v>
      </c>
      <c r="U25" s="298">
        <f t="shared" ref="U25:U26" si="59">S25+T25</f>
        <v>1343.8368426666668</v>
      </c>
      <c r="V25" s="298">
        <f t="shared" ref="V25:V26" si="60">VLOOKUP(O25,Credito,2)</f>
        <v>0</v>
      </c>
      <c r="W25" s="298">
        <f t="shared" ref="W25:W26" si="61">ROUND((U25-V25)/30.4*I25,2)</f>
        <v>663.08</v>
      </c>
      <c r="X25" s="276">
        <f t="shared" ref="X25:X26" si="62">-IF(W25&gt;0,0,0)</f>
        <v>0</v>
      </c>
      <c r="Y25" s="276">
        <f t="shared" ref="Y25:Y26" si="63">IF(K25/15&lt;=SMG,0,IF(W25&lt;0,0,W25))</f>
        <v>663.08</v>
      </c>
      <c r="Z25" s="277">
        <v>0</v>
      </c>
      <c r="AA25" s="276">
        <f t="shared" ref="AA25:AA26" si="64">SUM(Y25:Z25)</f>
        <v>663.08</v>
      </c>
      <c r="AB25" s="276">
        <f t="shared" ref="AB25:AB26" si="65">M25+X25-AA25</f>
        <v>6162.92</v>
      </c>
      <c r="AC25" s="278"/>
      <c r="AD25" s="334"/>
      <c r="AI25" s="281"/>
    </row>
    <row r="26" spans="1:35" s="91" customFormat="1" ht="233.25" customHeight="1" x14ac:dyDescent="0.25">
      <c r="A26" s="143"/>
      <c r="B26" s="289" t="s">
        <v>373</v>
      </c>
      <c r="C26" s="283" t="s">
        <v>115</v>
      </c>
      <c r="D26" s="268" t="s">
        <v>374</v>
      </c>
      <c r="E26" s="269" t="s">
        <v>375</v>
      </c>
      <c r="F26" s="269" t="s">
        <v>376</v>
      </c>
      <c r="G26" s="270">
        <v>45459</v>
      </c>
      <c r="H26" s="271" t="s">
        <v>516</v>
      </c>
      <c r="I26" s="287">
        <v>15</v>
      </c>
      <c r="J26" s="273">
        <f t="shared" si="50"/>
        <v>373.2</v>
      </c>
      <c r="K26" s="274">
        <v>5598</v>
      </c>
      <c r="L26" s="275">
        <v>652.16999999999996</v>
      </c>
      <c r="M26" s="276">
        <f t="shared" si="51"/>
        <v>6250.17</v>
      </c>
      <c r="N26" s="298">
        <f t="shared" si="52"/>
        <v>326.08499999999998</v>
      </c>
      <c r="O26" s="319">
        <f t="shared" si="53"/>
        <v>12006.1456</v>
      </c>
      <c r="P26" s="319">
        <f t="shared" si="54"/>
        <v>11128.02</v>
      </c>
      <c r="Q26" s="298">
        <f t="shared" si="55"/>
        <v>878.12559999999939</v>
      </c>
      <c r="R26" s="299">
        <f t="shared" si="56"/>
        <v>0.16</v>
      </c>
      <c r="S26" s="298">
        <f t="shared" si="57"/>
        <v>140.5000959999999</v>
      </c>
      <c r="T26" s="300">
        <f t="shared" si="58"/>
        <v>893.63</v>
      </c>
      <c r="U26" s="298">
        <f t="shared" si="59"/>
        <v>1034.1300959999999</v>
      </c>
      <c r="V26" s="298">
        <f t="shared" si="60"/>
        <v>0</v>
      </c>
      <c r="W26" s="298">
        <f t="shared" si="61"/>
        <v>510.26</v>
      </c>
      <c r="X26" s="276">
        <f t="shared" si="62"/>
        <v>0</v>
      </c>
      <c r="Y26" s="276">
        <f t="shared" si="63"/>
        <v>510.26</v>
      </c>
      <c r="Z26" s="277">
        <v>0</v>
      </c>
      <c r="AA26" s="276">
        <f t="shared" si="64"/>
        <v>510.26</v>
      </c>
      <c r="AB26" s="276">
        <f t="shared" si="65"/>
        <v>5739.91</v>
      </c>
      <c r="AC26" s="278"/>
      <c r="AI26" s="93"/>
    </row>
    <row r="27" spans="1:35" s="91" customFormat="1" ht="16.5" customHeight="1" x14ac:dyDescent="0.35">
      <c r="A27" s="143"/>
      <c r="B27" s="146"/>
      <c r="C27" s="146"/>
      <c r="D27" s="247"/>
      <c r="E27" s="246"/>
      <c r="F27" s="246"/>
      <c r="G27" s="248"/>
      <c r="H27" s="206"/>
      <c r="I27" s="218"/>
      <c r="J27" s="219"/>
      <c r="K27" s="220"/>
      <c r="L27" s="221"/>
      <c r="M27" s="222"/>
      <c r="N27" s="223"/>
      <c r="O27" s="223"/>
      <c r="P27" s="223"/>
      <c r="Q27" s="223"/>
      <c r="R27" s="224"/>
      <c r="S27" s="223"/>
      <c r="T27" s="225"/>
      <c r="U27" s="223"/>
      <c r="V27" s="223"/>
      <c r="W27" s="223"/>
      <c r="X27" s="222"/>
      <c r="Y27" s="222"/>
      <c r="Z27" s="226"/>
      <c r="AA27" s="222"/>
      <c r="AB27" s="222"/>
      <c r="AC27" s="108"/>
      <c r="AI27" s="93"/>
    </row>
    <row r="28" spans="1:35" s="91" customFormat="1" ht="16.5" customHeight="1" x14ac:dyDescent="0.35">
      <c r="A28" s="143"/>
      <c r="B28" s="146"/>
      <c r="C28" s="146"/>
      <c r="D28" s="247"/>
      <c r="E28" s="246"/>
      <c r="F28" s="246"/>
      <c r="G28" s="248"/>
      <c r="H28" s="206"/>
      <c r="I28" s="218"/>
      <c r="J28" s="219"/>
      <c r="K28" s="220"/>
      <c r="L28" s="221"/>
      <c r="M28" s="222"/>
      <c r="N28" s="223"/>
      <c r="O28" s="223"/>
      <c r="P28" s="223"/>
      <c r="Q28" s="223"/>
      <c r="R28" s="224"/>
      <c r="S28" s="223"/>
      <c r="T28" s="225"/>
      <c r="U28" s="223"/>
      <c r="V28" s="223"/>
      <c r="W28" s="223"/>
      <c r="X28" s="222"/>
      <c r="Y28" s="222"/>
      <c r="Z28" s="226"/>
      <c r="AA28" s="222"/>
      <c r="AB28" s="222"/>
      <c r="AC28" s="108"/>
      <c r="AI28" s="93"/>
    </row>
    <row r="29" spans="1:35" s="91" customFormat="1" ht="27.75" customHeight="1" x14ac:dyDescent="0.25">
      <c r="A29" s="143"/>
      <c r="B29" s="466" t="s">
        <v>77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I29" s="93"/>
    </row>
    <row r="30" spans="1:35" s="91" customFormat="1" ht="27.75" customHeight="1" x14ac:dyDescent="0.25">
      <c r="A30" s="143"/>
      <c r="B30" s="466" t="s">
        <v>64</v>
      </c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  <c r="AI30" s="93"/>
    </row>
    <row r="31" spans="1:35" s="91" customFormat="1" ht="27.75" customHeight="1" x14ac:dyDescent="0.3">
      <c r="A31" s="143"/>
      <c r="B31" s="497" t="str">
        <f>PRESIDENCIA!A3</f>
        <v>SUELDO  DEL 01 AL 15 DE SEPTIEMBRE DE 2025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I31" s="93"/>
    </row>
    <row r="32" spans="1:35" s="91" customFormat="1" ht="30.75" customHeight="1" x14ac:dyDescent="0.35">
      <c r="A32" s="143"/>
      <c r="B32" s="146"/>
      <c r="C32" s="146"/>
      <c r="D32" s="247"/>
      <c r="E32" s="246"/>
      <c r="F32" s="246"/>
      <c r="G32" s="248"/>
      <c r="H32" s="206"/>
      <c r="I32" s="218"/>
      <c r="J32" s="219"/>
      <c r="K32" s="220"/>
      <c r="L32" s="221"/>
      <c r="M32" s="222"/>
      <c r="N32" s="223"/>
      <c r="O32" s="223"/>
      <c r="P32" s="223"/>
      <c r="Q32" s="223"/>
      <c r="R32" s="224"/>
      <c r="S32" s="223"/>
      <c r="T32" s="225"/>
      <c r="U32" s="223"/>
      <c r="V32" s="223"/>
      <c r="W32" s="223"/>
      <c r="X32" s="222"/>
      <c r="Y32" s="222"/>
      <c r="Z32" s="226"/>
      <c r="AA32" s="222"/>
      <c r="AB32" s="222"/>
      <c r="AC32" s="108"/>
      <c r="AI32" s="93"/>
    </row>
    <row r="33" spans="1:35" s="91" customFormat="1" ht="176.25" customHeight="1" x14ac:dyDescent="0.25">
      <c r="A33" s="143"/>
      <c r="B33" s="266" t="s">
        <v>617</v>
      </c>
      <c r="C33" s="266" t="s">
        <v>115</v>
      </c>
      <c r="D33" s="290" t="s">
        <v>618</v>
      </c>
      <c r="E33" s="330" t="s">
        <v>619</v>
      </c>
      <c r="F33" s="331" t="s">
        <v>620</v>
      </c>
      <c r="G33" s="329">
        <v>45078</v>
      </c>
      <c r="H33" s="271" t="s">
        <v>621</v>
      </c>
      <c r="I33" s="287">
        <v>15</v>
      </c>
      <c r="J33" s="273">
        <f t="shared" ref="J33" si="66">K33/I33</f>
        <v>604.86666666666667</v>
      </c>
      <c r="K33" s="274">
        <v>9073</v>
      </c>
      <c r="L33" s="275">
        <v>1119.57</v>
      </c>
      <c r="M33" s="276">
        <f t="shared" ref="M33" si="67">SUM(K33:L33)</f>
        <v>10192.57</v>
      </c>
      <c r="N33" s="298">
        <f t="shared" ref="N33" si="68">IF(K33/15&lt;=SMG,0,L33/2)</f>
        <v>559.78499999999997</v>
      </c>
      <c r="O33" s="319">
        <f t="shared" ref="O33" si="69">(K33+N33)/I33*30.4</f>
        <v>19522.444266666665</v>
      </c>
      <c r="P33" s="319">
        <f t="shared" ref="P33" si="70">VLOOKUP(O33,Tarifa,1)</f>
        <v>15487.72</v>
      </c>
      <c r="Q33" s="298">
        <f t="shared" ref="Q33" si="71">O33-P33</f>
        <v>4034.7242666666662</v>
      </c>
      <c r="R33" s="299">
        <f t="shared" ref="R33" si="72">VLOOKUP(O33,Tarifa,3)</f>
        <v>0.21360000000000001</v>
      </c>
      <c r="S33" s="298">
        <f t="shared" ref="S33" si="73">Q33*R33</f>
        <v>861.81710335999992</v>
      </c>
      <c r="T33" s="300">
        <f t="shared" ref="T33" si="74">VLOOKUP(O33,Tarifa,2)</f>
        <v>1640.18</v>
      </c>
      <c r="U33" s="298">
        <f t="shared" ref="U33" si="75">S33+T33</f>
        <v>2501.99710336</v>
      </c>
      <c r="V33" s="298">
        <f t="shared" ref="V33" si="76">VLOOKUP(O33,Credito,2)</f>
        <v>0</v>
      </c>
      <c r="W33" s="298">
        <f t="shared" ref="W33" si="77">ROUND((U33-V33)/30.4*I33,2)</f>
        <v>1234.54</v>
      </c>
      <c r="X33" s="276">
        <f t="shared" ref="X33" si="78">-IF(W33&gt;0,0,0)</f>
        <v>0</v>
      </c>
      <c r="Y33" s="276">
        <f t="shared" ref="Y33" si="79">IF(K33/15&lt;=SMG,0,IF(W33&lt;0,0,W33))</f>
        <v>1234.54</v>
      </c>
      <c r="Z33" s="277">
        <v>0</v>
      </c>
      <c r="AA33" s="276">
        <f t="shared" ref="AA33" si="80">SUM(Y33:Z33)</f>
        <v>1234.54</v>
      </c>
      <c r="AB33" s="276">
        <f t="shared" ref="AB33" si="81">M33+X33-AA33</f>
        <v>8958.0299999999988</v>
      </c>
      <c r="AC33" s="278"/>
      <c r="AI33" s="93"/>
    </row>
    <row r="34" spans="1:35" s="280" customFormat="1" ht="176.25" customHeight="1" x14ac:dyDescent="0.2">
      <c r="A34" s="265"/>
      <c r="B34" s="283" t="s">
        <v>377</v>
      </c>
      <c r="C34" s="283" t="s">
        <v>115</v>
      </c>
      <c r="D34" s="264" t="s">
        <v>378</v>
      </c>
      <c r="E34" s="135" t="s">
        <v>380</v>
      </c>
      <c r="F34" s="135" t="s">
        <v>381</v>
      </c>
      <c r="G34" s="161">
        <v>45459</v>
      </c>
      <c r="H34" s="271" t="s">
        <v>516</v>
      </c>
      <c r="I34" s="287">
        <v>15</v>
      </c>
      <c r="J34" s="273">
        <f t="shared" ref="J34" si="82">K34/I34</f>
        <v>373.2</v>
      </c>
      <c r="K34" s="274">
        <v>5598</v>
      </c>
      <c r="L34" s="275">
        <v>0</v>
      </c>
      <c r="M34" s="276">
        <f t="shared" ref="M34" si="83">SUM(K34:L34)</f>
        <v>5598</v>
      </c>
      <c r="N34" s="298">
        <f t="shared" ref="N34" si="84">IF(K34/15&lt;=SMG,0,L34/2)</f>
        <v>0</v>
      </c>
      <c r="O34" s="319">
        <f t="shared" ref="O34" si="85">(K34+N34)/I34*30.4</f>
        <v>11345.279999999999</v>
      </c>
      <c r="P34" s="319">
        <f t="shared" ref="P34" si="86">VLOOKUP(O34,Tarifa,1)</f>
        <v>11128.02</v>
      </c>
      <c r="Q34" s="298">
        <f t="shared" ref="Q34" si="87">O34-P34</f>
        <v>217.2599999999984</v>
      </c>
      <c r="R34" s="299">
        <f t="shared" ref="R34" si="88">VLOOKUP(O34,Tarifa,3)</f>
        <v>0.16</v>
      </c>
      <c r="S34" s="298">
        <f t="shared" ref="S34" si="89">Q34*R34</f>
        <v>34.761599999999746</v>
      </c>
      <c r="T34" s="300">
        <f t="shared" ref="T34" si="90">VLOOKUP(O34,Tarifa,2)</f>
        <v>893.63</v>
      </c>
      <c r="U34" s="298">
        <f t="shared" ref="U34" si="91">S34+T34</f>
        <v>928.3915999999997</v>
      </c>
      <c r="V34" s="298">
        <f t="shared" ref="V34" si="92">VLOOKUP(O34,Credito,2)</f>
        <v>0</v>
      </c>
      <c r="W34" s="298">
        <f t="shared" ref="W34" si="93">ROUND((U34-V34)/30.4*I34,2)</f>
        <v>458.09</v>
      </c>
      <c r="X34" s="276">
        <f t="shared" ref="X34:X35" si="94">-IF(W34&gt;0,0,0)</f>
        <v>0</v>
      </c>
      <c r="Y34" s="276">
        <f t="shared" ref="Y34:Y35" si="95">IF(K34/15&lt;=SMG,0,IF(W34&lt;0,0,W34))</f>
        <v>458.09</v>
      </c>
      <c r="Z34" s="277">
        <v>0</v>
      </c>
      <c r="AA34" s="276">
        <f t="shared" ref="AA34:AA35" si="96">SUM(Y34:Z34)</f>
        <v>458.09</v>
      </c>
      <c r="AB34" s="276">
        <f t="shared" ref="AB34" si="97">M34+X34-AA34</f>
        <v>5139.91</v>
      </c>
      <c r="AC34" s="278"/>
      <c r="AI34" s="281"/>
    </row>
    <row r="35" spans="1:35" s="280" customFormat="1" ht="176.25" customHeight="1" x14ac:dyDescent="0.2">
      <c r="A35" s="265"/>
      <c r="B35" s="267" t="s">
        <v>259</v>
      </c>
      <c r="C35" s="267" t="s">
        <v>115</v>
      </c>
      <c r="D35" s="333" t="s">
        <v>257</v>
      </c>
      <c r="E35" s="134" t="s">
        <v>255</v>
      </c>
      <c r="F35" s="134" t="s">
        <v>256</v>
      </c>
      <c r="G35" s="270">
        <v>44728</v>
      </c>
      <c r="H35" s="271" t="s">
        <v>258</v>
      </c>
      <c r="I35" s="287">
        <v>15</v>
      </c>
      <c r="J35" s="273">
        <f>K35/I35</f>
        <v>442.26666666666665</v>
      </c>
      <c r="K35" s="274">
        <v>6634</v>
      </c>
      <c r="L35" s="275">
        <v>0</v>
      </c>
      <c r="M35" s="274">
        <f>K35</f>
        <v>6634</v>
      </c>
      <c r="N35" s="298">
        <f>IF(K35/15&lt;=SMG,0,L35/2)</f>
        <v>0</v>
      </c>
      <c r="O35" s="319">
        <f>(K35+N35)/I35*30.4</f>
        <v>13444.906666666666</v>
      </c>
      <c r="P35" s="319">
        <f>VLOOKUP(O35,Tarifa,1)</f>
        <v>12935.83</v>
      </c>
      <c r="Q35" s="298">
        <f>O35-P35</f>
        <v>509.07666666666591</v>
      </c>
      <c r="R35" s="299">
        <f>VLOOKUP(O35,Tarifa,3)</f>
        <v>0.1792</v>
      </c>
      <c r="S35" s="298">
        <f>Q35*R35</f>
        <v>91.226538666666528</v>
      </c>
      <c r="T35" s="300">
        <f>VLOOKUP(O35,Tarifa,2)</f>
        <v>1182.8800000000001</v>
      </c>
      <c r="U35" s="298">
        <f>S35+T35</f>
        <v>1274.1065386666667</v>
      </c>
      <c r="V35" s="298">
        <f>VLOOKUP(O35,Credito,2)</f>
        <v>0</v>
      </c>
      <c r="W35" s="298">
        <f>ROUND((U35-V35)/30.4*I35,2)</f>
        <v>628.66999999999996</v>
      </c>
      <c r="X35" s="276">
        <f t="shared" si="94"/>
        <v>0</v>
      </c>
      <c r="Y35" s="276">
        <f t="shared" si="95"/>
        <v>628.66999999999996</v>
      </c>
      <c r="Z35" s="277">
        <v>0</v>
      </c>
      <c r="AA35" s="276">
        <f t="shared" si="96"/>
        <v>628.66999999999996</v>
      </c>
      <c r="AB35" s="276">
        <f>M35+X35-AA35+L35</f>
        <v>6005.33</v>
      </c>
      <c r="AC35" s="288"/>
      <c r="AI35" s="281"/>
    </row>
    <row r="36" spans="1:35" s="280" customFormat="1" ht="176.25" customHeight="1" x14ac:dyDescent="0.2">
      <c r="A36" s="265"/>
      <c r="B36" s="283" t="s">
        <v>285</v>
      </c>
      <c r="C36" s="283" t="s">
        <v>115</v>
      </c>
      <c r="D36" s="290" t="s">
        <v>286</v>
      </c>
      <c r="E36" s="291" t="s">
        <v>287</v>
      </c>
      <c r="F36" s="291" t="s">
        <v>288</v>
      </c>
      <c r="G36" s="336">
        <v>45078</v>
      </c>
      <c r="H36" s="271" t="s">
        <v>519</v>
      </c>
      <c r="I36" s="287">
        <v>15</v>
      </c>
      <c r="J36" s="273">
        <f>K36/I36</f>
        <v>317.46666666666664</v>
      </c>
      <c r="K36" s="274">
        <v>4762</v>
      </c>
      <c r="L36" s="275">
        <v>0</v>
      </c>
      <c r="M36" s="276">
        <f t="shared" ref="M36" si="98">SUM(K36:L36)</f>
        <v>4762</v>
      </c>
      <c r="N36" s="298">
        <f>IF(K36/15&lt;=SMG,0,L36/2)</f>
        <v>0</v>
      </c>
      <c r="O36" s="319">
        <f>(K36+N36)/I36*30.4</f>
        <v>9650.9866666666658</v>
      </c>
      <c r="P36" s="319">
        <f>VLOOKUP(O36,Tarifa,1)</f>
        <v>6332.06</v>
      </c>
      <c r="Q36" s="298">
        <f>O36-P36</f>
        <v>3318.9266666666654</v>
      </c>
      <c r="R36" s="299">
        <f>VLOOKUP(O36,Tarifa,3)</f>
        <v>0.10879999999999999</v>
      </c>
      <c r="S36" s="298">
        <f>Q36*R36</f>
        <v>361.09922133333316</v>
      </c>
      <c r="T36" s="300">
        <f>VLOOKUP(O36,Tarifa,2)</f>
        <v>371.83</v>
      </c>
      <c r="U36" s="298">
        <f>S36+T36</f>
        <v>732.92922133333309</v>
      </c>
      <c r="V36" s="298">
        <f>VLOOKUP(O36,Credito,2)</f>
        <v>475</v>
      </c>
      <c r="W36" s="298">
        <f>ROUND((U36-V36)/30.4*I36,2)</f>
        <v>127.27</v>
      </c>
      <c r="X36" s="276">
        <f>-IF(W36&gt;0,0,0)</f>
        <v>0</v>
      </c>
      <c r="Y36" s="276">
        <f>IF(K36/15&lt;=SMG,0,IF(W36&lt;0,0,W36))</f>
        <v>127.27</v>
      </c>
      <c r="Z36" s="277">
        <v>0</v>
      </c>
      <c r="AA36" s="276">
        <f>SUM(Y36:Z36)</f>
        <v>127.27</v>
      </c>
      <c r="AB36" s="276">
        <f>M36+X36-AA36</f>
        <v>4634.7299999999996</v>
      </c>
      <c r="AC36" s="285"/>
      <c r="AI36" s="281"/>
    </row>
    <row r="37" spans="1:35" s="280" customFormat="1" ht="176.25" customHeight="1" x14ac:dyDescent="0.2">
      <c r="A37" s="265"/>
      <c r="B37" s="289" t="s">
        <v>597</v>
      </c>
      <c r="C37" s="283" t="s">
        <v>115</v>
      </c>
      <c r="D37" s="268" t="s">
        <v>598</v>
      </c>
      <c r="E37" s="269" t="s">
        <v>599</v>
      </c>
      <c r="F37" s="269" t="s">
        <v>600</v>
      </c>
      <c r="G37" s="270">
        <v>45754</v>
      </c>
      <c r="H37" s="271" t="s">
        <v>67</v>
      </c>
      <c r="I37" s="272">
        <v>15</v>
      </c>
      <c r="J37" s="273">
        <f t="shared" ref="J37" si="99">K37/I37</f>
        <v>482.44466666666665</v>
      </c>
      <c r="K37" s="274">
        <v>7236.67</v>
      </c>
      <c r="L37" s="275">
        <v>0</v>
      </c>
      <c r="M37" s="276">
        <f>SUM(K37:L37)</f>
        <v>7236.67</v>
      </c>
      <c r="N37" s="298">
        <f>IF(K37/15&lt;=SMG,0,L37/2)</f>
        <v>0</v>
      </c>
      <c r="O37" s="319">
        <f>(K37+N37)/I37*30.4</f>
        <v>14666.317866666666</v>
      </c>
      <c r="P37" s="319">
        <f>VLOOKUP(O37,Tarifa,1)</f>
        <v>12935.83</v>
      </c>
      <c r="Q37" s="298">
        <f>O37-P37</f>
        <v>1730.4878666666664</v>
      </c>
      <c r="R37" s="299">
        <f>VLOOKUP(O37,Tarifa,3)</f>
        <v>0.1792</v>
      </c>
      <c r="S37" s="298">
        <f>Q37*R37</f>
        <v>310.1034257066666</v>
      </c>
      <c r="T37" s="300">
        <f>VLOOKUP(O37,Tarifa,2)</f>
        <v>1182.8800000000001</v>
      </c>
      <c r="U37" s="298">
        <f>S37+T37</f>
        <v>1492.9834257066668</v>
      </c>
      <c r="V37" s="298">
        <f>VLOOKUP(O37,Credito,2)</f>
        <v>0</v>
      </c>
      <c r="W37" s="298">
        <f>ROUND((U37-V37)/30.4*I37,2)</f>
        <v>736.67</v>
      </c>
      <c r="X37" s="276">
        <f>-IF(W37&gt;0,0,0)</f>
        <v>0</v>
      </c>
      <c r="Y37" s="276">
        <f>IF(K37/15&lt;=SMG,0,IF(W37&lt;0,0,W37))</f>
        <v>736.67</v>
      </c>
      <c r="Z37" s="277">
        <v>0</v>
      </c>
      <c r="AA37" s="276">
        <f>SUM(Y37:Z37)</f>
        <v>736.67</v>
      </c>
      <c r="AB37" s="276">
        <f>M37+X37-AA37</f>
        <v>6500</v>
      </c>
      <c r="AC37" s="285"/>
      <c r="AI37" s="281"/>
    </row>
    <row r="38" spans="1:35" s="52" customFormat="1" ht="39" customHeight="1" thickBot="1" x14ac:dyDescent="0.35">
      <c r="A38" s="463" t="s">
        <v>44</v>
      </c>
      <c r="B38" s="464"/>
      <c r="C38" s="464"/>
      <c r="D38" s="464"/>
      <c r="E38" s="464"/>
      <c r="F38" s="464"/>
      <c r="G38" s="464"/>
      <c r="H38" s="464"/>
      <c r="I38" s="464"/>
      <c r="J38" s="465"/>
      <c r="K38" s="208">
        <f t="shared" ref="K38:AB38" si="100">SUM(K9:K37)</f>
        <v>136473.18</v>
      </c>
      <c r="L38" s="208">
        <f t="shared" si="100"/>
        <v>2891.3099999999995</v>
      </c>
      <c r="M38" s="208">
        <f t="shared" si="100"/>
        <v>139364.49</v>
      </c>
      <c r="N38" s="209">
        <f t="shared" si="100"/>
        <v>1445.6549999999997</v>
      </c>
      <c r="O38" s="209">
        <f t="shared" si="100"/>
        <v>279515.50559999997</v>
      </c>
      <c r="P38" s="209">
        <f t="shared" si="100"/>
        <v>219141.36999999994</v>
      </c>
      <c r="Q38" s="209">
        <f t="shared" si="100"/>
        <v>60374.135599999994</v>
      </c>
      <c r="R38" s="209">
        <f t="shared" si="100"/>
        <v>3.0888</v>
      </c>
      <c r="S38" s="209">
        <f t="shared" si="100"/>
        <v>11889.151794773328</v>
      </c>
      <c r="T38" s="209">
        <f t="shared" si="100"/>
        <v>20820.210000000003</v>
      </c>
      <c r="U38" s="209">
        <f t="shared" si="100"/>
        <v>32709.361794773336</v>
      </c>
      <c r="V38" s="209">
        <f t="shared" si="100"/>
        <v>950</v>
      </c>
      <c r="W38" s="209">
        <f t="shared" si="100"/>
        <v>15670.760000000002</v>
      </c>
      <c r="X38" s="208">
        <f t="shared" si="100"/>
        <v>0</v>
      </c>
      <c r="Y38" s="208">
        <f t="shared" si="100"/>
        <v>15670.760000000002</v>
      </c>
      <c r="Z38" s="208">
        <f t="shared" si="100"/>
        <v>0</v>
      </c>
      <c r="AA38" s="208">
        <f t="shared" si="100"/>
        <v>15670.760000000002</v>
      </c>
      <c r="AB38" s="208">
        <f t="shared" si="100"/>
        <v>123693.73000000001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3" t="s">
        <v>478</v>
      </c>
      <c r="E50" s="213"/>
      <c r="F50" s="213"/>
      <c r="G50" s="213"/>
      <c r="H50" s="213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3" t="s">
        <v>144</v>
      </c>
      <c r="Z50" s="108"/>
      <c r="AA50" s="108"/>
      <c r="AB50" s="108"/>
    </row>
    <row r="51" spans="2:29" s="52" customFormat="1" ht="18" x14ac:dyDescent="0.25">
      <c r="B51" s="91"/>
      <c r="C51" s="91"/>
      <c r="D51" s="213" t="s">
        <v>497</v>
      </c>
      <c r="E51" s="213"/>
      <c r="F51" s="213"/>
      <c r="G51" s="213"/>
      <c r="H51" s="213"/>
      <c r="I51" s="213"/>
      <c r="J51" s="213"/>
      <c r="K51" s="213"/>
      <c r="L51" s="213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3" t="s">
        <v>211</v>
      </c>
      <c r="Z51" s="108"/>
      <c r="AA51" s="213"/>
      <c r="AB51" s="213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B18:AD18"/>
    <mergeCell ref="B19:AC19"/>
    <mergeCell ref="B31:AC31"/>
    <mergeCell ref="A38:J38"/>
    <mergeCell ref="C5:C7"/>
    <mergeCell ref="B29:AD29"/>
    <mergeCell ref="B30:AD30"/>
    <mergeCell ref="B17:AD1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7:G28 D35:F37 D24:F26 D22:G23 D32:G32 D34:G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23" zoomScale="69" zoomScaleNormal="69" workbookViewId="0">
      <selection activeCell="F26" sqref="F2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77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30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30" ht="19.5" x14ac:dyDescent="0.25">
      <c r="A3" s="467" t="str">
        <f>PRESIDENCIA!A3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7" t="s">
        <v>1</v>
      </c>
      <c r="L5" s="488"/>
      <c r="M5" s="489"/>
      <c r="N5" s="50" t="s">
        <v>25</v>
      </c>
      <c r="O5" s="51"/>
      <c r="P5" s="490" t="s">
        <v>8</v>
      </c>
      <c r="Q5" s="491"/>
      <c r="R5" s="491"/>
      <c r="S5" s="491"/>
      <c r="T5" s="491"/>
      <c r="U5" s="492"/>
      <c r="V5" s="50" t="s">
        <v>29</v>
      </c>
      <c r="W5" s="50" t="s">
        <v>9</v>
      </c>
      <c r="X5" s="49" t="s">
        <v>52</v>
      </c>
      <c r="Y5" s="493" t="s">
        <v>2</v>
      </c>
      <c r="Z5" s="494"/>
      <c r="AA5" s="495"/>
      <c r="AB5" s="49" t="s">
        <v>0</v>
      </c>
      <c r="AC5" s="48"/>
    </row>
    <row r="6" spans="1:30" s="52" customFormat="1" ht="24" x14ac:dyDescent="0.2">
      <c r="A6" s="53" t="s">
        <v>103</v>
      </c>
      <c r="B6" s="47" t="s">
        <v>96</v>
      </c>
      <c r="C6" s="47" t="s">
        <v>121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267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122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97</v>
      </c>
      <c r="F8" s="180" t="s">
        <v>221</v>
      </c>
      <c r="G8" s="148" t="s">
        <v>273</v>
      </c>
      <c r="H8" s="180" t="s">
        <v>61</v>
      </c>
      <c r="I8" s="180"/>
      <c r="J8" s="180"/>
      <c r="K8" s="181">
        <f>SUM(K9:K25)</f>
        <v>57315.51</v>
      </c>
      <c r="L8" s="181">
        <f>SUM(L9:L25)</f>
        <v>1098.42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3695.07</v>
      </c>
      <c r="Z8" s="181">
        <f>SUM(Z9:Z25)</f>
        <v>500</v>
      </c>
      <c r="AA8" s="181">
        <f>SUM(AA9:AA25)</f>
        <v>4195.0700000000006</v>
      </c>
      <c r="AB8" s="181">
        <f>SUM(AB9:AB25)</f>
        <v>54218.86</v>
      </c>
      <c r="AC8" s="96"/>
    </row>
    <row r="9" spans="1:30" s="339" customFormat="1" ht="220.5" customHeight="1" x14ac:dyDescent="0.2">
      <c r="A9" s="337"/>
      <c r="B9" s="283" t="s">
        <v>169</v>
      </c>
      <c r="C9" s="283" t="s">
        <v>115</v>
      </c>
      <c r="D9" s="268" t="s">
        <v>165</v>
      </c>
      <c r="E9" s="269" t="s">
        <v>168</v>
      </c>
      <c r="F9" s="269" t="s">
        <v>240</v>
      </c>
      <c r="G9" s="270">
        <v>43512</v>
      </c>
      <c r="H9" s="271" t="s">
        <v>164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9">
        <f>(K9+N9)/I9*30.4</f>
        <v>11014.933333333332</v>
      </c>
      <c r="P9" s="319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8"/>
    </row>
    <row r="10" spans="1:30" s="339" customFormat="1" ht="220.5" customHeight="1" x14ac:dyDescent="0.2">
      <c r="A10" s="337"/>
      <c r="B10" s="283" t="s">
        <v>260</v>
      </c>
      <c r="C10" s="283" t="s">
        <v>115</v>
      </c>
      <c r="D10" s="268" t="s">
        <v>263</v>
      </c>
      <c r="E10" s="278" t="s">
        <v>264</v>
      </c>
      <c r="F10" s="278" t="s">
        <v>265</v>
      </c>
      <c r="G10" s="329">
        <v>44743</v>
      </c>
      <c r="H10" s="271" t="s">
        <v>164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8"/>
    </row>
    <row r="11" spans="1:30" s="339" customFormat="1" ht="220.5" customHeight="1" x14ac:dyDescent="0.2">
      <c r="A11" s="337"/>
      <c r="B11" s="283" t="s">
        <v>99</v>
      </c>
      <c r="C11" s="283" t="s">
        <v>115</v>
      </c>
      <c r="D11" s="268" t="s">
        <v>70</v>
      </c>
      <c r="E11" s="269" t="s">
        <v>101</v>
      </c>
      <c r="F11" s="269" t="s">
        <v>225</v>
      </c>
      <c r="G11" s="270">
        <v>39448</v>
      </c>
      <c r="H11" s="271" t="s">
        <v>517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9">
        <f>(K11+N11)/I11*30.4</f>
        <v>11014.933333333332</v>
      </c>
      <c r="P11" s="319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6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8"/>
    </row>
    <row r="12" spans="1:30" s="339" customFormat="1" ht="220.5" customHeight="1" x14ac:dyDescent="0.2">
      <c r="A12" s="337"/>
      <c r="B12" s="289" t="s">
        <v>177</v>
      </c>
      <c r="C12" s="283" t="s">
        <v>115</v>
      </c>
      <c r="D12" s="290" t="s">
        <v>175</v>
      </c>
      <c r="E12" s="291" t="s">
        <v>176</v>
      </c>
      <c r="F12" s="291" t="s">
        <v>243</v>
      </c>
      <c r="G12" s="292">
        <v>43617</v>
      </c>
      <c r="H12" s="271" t="s">
        <v>517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9">
        <f>(K12+N12)/I12*30.4</f>
        <v>11014.933333333332</v>
      </c>
      <c r="P12" s="319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8"/>
    </row>
    <row r="13" spans="1:30" s="339" customFormat="1" ht="220.5" customHeight="1" x14ac:dyDescent="0.2">
      <c r="A13" s="337"/>
      <c r="B13" s="283" t="s">
        <v>127</v>
      </c>
      <c r="C13" s="283" t="s">
        <v>115</v>
      </c>
      <c r="D13" s="290" t="s">
        <v>126</v>
      </c>
      <c r="E13" s="291" t="s">
        <v>128</v>
      </c>
      <c r="F13" s="291" t="s">
        <v>230</v>
      </c>
      <c r="G13" s="336">
        <v>42948</v>
      </c>
      <c r="H13" s="271" t="s">
        <v>518</v>
      </c>
      <c r="I13" s="272">
        <v>15</v>
      </c>
      <c r="J13" s="273">
        <f>K13/I13</f>
        <v>441.834</v>
      </c>
      <c r="K13" s="274">
        <v>6627.51</v>
      </c>
      <c r="L13" s="275">
        <v>1098.42</v>
      </c>
      <c r="M13" s="274">
        <f>K13</f>
        <v>6627.51</v>
      </c>
      <c r="N13" s="298">
        <f>IF(K13/15&lt;=SMG,0,L13/2)</f>
        <v>549.21</v>
      </c>
      <c r="O13" s="319">
        <f>(K13+N13)/I13*30.4</f>
        <v>14544.8192</v>
      </c>
      <c r="P13" s="319">
        <f>VLOOKUP(O13,Tarifa,1)</f>
        <v>12935.83</v>
      </c>
      <c r="Q13" s="298">
        <f>O13-P13</f>
        <v>1608.9892</v>
      </c>
      <c r="R13" s="299">
        <f>VLOOKUP(O13,Tarifa,3)</f>
        <v>0.1792</v>
      </c>
      <c r="S13" s="298">
        <f>Q13*R13</f>
        <v>288.33086464000002</v>
      </c>
      <c r="T13" s="300">
        <f>VLOOKUP(O13,Tarifa,2)</f>
        <v>1182.8800000000001</v>
      </c>
      <c r="U13" s="298">
        <f>S13+T13</f>
        <v>1471.2108646400002</v>
      </c>
      <c r="V13" s="298">
        <f>VLOOKUP(O13,Credito,2)</f>
        <v>0</v>
      </c>
      <c r="W13" s="298">
        <f>ROUND((U13-V13)/30.4*I13,2)</f>
        <v>725.93</v>
      </c>
      <c r="X13" s="276">
        <f t="shared" si="2"/>
        <v>0</v>
      </c>
      <c r="Y13" s="276">
        <f t="shared" ref="Y13" si="3">IF(K13/15&lt;=SMG,0,IF(W13&lt;0,0,W13))</f>
        <v>725.93</v>
      </c>
      <c r="Z13" s="277">
        <v>0</v>
      </c>
      <c r="AA13" s="276">
        <f t="shared" ref="AA13" si="4">SUM(Y13:Z13)</f>
        <v>725.93</v>
      </c>
      <c r="AB13" s="276">
        <f>M13+X13-AA13+L13</f>
        <v>7000</v>
      </c>
      <c r="AC13" s="338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12.7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77" t="s">
        <v>77</v>
      </c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</row>
    <row r="17" spans="1:30" s="4" customFormat="1" ht="27" customHeight="1" x14ac:dyDescent="0.25">
      <c r="A17" s="204"/>
      <c r="B17" s="477" t="s">
        <v>64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</row>
    <row r="18" spans="1:30" s="4" customFormat="1" ht="27" customHeight="1" x14ac:dyDescent="0.3">
      <c r="A18" s="204"/>
      <c r="B18" s="501" t="str">
        <f>PRESIDENCIA!A3</f>
        <v>SUELDO  DEL 01 AL 15 DE SEPTIEMBRE DE 2025</v>
      </c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9" customFormat="1" ht="160.5" customHeight="1" x14ac:dyDescent="0.2">
      <c r="A20" s="340"/>
      <c r="B20" s="341" t="s">
        <v>422</v>
      </c>
      <c r="C20" s="341" t="s">
        <v>115</v>
      </c>
      <c r="D20" s="342" t="s">
        <v>412</v>
      </c>
      <c r="E20" s="343" t="s">
        <v>423</v>
      </c>
      <c r="F20" s="343" t="s">
        <v>424</v>
      </c>
      <c r="G20" s="344">
        <v>45566</v>
      </c>
      <c r="H20" s="345" t="s">
        <v>98</v>
      </c>
      <c r="I20" s="272">
        <v>15</v>
      </c>
      <c r="J20" s="273">
        <f t="shared" ref="J20:J24" si="5">K20/I20</f>
        <v>317.46666666666664</v>
      </c>
      <c r="K20" s="346">
        <v>4762</v>
      </c>
      <c r="L20" s="347">
        <v>0</v>
      </c>
      <c r="M20" s="348">
        <f t="shared" ref="M20" si="6">SUM(K20:L20)</f>
        <v>4762</v>
      </c>
      <c r="N20" s="298">
        <f>IF(K20/15&lt;=SMG,0,L20/2)</f>
        <v>0</v>
      </c>
      <c r="O20" s="319">
        <f>(K20+N20)/I20*30.4</f>
        <v>9650.9866666666658</v>
      </c>
      <c r="P20" s="319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8">
        <f t="shared" ref="X20:X21" si="7">-IF(W20&gt;0,0,0)</f>
        <v>0</v>
      </c>
      <c r="Y20" s="348">
        <f t="shared" ref="Y20:Y21" si="8">IF(K20/15&lt;=SMG,0,IF(W20&lt;0,0,W20))</f>
        <v>127.27</v>
      </c>
      <c r="Z20" s="349">
        <v>0</v>
      </c>
      <c r="AA20" s="348">
        <f t="shared" ref="AA20" si="9">SUM(Y20:Z20)</f>
        <v>127.27</v>
      </c>
      <c r="AB20" s="348">
        <f t="shared" ref="AB20" si="10">M20+X20-AA20</f>
        <v>4634.7299999999996</v>
      </c>
      <c r="AC20" s="350"/>
    </row>
    <row r="21" spans="1:30" s="339" customFormat="1" ht="160.5" customHeight="1" x14ac:dyDescent="0.2">
      <c r="A21" s="340"/>
      <c r="B21" s="283" t="s">
        <v>301</v>
      </c>
      <c r="C21" s="283" t="s">
        <v>115</v>
      </c>
      <c r="D21" s="290" t="s">
        <v>300</v>
      </c>
      <c r="E21" s="291" t="s">
        <v>302</v>
      </c>
      <c r="F21" s="291" t="s">
        <v>303</v>
      </c>
      <c r="G21" s="336">
        <v>45123</v>
      </c>
      <c r="H21" s="271" t="s">
        <v>299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9">
        <f>(K21+N21)/I21*30.4</f>
        <v>9274.0266666666666</v>
      </c>
      <c r="P21" s="319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50"/>
    </row>
    <row r="22" spans="1:30" s="339" customFormat="1" ht="160.5" customHeight="1" x14ac:dyDescent="0.2">
      <c r="A22" s="337"/>
      <c r="B22" s="283" t="s">
        <v>178</v>
      </c>
      <c r="C22" s="283" t="s">
        <v>115</v>
      </c>
      <c r="D22" s="290" t="s">
        <v>179</v>
      </c>
      <c r="E22" s="291" t="s">
        <v>180</v>
      </c>
      <c r="F22" s="291" t="s">
        <v>244</v>
      </c>
      <c r="G22" s="336">
        <v>43709</v>
      </c>
      <c r="H22" s="271" t="s">
        <v>213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9">
        <f>(K22+N22)/I22*30.4</f>
        <v>8755.1999999999989</v>
      </c>
      <c r="P22" s="319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500</v>
      </c>
      <c r="AA22" s="276">
        <f>SUM(Y22:Z22)</f>
        <v>579.18000000000006</v>
      </c>
      <c r="AB22" s="276">
        <f>M22+X22-AA22</f>
        <v>3740.8199999999997</v>
      </c>
      <c r="AC22" s="338"/>
    </row>
    <row r="23" spans="1:30" s="339" customFormat="1" ht="160.5" customHeight="1" x14ac:dyDescent="0.2">
      <c r="A23" s="337"/>
      <c r="B23" s="289" t="s">
        <v>217</v>
      </c>
      <c r="C23" s="283" t="s">
        <v>115</v>
      </c>
      <c r="D23" s="268" t="s">
        <v>203</v>
      </c>
      <c r="E23" s="269" t="s">
        <v>204</v>
      </c>
      <c r="F23" s="269" t="s">
        <v>229</v>
      </c>
      <c r="G23" s="270">
        <v>44473</v>
      </c>
      <c r="H23" s="271" t="s">
        <v>411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9">
        <f>(K23+N23)/I23*30.4</f>
        <v>8297.1733333333323</v>
      </c>
      <c r="P23" s="319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8"/>
    </row>
    <row r="24" spans="1:30" s="339" customFormat="1" ht="160.5" customHeight="1" x14ac:dyDescent="0.2">
      <c r="A24" s="337"/>
      <c r="B24" s="289" t="s">
        <v>529</v>
      </c>
      <c r="C24" s="283" t="s">
        <v>115</v>
      </c>
      <c r="D24" s="268" t="s">
        <v>531</v>
      </c>
      <c r="E24" s="269" t="s">
        <v>532</v>
      </c>
      <c r="F24" s="269" t="s">
        <v>533</v>
      </c>
      <c r="G24" s="270">
        <v>45673</v>
      </c>
      <c r="H24" s="271" t="s">
        <v>379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9">
        <f t="shared" ref="O24" si="14">(K24+N24)/I24*30.4</f>
        <v>11345.279999999999</v>
      </c>
      <c r="P24" s="319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8"/>
    </row>
    <row r="25" spans="1:30" s="339" customFormat="1" ht="159.75" customHeight="1" x14ac:dyDescent="0.2">
      <c r="A25" s="337"/>
      <c r="B25" s="289" t="s">
        <v>530</v>
      </c>
      <c r="C25" s="283" t="s">
        <v>115</v>
      </c>
      <c r="D25" s="268" t="s">
        <v>534</v>
      </c>
      <c r="E25" s="269" t="s">
        <v>536</v>
      </c>
      <c r="F25" s="269" t="s">
        <v>535</v>
      </c>
      <c r="G25" s="270">
        <v>45673</v>
      </c>
      <c r="H25" s="271" t="s">
        <v>379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9">
        <f t="shared" ref="O25" si="29">(K25+N25)/I25*30.4</f>
        <v>11345.279999999999</v>
      </c>
      <c r="P25" s="319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8"/>
    </row>
    <row r="26" spans="1:30" s="339" customFormat="1" ht="56.25" customHeight="1" x14ac:dyDescent="0.25">
      <c r="A26" s="425"/>
      <c r="B26" s="111" t="s">
        <v>96</v>
      </c>
      <c r="C26" s="111" t="s">
        <v>121</v>
      </c>
      <c r="D26" s="180" t="s">
        <v>120</v>
      </c>
      <c r="E26" s="180" t="s">
        <v>97</v>
      </c>
      <c r="F26" s="180" t="s">
        <v>221</v>
      </c>
      <c r="G26" s="148" t="s">
        <v>273</v>
      </c>
      <c r="H26" s="180" t="s">
        <v>61</v>
      </c>
      <c r="I26" s="180"/>
      <c r="J26" s="180"/>
      <c r="K26" s="181">
        <f>SUM(K27:K27)</f>
        <v>5598</v>
      </c>
      <c r="L26" s="181">
        <f>SUM(L27:L27)</f>
        <v>0</v>
      </c>
      <c r="M26" s="181">
        <f>SUM(M27:M27)</f>
        <v>5598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458.09</v>
      </c>
      <c r="Z26" s="181">
        <f>SUM(Z27:Z27)</f>
        <v>0</v>
      </c>
      <c r="AA26" s="181">
        <f>SUM(AA27:AA27)</f>
        <v>458.09</v>
      </c>
      <c r="AB26" s="181">
        <f>SUM(AB27:AB27)</f>
        <v>5139.91</v>
      </c>
      <c r="AC26" s="96"/>
    </row>
    <row r="27" spans="1:30" s="339" customFormat="1" ht="159.75" customHeight="1" x14ac:dyDescent="0.2">
      <c r="A27" s="425"/>
      <c r="B27" s="289" t="s">
        <v>648</v>
      </c>
      <c r="C27" s="283" t="s">
        <v>115</v>
      </c>
      <c r="D27" s="268" t="s">
        <v>643</v>
      </c>
      <c r="E27" s="269" t="s">
        <v>644</v>
      </c>
      <c r="F27" s="269" t="s">
        <v>645</v>
      </c>
      <c r="G27" s="270">
        <v>45901</v>
      </c>
      <c r="H27" s="271" t="s">
        <v>379</v>
      </c>
      <c r="I27" s="272">
        <v>15</v>
      </c>
      <c r="J27" s="273">
        <f>K27/I27</f>
        <v>373.2</v>
      </c>
      <c r="K27" s="274">
        <v>5598</v>
      </c>
      <c r="L27" s="275">
        <v>0</v>
      </c>
      <c r="M27" s="276">
        <f t="shared" ref="M27" si="42">SUM(K27:L27)</f>
        <v>5598</v>
      </c>
      <c r="N27" s="298">
        <f t="shared" ref="N27" si="43">IF(K27/15&lt;=SMG,0,L27/2)</f>
        <v>0</v>
      </c>
      <c r="O27" s="319">
        <f t="shared" ref="O27" si="44">(K27+N27)/I27*30.4</f>
        <v>11345.279999999999</v>
      </c>
      <c r="P27" s="319">
        <f t="shared" ref="P27" si="45">VLOOKUP(O27,Tarifa,1)</f>
        <v>11128.02</v>
      </c>
      <c r="Q27" s="298">
        <f t="shared" ref="Q27" si="46">O27-P27</f>
        <v>217.2599999999984</v>
      </c>
      <c r="R27" s="299">
        <f t="shared" ref="R27" si="47">VLOOKUP(O27,Tarifa,3)</f>
        <v>0.16</v>
      </c>
      <c r="S27" s="298">
        <f t="shared" ref="S27" si="48">Q27*R27</f>
        <v>34.761599999999746</v>
      </c>
      <c r="T27" s="300">
        <f t="shared" ref="T27" si="49">VLOOKUP(O27,Tarifa,2)</f>
        <v>893.63</v>
      </c>
      <c r="U27" s="298">
        <f t="shared" ref="U27" si="50">S27+T27</f>
        <v>928.3915999999997</v>
      </c>
      <c r="V27" s="298">
        <f t="shared" ref="V27" si="51">VLOOKUP(O27,Credito,2)</f>
        <v>0</v>
      </c>
      <c r="W27" s="298">
        <f t="shared" ref="W27" si="52">ROUND((U27-V27)/30.4*I27,2)</f>
        <v>458.09</v>
      </c>
      <c r="X27" s="276">
        <f t="shared" ref="X27" si="53">-IF(W27&gt;0,0,0)</f>
        <v>0</v>
      </c>
      <c r="Y27" s="276">
        <f t="shared" ref="Y27" si="54">IF(K27/15&lt;=SMG,0,IF(W27&lt;0,0,W27))</f>
        <v>458.09</v>
      </c>
      <c r="Z27" s="277">
        <v>0</v>
      </c>
      <c r="AA27" s="276">
        <f t="shared" ref="AA27" si="55">SUM(Y27:Z27)</f>
        <v>458.09</v>
      </c>
      <c r="AB27" s="276">
        <f t="shared" ref="AB27" si="56">M27+X27-AA27</f>
        <v>5139.91</v>
      </c>
      <c r="AC27" s="338"/>
    </row>
    <row r="28" spans="1:30" s="4" customFormat="1" ht="29.25" customHeight="1" x14ac:dyDescent="0.25">
      <c r="A28" s="249"/>
      <c r="B28" s="477" t="s">
        <v>77</v>
      </c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7"/>
      <c r="AB28" s="477"/>
      <c r="AC28" s="477"/>
      <c r="AD28" s="477"/>
    </row>
    <row r="29" spans="1:30" s="4" customFormat="1" ht="27" customHeight="1" x14ac:dyDescent="0.25">
      <c r="A29" s="249"/>
      <c r="B29" s="477" t="s">
        <v>64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</row>
    <row r="30" spans="1:30" s="4" customFormat="1" ht="24" customHeight="1" x14ac:dyDescent="0.25">
      <c r="A30" s="249"/>
      <c r="B30" s="467" t="str">
        <f>PRESIDENCIA!A3</f>
        <v>SUELDO  DEL 01 AL 15 DE SEPTIEMBRE DE 2025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67"/>
      <c r="Z30" s="467"/>
      <c r="AA30" s="467"/>
      <c r="AB30" s="467"/>
      <c r="AC30" s="467"/>
      <c r="AD30" s="467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9.5" customHeight="1" x14ac:dyDescent="0.25">
      <c r="A32" s="249"/>
      <c r="B32" s="111" t="s">
        <v>96</v>
      </c>
      <c r="C32" s="111" t="s">
        <v>121</v>
      </c>
      <c r="D32" s="180" t="s">
        <v>120</v>
      </c>
      <c r="E32" s="180" t="s">
        <v>97</v>
      </c>
      <c r="F32" s="180" t="s">
        <v>221</v>
      </c>
      <c r="G32" s="148" t="s">
        <v>273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35" s="4" customFormat="1" ht="191.25" customHeight="1" x14ac:dyDescent="0.2">
      <c r="A33" s="249"/>
      <c r="B33" s="289" t="s">
        <v>170</v>
      </c>
      <c r="C33" s="283" t="s">
        <v>115</v>
      </c>
      <c r="D33" s="268" t="s">
        <v>162</v>
      </c>
      <c r="E33" s="269" t="s">
        <v>167</v>
      </c>
      <c r="F33" s="269" t="s">
        <v>241</v>
      </c>
      <c r="G33" s="270">
        <v>43512</v>
      </c>
      <c r="H33" s="271" t="s">
        <v>520</v>
      </c>
      <c r="I33" s="272">
        <v>15</v>
      </c>
      <c r="J33" s="273">
        <f>K33/I33</f>
        <v>471.86666666666667</v>
      </c>
      <c r="K33" s="274">
        <v>7078</v>
      </c>
      <c r="L33" s="275">
        <v>0</v>
      </c>
      <c r="M33" s="276">
        <f>SUM(K33:L33)</f>
        <v>7078</v>
      </c>
      <c r="N33" s="298">
        <f>IF(K33/15&lt;=SMG,0,L33/2)</f>
        <v>0</v>
      </c>
      <c r="O33" s="319">
        <f>(K33+N33)/I33*30.4</f>
        <v>14344.746666666666</v>
      </c>
      <c r="P33" s="319">
        <f>VLOOKUP(O33,Tarifa,1)</f>
        <v>12935.83</v>
      </c>
      <c r="Q33" s="298">
        <f>O33-P33</f>
        <v>1408.9166666666661</v>
      </c>
      <c r="R33" s="299">
        <f>VLOOKUP(O33,Tarifa,3)</f>
        <v>0.1792</v>
      </c>
      <c r="S33" s="298">
        <f>Q33*R33</f>
        <v>252.47786666666656</v>
      </c>
      <c r="T33" s="300">
        <f>VLOOKUP(O33,Tarifa,2)</f>
        <v>1182.8800000000001</v>
      </c>
      <c r="U33" s="298">
        <f>S33+T33</f>
        <v>1435.3578666666667</v>
      </c>
      <c r="V33" s="298">
        <f>VLOOKUP(O33,Credito,2)</f>
        <v>0</v>
      </c>
      <c r="W33" s="298">
        <f>ROUND((U33-V33)/30.4*I33,2)</f>
        <v>708.24</v>
      </c>
      <c r="X33" s="276">
        <f>-IF(W33&gt;0,0,0)</f>
        <v>0</v>
      </c>
      <c r="Y33" s="276">
        <f>IF(K33/15&lt;=SMG,0,IF(W33&lt;0,0,W33))</f>
        <v>708.24</v>
      </c>
      <c r="Z33" s="277">
        <v>0</v>
      </c>
      <c r="AA33" s="276">
        <f>SUM(Y33:Z33)</f>
        <v>708.24</v>
      </c>
      <c r="AB33" s="276">
        <f>M33+X33-AA33</f>
        <v>6369.76</v>
      </c>
      <c r="AC33" s="338"/>
    </row>
    <row r="34" spans="1:35" s="4" customFormat="1" ht="48.75" customHeight="1" x14ac:dyDescent="0.25">
      <c r="A34" s="44"/>
      <c r="B34" s="111" t="s">
        <v>96</v>
      </c>
      <c r="C34" s="111" t="s">
        <v>121</v>
      </c>
      <c r="D34" s="180" t="s">
        <v>69</v>
      </c>
      <c r="E34" s="180" t="s">
        <v>97</v>
      </c>
      <c r="F34" s="180" t="s">
        <v>221</v>
      </c>
      <c r="G34" s="148" t="s">
        <v>273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35" s="339" customFormat="1" ht="191.25" customHeight="1" x14ac:dyDescent="0.2">
      <c r="A35" s="337"/>
      <c r="B35" s="289" t="s">
        <v>200</v>
      </c>
      <c r="C35" s="283" t="s">
        <v>115</v>
      </c>
      <c r="D35" s="268" t="s">
        <v>205</v>
      </c>
      <c r="E35" s="269" t="s">
        <v>206</v>
      </c>
      <c r="F35" s="269" t="s">
        <v>248</v>
      </c>
      <c r="G35" s="270">
        <v>44470</v>
      </c>
      <c r="H35" s="325" t="s">
        <v>71</v>
      </c>
      <c r="I35" s="272">
        <v>15</v>
      </c>
      <c r="J35" s="273">
        <f>K35/I35</f>
        <v>527.9</v>
      </c>
      <c r="K35" s="274">
        <v>7918.5</v>
      </c>
      <c r="L35" s="275">
        <v>0</v>
      </c>
      <c r="M35" s="276">
        <f t="shared" ref="M35" si="57">SUM(K35:L35)</f>
        <v>7918.5</v>
      </c>
      <c r="N35" s="298">
        <f>IF(K35/15&lt;=SMG,0,L35/2)</f>
        <v>0</v>
      </c>
      <c r="O35" s="319">
        <f>(K35+N35)/I35*30.4</f>
        <v>16048.159999999998</v>
      </c>
      <c r="P35" s="319">
        <f>VLOOKUP(O35,Tarifa,1)</f>
        <v>15487.72</v>
      </c>
      <c r="Q35" s="298">
        <f>O35-P35</f>
        <v>560.43999999999869</v>
      </c>
      <c r="R35" s="299">
        <f>VLOOKUP(O35,Tarifa,3)</f>
        <v>0.21360000000000001</v>
      </c>
      <c r="S35" s="298">
        <f>Q35*R35</f>
        <v>119.70998399999972</v>
      </c>
      <c r="T35" s="300">
        <f>VLOOKUP(O35,Tarifa,2)</f>
        <v>1640.18</v>
      </c>
      <c r="U35" s="298">
        <f>S35+T35</f>
        <v>1759.8899839999997</v>
      </c>
      <c r="V35" s="298">
        <f>VLOOKUP(O35,Credito,2)</f>
        <v>0</v>
      </c>
      <c r="W35" s="298">
        <f>ROUND((U35-V35)/30.4*I35,2)</f>
        <v>868.37</v>
      </c>
      <c r="X35" s="276">
        <f t="shared" si="1"/>
        <v>0</v>
      </c>
      <c r="Y35" s="276">
        <f t="shared" ref="Y35" si="58">IF(K35/15&lt;=SMG,0,IF(W35&lt;0,0,W35))</f>
        <v>868.37</v>
      </c>
      <c r="Z35" s="277">
        <v>0</v>
      </c>
      <c r="AA35" s="276">
        <f t="shared" ref="AA35" si="59">SUM(Y35:Z35)</f>
        <v>868.37</v>
      </c>
      <c r="AB35" s="276">
        <f t="shared" ref="AB35" si="60">M35+X35-AA35</f>
        <v>7050.13</v>
      </c>
      <c r="AC35" s="338"/>
    </row>
    <row r="36" spans="1:35" s="339" customFormat="1" ht="191.25" customHeight="1" x14ac:dyDescent="0.2">
      <c r="A36" s="337"/>
      <c r="B36" s="289" t="s">
        <v>309</v>
      </c>
      <c r="C36" s="283" t="s">
        <v>115</v>
      </c>
      <c r="D36" s="268" t="s">
        <v>310</v>
      </c>
      <c r="E36" s="269" t="s">
        <v>311</v>
      </c>
      <c r="F36" s="269" t="s">
        <v>312</v>
      </c>
      <c r="G36" s="270">
        <v>45173</v>
      </c>
      <c r="H36" s="271" t="s">
        <v>163</v>
      </c>
      <c r="I36" s="272">
        <v>15</v>
      </c>
      <c r="J36" s="273">
        <f>K36/I36</f>
        <v>362.33333333333331</v>
      </c>
      <c r="K36" s="274">
        <v>5435</v>
      </c>
      <c r="L36" s="275">
        <v>0</v>
      </c>
      <c r="M36" s="276">
        <f>SUM(K36:L36)</f>
        <v>5435</v>
      </c>
      <c r="N36" s="298">
        <f>IF(K36/15&lt;=SMG,0,L36/2)</f>
        <v>0</v>
      </c>
      <c r="O36" s="319">
        <f>(K36+N36)/I36*30.4</f>
        <v>11014.933333333332</v>
      </c>
      <c r="P36" s="319">
        <f>VLOOKUP(O36,Tarifa,1)</f>
        <v>6332.06</v>
      </c>
      <c r="Q36" s="298">
        <f>O36-P36</f>
        <v>4682.8733333333321</v>
      </c>
      <c r="R36" s="299">
        <f>VLOOKUP(O36,Tarifa,3)</f>
        <v>0.10879999999999999</v>
      </c>
      <c r="S36" s="298">
        <f>Q36*R36</f>
        <v>509.49661866666651</v>
      </c>
      <c r="T36" s="300">
        <f>VLOOKUP(O36,Tarifa,2)</f>
        <v>371.83</v>
      </c>
      <c r="U36" s="298">
        <f>S36+T36</f>
        <v>881.32661866666649</v>
      </c>
      <c r="V36" s="298">
        <f>VLOOKUP(O36,Credito,2)</f>
        <v>0</v>
      </c>
      <c r="W36" s="298">
        <f>ROUND((U36-V36)/30.4*I36,2)</f>
        <v>434.87</v>
      </c>
      <c r="X36" s="276">
        <f t="shared" si="1"/>
        <v>0</v>
      </c>
      <c r="Y36" s="276">
        <f t="shared" ref="Y36" si="61">IF(K36/15&lt;=SMG,0,IF(W36&lt;0,0,W36))</f>
        <v>434.87</v>
      </c>
      <c r="Z36" s="277">
        <v>0</v>
      </c>
      <c r="AA36" s="276">
        <f>SUM(Y36:Z36)</f>
        <v>434.87</v>
      </c>
      <c r="AB36" s="276">
        <f>M36+X36-AA36</f>
        <v>5000.13</v>
      </c>
      <c r="AC36" s="338"/>
    </row>
    <row r="37" spans="1:35" s="4" customFormat="1" ht="50.25" customHeight="1" x14ac:dyDescent="0.25">
      <c r="A37" s="106"/>
      <c r="B37" s="111" t="s">
        <v>96</v>
      </c>
      <c r="C37" s="111" t="s">
        <v>121</v>
      </c>
      <c r="D37" s="180" t="s">
        <v>120</v>
      </c>
      <c r="E37" s="180" t="s">
        <v>97</v>
      </c>
      <c r="F37" s="180" t="s">
        <v>221</v>
      </c>
      <c r="G37" s="148" t="s">
        <v>273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35" s="339" customFormat="1" ht="192" customHeight="1" x14ac:dyDescent="0.2">
      <c r="A38" s="265" t="s">
        <v>84</v>
      </c>
      <c r="B38" s="289" t="s">
        <v>156</v>
      </c>
      <c r="C38" s="283" t="s">
        <v>115</v>
      </c>
      <c r="D38" s="268" t="s">
        <v>137</v>
      </c>
      <c r="E38" s="269" t="s">
        <v>152</v>
      </c>
      <c r="F38" s="269" t="s">
        <v>233</v>
      </c>
      <c r="G38" s="270">
        <v>43374</v>
      </c>
      <c r="H38" s="271" t="s">
        <v>136</v>
      </c>
      <c r="I38" s="272">
        <v>15</v>
      </c>
      <c r="J38" s="273">
        <f>K38/I38</f>
        <v>455.1</v>
      </c>
      <c r="K38" s="274">
        <v>6826.5</v>
      </c>
      <c r="L38" s="275">
        <v>0</v>
      </c>
      <c r="M38" s="276">
        <f>SUM(K38:L38)</f>
        <v>6826.5</v>
      </c>
      <c r="N38" s="298">
        <f>IF(K38/15&lt;=SMG,0,L38/2)</f>
        <v>0</v>
      </c>
      <c r="O38" s="319">
        <f>(K38+N38)/I38*30.4</f>
        <v>13835.04</v>
      </c>
      <c r="P38" s="319">
        <f>VLOOKUP(O38,Tarifa,1)</f>
        <v>12935.83</v>
      </c>
      <c r="Q38" s="298">
        <f>O38-P38</f>
        <v>899.21000000000095</v>
      </c>
      <c r="R38" s="299">
        <f>VLOOKUP(O38,Tarifa,3)</f>
        <v>0.1792</v>
      </c>
      <c r="S38" s="298">
        <f>Q38*R38</f>
        <v>161.13843200000017</v>
      </c>
      <c r="T38" s="300">
        <f>VLOOKUP(O38,Tarifa,2)</f>
        <v>1182.8800000000001</v>
      </c>
      <c r="U38" s="298">
        <f>S38+T38</f>
        <v>1344.0184320000003</v>
      </c>
      <c r="V38" s="298">
        <f>VLOOKUP(O38,Credito,2)</f>
        <v>0</v>
      </c>
      <c r="W38" s="298">
        <f>ROUND((U38-V38)/30.4*I38,2)</f>
        <v>663.17</v>
      </c>
      <c r="X38" s="276">
        <f>-IF(W38&gt;0,0,0)</f>
        <v>0</v>
      </c>
      <c r="Y38" s="276">
        <f>IF(K38/15&lt;=SMG,0,IF(W38&lt;0,0,W38))</f>
        <v>663.17</v>
      </c>
      <c r="Z38" s="277">
        <v>0</v>
      </c>
      <c r="AA38" s="276">
        <f>SUM(Y38:Z38)</f>
        <v>663.17</v>
      </c>
      <c r="AB38" s="276">
        <f>M38+X38-AA38</f>
        <v>6163.33</v>
      </c>
      <c r="AC38" s="338"/>
      <c r="AI38" s="351"/>
    </row>
    <row r="39" spans="1:35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35" s="4" customFormat="1" ht="39.75" customHeight="1" thickBot="1" x14ac:dyDescent="0.35">
      <c r="A40" s="463" t="s">
        <v>44</v>
      </c>
      <c r="B40" s="464"/>
      <c r="C40" s="464"/>
      <c r="D40" s="464"/>
      <c r="E40" s="464"/>
      <c r="F40" s="464"/>
      <c r="G40" s="464"/>
      <c r="H40" s="464"/>
      <c r="I40" s="464"/>
      <c r="J40" s="465"/>
      <c r="K40" s="208">
        <f>K8+K26+K34+K37+K32</f>
        <v>90171.510000000009</v>
      </c>
      <c r="L40" s="208">
        <f>L8+L26+L34+L37+L32</f>
        <v>1098.42</v>
      </c>
      <c r="M40" s="208">
        <f>M8+M26+M34+M37+M32</f>
        <v>90171.510000000009</v>
      </c>
      <c r="N40" s="209">
        <f t="shared" ref="N40:W40" si="62">SUM(N9:N39)</f>
        <v>549.21</v>
      </c>
      <c r="O40" s="209">
        <f t="shared" si="62"/>
        <v>183860.65919999999</v>
      </c>
      <c r="P40" s="209">
        <f t="shared" si="62"/>
        <v>144667.81</v>
      </c>
      <c r="Q40" s="209">
        <f t="shared" si="62"/>
        <v>39192.849199999982</v>
      </c>
      <c r="R40" s="209">
        <f t="shared" si="62"/>
        <v>2.2103999999999995</v>
      </c>
      <c r="S40" s="209">
        <f t="shared" si="62"/>
        <v>4632.0521979733303</v>
      </c>
      <c r="T40" s="209">
        <f t="shared" si="62"/>
        <v>11216.18</v>
      </c>
      <c r="U40" s="209">
        <f t="shared" si="62"/>
        <v>15848.23219797333</v>
      </c>
      <c r="V40" s="209">
        <f t="shared" si="62"/>
        <v>1900</v>
      </c>
      <c r="W40" s="209">
        <f t="shared" si="62"/>
        <v>6882.4</v>
      </c>
      <c r="X40" s="208">
        <f>X8+X26+X34+X37+X32</f>
        <v>0</v>
      </c>
      <c r="Y40" s="208">
        <f>Y8+Y26+Y34+Y37+Y32</f>
        <v>6827.8099999999995</v>
      </c>
      <c r="Z40" s="208">
        <f>Z8+Z26+Z34+Z37+Z32</f>
        <v>500</v>
      </c>
      <c r="AA40" s="208">
        <f>AA8+AA26+AA34+AA37+AA32</f>
        <v>7327.81</v>
      </c>
      <c r="AB40" s="208">
        <f>AB8+AB26+AB34+AB37+AB32</f>
        <v>83942.12</v>
      </c>
    </row>
    <row r="41" spans="1:35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11" t="s">
        <v>478</v>
      </c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1" t="s">
        <v>144</v>
      </c>
      <c r="Z50" s="212"/>
      <c r="AA50" s="212"/>
      <c r="AB50" s="212"/>
      <c r="AC50" s="212"/>
    </row>
    <row r="51" spans="4:41" s="4" customFormat="1" ht="20.25" x14ac:dyDescent="0.3">
      <c r="D51" s="211" t="s">
        <v>496</v>
      </c>
      <c r="E51" s="211"/>
      <c r="F51" s="211"/>
      <c r="G51" s="211"/>
      <c r="H51" s="211"/>
      <c r="I51" s="211"/>
      <c r="J51" s="211"/>
      <c r="K51" s="211"/>
      <c r="L51" s="211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1" t="s">
        <v>211</v>
      </c>
      <c r="Z51" s="212"/>
      <c r="AA51" s="211"/>
      <c r="AB51" s="211"/>
      <c r="AC51" s="21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</row>
    <row r="53" spans="4:41" s="4" customFormat="1" x14ac:dyDescent="0.2"/>
    <row r="54" spans="4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9"/>
  <sheetViews>
    <sheetView topLeftCell="B13" zoomScale="55" zoomScaleNormal="55" workbookViewId="0">
      <selection activeCell="B15" sqref="A15:XFD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3" ht="19.5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3" ht="19.5" x14ac:dyDescent="0.25">
      <c r="A3" s="467" t="str">
        <f>PRESIDENCIA!A3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505" t="s">
        <v>121</v>
      </c>
      <c r="D5" s="48"/>
      <c r="E5" s="48"/>
      <c r="F5" s="48"/>
      <c r="G5" s="48"/>
      <c r="H5" s="48"/>
      <c r="I5" s="49" t="s">
        <v>22</v>
      </c>
      <c r="J5" s="49" t="s">
        <v>5</v>
      </c>
      <c r="K5" s="468" t="s">
        <v>1</v>
      </c>
      <c r="L5" s="469"/>
      <c r="M5" s="470"/>
      <c r="N5" s="116" t="s">
        <v>25</v>
      </c>
      <c r="O5" s="117"/>
      <c r="P5" s="471" t="s">
        <v>8</v>
      </c>
      <c r="Q5" s="472"/>
      <c r="R5" s="472"/>
      <c r="S5" s="472"/>
      <c r="T5" s="472"/>
      <c r="U5" s="473"/>
      <c r="V5" s="116" t="s">
        <v>29</v>
      </c>
      <c r="W5" s="116" t="s">
        <v>9</v>
      </c>
      <c r="X5" s="115" t="s">
        <v>52</v>
      </c>
      <c r="Y5" s="474" t="s">
        <v>2</v>
      </c>
      <c r="Z5" s="475"/>
      <c r="AA5" s="476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96</v>
      </c>
      <c r="C6" s="506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267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507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197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96</v>
      </c>
      <c r="C8" s="148" t="s">
        <v>121</v>
      </c>
      <c r="D8" s="227" t="s">
        <v>140</v>
      </c>
      <c r="E8" s="228" t="s">
        <v>97</v>
      </c>
      <c r="F8" s="228" t="s">
        <v>221</v>
      </c>
      <c r="G8" s="227" t="s">
        <v>273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199.5" customHeight="1" x14ac:dyDescent="0.2">
      <c r="A9" s="352"/>
      <c r="B9" s="353">
        <v>377</v>
      </c>
      <c r="C9" s="354" t="s">
        <v>115</v>
      </c>
      <c r="D9" s="355" t="s">
        <v>405</v>
      </c>
      <c r="E9" s="356" t="s">
        <v>406</v>
      </c>
      <c r="F9" s="356" t="s">
        <v>407</v>
      </c>
      <c r="G9" s="357">
        <v>45566</v>
      </c>
      <c r="H9" s="358" t="s">
        <v>326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9">
        <f>(K9+N9)/I9*30.4</f>
        <v>15666.133333333333</v>
      </c>
      <c r="P9" s="319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9"/>
    </row>
    <row r="10" spans="1:33" s="303" customFormat="1" ht="199.5" customHeight="1" x14ac:dyDescent="0.2">
      <c r="A10" s="352"/>
      <c r="B10" s="289" t="s">
        <v>410</v>
      </c>
      <c r="C10" s="283" t="s">
        <v>115</v>
      </c>
      <c r="D10" s="264" t="s">
        <v>408</v>
      </c>
      <c r="E10" s="135" t="s">
        <v>477</v>
      </c>
      <c r="F10" s="293" t="s">
        <v>409</v>
      </c>
      <c r="G10" s="270">
        <v>45566</v>
      </c>
      <c r="H10" s="271" t="s">
        <v>261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9">
        <f>(K10+N10)/I10*30.4</f>
        <v>11014.933333333332</v>
      </c>
      <c r="P10" s="319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9"/>
    </row>
    <row r="11" spans="1:33" s="52" customFormat="1" ht="53.25" customHeight="1" x14ac:dyDescent="0.3">
      <c r="A11" s="46"/>
      <c r="B11" s="148" t="s">
        <v>96</v>
      </c>
      <c r="C11" s="148" t="s">
        <v>121</v>
      </c>
      <c r="D11" s="228" t="s">
        <v>123</v>
      </c>
      <c r="E11" s="228" t="s">
        <v>97</v>
      </c>
      <c r="F11" s="228" t="s">
        <v>221</v>
      </c>
      <c r="G11" s="227" t="s">
        <v>273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199.5" customHeight="1" x14ac:dyDescent="0.2">
      <c r="A12" s="360" t="s">
        <v>87</v>
      </c>
      <c r="B12" s="283" t="s">
        <v>609</v>
      </c>
      <c r="C12" s="283" t="s">
        <v>115</v>
      </c>
      <c r="D12" s="264" t="s">
        <v>610</v>
      </c>
      <c r="E12" s="135" t="s">
        <v>611</v>
      </c>
      <c r="F12" s="135" t="s">
        <v>612</v>
      </c>
      <c r="G12" s="161">
        <v>45839</v>
      </c>
      <c r="H12" s="286" t="s">
        <v>93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9">
        <f>(K12+N12)/I12*30.4</f>
        <v>15666.133333333333</v>
      </c>
      <c r="P12" s="319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61"/>
    </row>
    <row r="13" spans="1:33" s="303" customFormat="1" ht="199.5" customHeight="1" x14ac:dyDescent="0.2">
      <c r="A13" s="362"/>
      <c r="B13" s="283" t="s">
        <v>639</v>
      </c>
      <c r="C13" s="283" t="s">
        <v>115</v>
      </c>
      <c r="D13" s="264" t="s">
        <v>640</v>
      </c>
      <c r="E13" s="135" t="s">
        <v>641</v>
      </c>
      <c r="F13" s="135" t="s">
        <v>642</v>
      </c>
      <c r="G13" s="161">
        <v>45459</v>
      </c>
      <c r="H13" s="286" t="s">
        <v>379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9">
        <f>(K13+N13)/I13*30.4</f>
        <v>8349.8666666666668</v>
      </c>
      <c r="P13" s="319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61"/>
    </row>
    <row r="14" spans="1:33" s="52" customFormat="1" ht="57.75" customHeight="1" x14ac:dyDescent="0.3">
      <c r="A14" s="157"/>
      <c r="B14" s="148" t="s">
        <v>96</v>
      </c>
      <c r="C14" s="148" t="s">
        <v>121</v>
      </c>
      <c r="D14" s="228" t="s">
        <v>266</v>
      </c>
      <c r="E14" s="228" t="s">
        <v>97</v>
      </c>
      <c r="F14" s="228" t="s">
        <v>221</v>
      </c>
      <c r="G14" s="227" t="s">
        <v>273</v>
      </c>
      <c r="H14" s="228" t="s">
        <v>61</v>
      </c>
      <c r="I14" s="228"/>
      <c r="J14" s="228"/>
      <c r="K14" s="229">
        <f>SUM(K16:K26)</f>
        <v>8142.5</v>
      </c>
      <c r="L14" s="229">
        <f>SUM(L16:L26)</f>
        <v>0</v>
      </c>
      <c r="M14" s="229">
        <f>SUM(M16:M26)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SUM(X16:X26)</f>
        <v>0</v>
      </c>
      <c r="Y14" s="229">
        <f>SUM(Y16:Y26)</f>
        <v>79.010000000000005</v>
      </c>
      <c r="Z14" s="229">
        <f>SUM(Z16:Z26)</f>
        <v>0</v>
      </c>
      <c r="AA14" s="229">
        <f>SUM(AA16:AA26)</f>
        <v>79.010000000000005</v>
      </c>
      <c r="AB14" s="229">
        <f>SUM(AB16:AB26)</f>
        <v>8063.49</v>
      </c>
      <c r="AC14" s="97"/>
      <c r="AG14" s="66"/>
    </row>
    <row r="15" spans="1:33" s="52" customFormat="1" ht="198.75" customHeight="1" x14ac:dyDescent="0.2">
      <c r="A15" s="157"/>
      <c r="B15" s="283" t="s">
        <v>603</v>
      </c>
      <c r="C15" s="283" t="s">
        <v>115</v>
      </c>
      <c r="D15" s="264" t="s">
        <v>602</v>
      </c>
      <c r="E15" s="135" t="s">
        <v>604</v>
      </c>
      <c r="F15" s="135" t="s">
        <v>605</v>
      </c>
      <c r="G15" s="161">
        <v>45778</v>
      </c>
      <c r="H15" s="286" t="s">
        <v>601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9">
        <f t="shared" ref="O15" si="3">(K15+N15)/I15*30.4</f>
        <v>24938.964266666666</v>
      </c>
      <c r="P15" s="319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32"/>
      <c r="AG15" s="66"/>
    </row>
    <row r="16" spans="1:33" s="303" customFormat="1" ht="198.75" customHeight="1" x14ac:dyDescent="0.2">
      <c r="A16" s="362"/>
      <c r="B16" s="289" t="s">
        <v>313</v>
      </c>
      <c r="C16" s="283" t="s">
        <v>115</v>
      </c>
      <c r="D16" s="268" t="s">
        <v>314</v>
      </c>
      <c r="E16" s="269" t="s">
        <v>315</v>
      </c>
      <c r="F16" s="269" t="s">
        <v>316</v>
      </c>
      <c r="G16" s="270">
        <v>45154</v>
      </c>
      <c r="H16" s="271" t="s">
        <v>317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9">
        <f>(K16+N16)/I16*30.4</f>
        <v>7749.9733333333334</v>
      </c>
      <c r="P16" s="319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61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24.75" customHeight="1" x14ac:dyDescent="0.3">
      <c r="A18" s="157"/>
      <c r="B18" s="244"/>
      <c r="C18" s="214"/>
      <c r="D18" s="215"/>
      <c r="E18" s="216"/>
      <c r="F18" s="216"/>
      <c r="G18" s="217"/>
      <c r="H18" s="206"/>
      <c r="I18" s="218"/>
      <c r="J18" s="219"/>
      <c r="K18" s="220"/>
      <c r="L18" s="221"/>
      <c r="M18" s="222"/>
      <c r="N18" s="223"/>
      <c r="O18" s="223"/>
      <c r="P18" s="223"/>
      <c r="Q18" s="223"/>
      <c r="R18" s="224"/>
      <c r="S18" s="223"/>
      <c r="T18" s="225"/>
      <c r="U18" s="223"/>
      <c r="V18" s="223"/>
      <c r="W18" s="223"/>
      <c r="X18" s="222"/>
      <c r="Y18" s="222"/>
      <c r="Z18" s="226"/>
      <c r="AA18" s="222"/>
      <c r="AB18" s="222"/>
      <c r="AC18" s="91"/>
      <c r="AG18" s="66"/>
    </row>
    <row r="19" spans="1:33" s="52" customFormat="1" ht="24.75" customHeight="1" x14ac:dyDescent="0.3">
      <c r="A19" s="157"/>
      <c r="B19" s="24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C19" s="91"/>
      <c r="AG19" s="66"/>
    </row>
    <row r="20" spans="1:33" s="52" customFormat="1" ht="24.75" customHeight="1" x14ac:dyDescent="0.3">
      <c r="A20" s="157"/>
      <c r="B20" s="244"/>
      <c r="C20" s="214"/>
      <c r="D20" s="215"/>
      <c r="E20" s="216"/>
      <c r="F20" s="216"/>
      <c r="G20" s="217"/>
      <c r="H20" s="206"/>
      <c r="I20" s="218"/>
      <c r="J20" s="219"/>
      <c r="K20" s="220"/>
      <c r="L20" s="221"/>
      <c r="M20" s="222"/>
      <c r="N20" s="223"/>
      <c r="O20" s="223"/>
      <c r="P20" s="223"/>
      <c r="Q20" s="223"/>
      <c r="R20" s="224"/>
      <c r="S20" s="223"/>
      <c r="T20" s="225"/>
      <c r="U20" s="223"/>
      <c r="V20" s="223"/>
      <c r="W20" s="223"/>
      <c r="X20" s="222"/>
      <c r="Y20" s="222"/>
      <c r="Z20" s="226"/>
      <c r="AA20" s="222"/>
      <c r="AB20" s="222"/>
      <c r="AC20" s="91"/>
      <c r="AG20" s="66"/>
    </row>
    <row r="21" spans="1:33" s="52" customFormat="1" ht="24.7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52" customFormat="1" ht="34.5" customHeight="1" x14ac:dyDescent="0.25">
      <c r="A22" s="157"/>
      <c r="B22" s="466" t="s">
        <v>77</v>
      </c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466"/>
      <c r="AB22" s="466"/>
      <c r="AC22" s="466"/>
      <c r="AD22" s="466"/>
      <c r="AG22" s="66"/>
    </row>
    <row r="23" spans="1:33" s="52" customFormat="1" ht="36.75" customHeight="1" x14ac:dyDescent="0.25">
      <c r="A23" s="157"/>
      <c r="B23" s="466" t="s">
        <v>64</v>
      </c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6"/>
      <c r="AC23" s="466"/>
      <c r="AD23" s="466"/>
      <c r="AG23" s="66"/>
    </row>
    <row r="24" spans="1:33" s="52" customFormat="1" ht="31.5" customHeight="1" x14ac:dyDescent="0.25">
      <c r="A24" s="157"/>
      <c r="B24" s="467" t="str">
        <f>PRESIDENCIA!A3</f>
        <v>SUELDO  DEL 01 AL 15 DE SEPTIEMBRE DE 2025</v>
      </c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G24" s="66"/>
    </row>
    <row r="25" spans="1:33" s="52" customFormat="1" ht="26.25" customHeight="1" x14ac:dyDescent="0.3">
      <c r="A25" s="157"/>
      <c r="B25" s="244"/>
      <c r="C25" s="214"/>
      <c r="D25" s="215"/>
      <c r="E25" s="216"/>
      <c r="F25" s="216"/>
      <c r="G25" s="217"/>
      <c r="H25" s="206"/>
      <c r="I25" s="218"/>
      <c r="J25" s="219"/>
      <c r="K25" s="220"/>
      <c r="L25" s="221"/>
      <c r="M25" s="222"/>
      <c r="N25" s="223"/>
      <c r="O25" s="223"/>
      <c r="P25" s="223"/>
      <c r="Q25" s="223"/>
      <c r="R25" s="224"/>
      <c r="S25" s="223"/>
      <c r="T25" s="225"/>
      <c r="U25" s="223"/>
      <c r="V25" s="223"/>
      <c r="W25" s="223"/>
      <c r="X25" s="222"/>
      <c r="Y25" s="222"/>
      <c r="Z25" s="226"/>
      <c r="AA25" s="222"/>
      <c r="AB25" s="222"/>
      <c r="AC25" s="91"/>
      <c r="AG25" s="66"/>
    </row>
    <row r="26" spans="1:33" s="303" customFormat="1" ht="230.25" customHeight="1" x14ac:dyDescent="0.2">
      <c r="A26" s="362"/>
      <c r="B26" s="289" t="s">
        <v>403</v>
      </c>
      <c r="C26" s="283" t="s">
        <v>115</v>
      </c>
      <c r="D26" s="290" t="s">
        <v>506</v>
      </c>
      <c r="E26" s="291" t="s">
        <v>507</v>
      </c>
      <c r="F26" s="291" t="s">
        <v>508</v>
      </c>
      <c r="G26" s="336">
        <v>45612</v>
      </c>
      <c r="H26" s="271" t="s">
        <v>404</v>
      </c>
      <c r="I26" s="272">
        <v>15</v>
      </c>
      <c r="J26" s="273">
        <f>K26/I26</f>
        <v>287.89999999999998</v>
      </c>
      <c r="K26" s="274">
        <v>4318.5</v>
      </c>
      <c r="L26" s="275">
        <v>0</v>
      </c>
      <c r="M26" s="276">
        <f t="shared" ref="M26" si="19">SUM(K26:L26)</f>
        <v>4318.5</v>
      </c>
      <c r="N26" s="298">
        <f>IF(K26/15&lt;=SMG,0,L26/2)</f>
        <v>0</v>
      </c>
      <c r="O26" s="319">
        <f>(K26+N26)/I26*30.4</f>
        <v>8752.159999999998</v>
      </c>
      <c r="P26" s="319">
        <f>VLOOKUP(O26,Tarifa,1)</f>
        <v>6332.06</v>
      </c>
      <c r="Q26" s="298">
        <f>O26-P26</f>
        <v>2420.0999999999976</v>
      </c>
      <c r="R26" s="299">
        <f>VLOOKUP(O26,Tarifa,3)</f>
        <v>0.10879999999999999</v>
      </c>
      <c r="S26" s="298">
        <f>Q26*R26</f>
        <v>263.30687999999975</v>
      </c>
      <c r="T26" s="300">
        <f>VLOOKUP(O26,Tarifa,2)</f>
        <v>371.83</v>
      </c>
      <c r="U26" s="298">
        <f>S26+T26</f>
        <v>635.13687999999979</v>
      </c>
      <c r="V26" s="298">
        <f>VLOOKUP(O26,Credito,2)</f>
        <v>475</v>
      </c>
      <c r="W26" s="298">
        <f>ROUND((U26-V26)/30.4*I26,2)</f>
        <v>79.010000000000005</v>
      </c>
      <c r="X26" s="276">
        <f>-IF(W26&gt;0,0,0)</f>
        <v>0</v>
      </c>
      <c r="Y26" s="276">
        <f t="shared" ref="Y26" si="20">IF(K26/15&lt;=SMG,0,IF(W26&lt;0,0,W26))</f>
        <v>79.010000000000005</v>
      </c>
      <c r="Z26" s="277">
        <v>0</v>
      </c>
      <c r="AA26" s="276">
        <f t="shared" ref="AA26" si="21">SUM(Y26:Z26)</f>
        <v>79.010000000000005</v>
      </c>
      <c r="AB26" s="276">
        <f t="shared" ref="AB26" si="22">M26+X26-AA26</f>
        <v>4239.49</v>
      </c>
      <c r="AC26" s="288"/>
      <c r="AG26" s="361"/>
    </row>
    <row r="27" spans="1:33" s="52" customFormat="1" ht="60.75" customHeight="1" x14ac:dyDescent="0.3">
      <c r="A27" s="157"/>
      <c r="B27" s="148" t="s">
        <v>96</v>
      </c>
      <c r="C27" s="148" t="s">
        <v>121</v>
      </c>
      <c r="D27" s="228" t="s">
        <v>294</v>
      </c>
      <c r="E27" s="228" t="s">
        <v>97</v>
      </c>
      <c r="F27" s="228" t="s">
        <v>221</v>
      </c>
      <c r="G27" s="227" t="s">
        <v>273</v>
      </c>
      <c r="H27" s="228" t="s">
        <v>61</v>
      </c>
      <c r="I27" s="228"/>
      <c r="J27" s="228"/>
      <c r="K27" s="229">
        <f>SUM(K28:K29)</f>
        <v>13133.5</v>
      </c>
      <c r="L27" s="229">
        <f>SUM(L28:L29)</f>
        <v>0</v>
      </c>
      <c r="M27" s="229">
        <f>SUM(M28:M29)</f>
        <v>13133.5</v>
      </c>
      <c r="N27" s="229" t="e">
        <f>#REF!+N28+N29</f>
        <v>#REF!</v>
      </c>
      <c r="O27" s="229" t="e">
        <f>#REF!+O28+O29</f>
        <v>#REF!</v>
      </c>
      <c r="P27" s="229" t="e">
        <f>#REF!+P28+P29</f>
        <v>#REF!</v>
      </c>
      <c r="Q27" s="229" t="e">
        <f>#REF!+Q28+Q29</f>
        <v>#REF!</v>
      </c>
      <c r="R27" s="229" t="e">
        <f>#REF!+R28+R29</f>
        <v>#REF!</v>
      </c>
      <c r="S27" s="229" t="e">
        <f>#REF!+S28+S29</f>
        <v>#REF!</v>
      </c>
      <c r="T27" s="229" t="e">
        <f>#REF!+T28+T29</f>
        <v>#REF!</v>
      </c>
      <c r="U27" s="229" t="e">
        <f>#REF!+U28+U29</f>
        <v>#REF!</v>
      </c>
      <c r="V27" s="229" t="e">
        <f>#REF!+V28+V29</f>
        <v>#REF!</v>
      </c>
      <c r="W27" s="229" t="e">
        <f>#REF!+W28+W29</f>
        <v>#REF!</v>
      </c>
      <c r="X27" s="229">
        <f>SUM(X28:X29)</f>
        <v>0</v>
      </c>
      <c r="Y27" s="229">
        <f>SUM(Y28:Y29)</f>
        <v>1100.98</v>
      </c>
      <c r="Z27" s="229">
        <f>SUM(Z28:Z29)</f>
        <v>0</v>
      </c>
      <c r="AA27" s="229">
        <f>SUM(AA28:AA29)</f>
        <v>1100.98</v>
      </c>
      <c r="AB27" s="229">
        <f>SUM(AB28:AB29)</f>
        <v>12032.52</v>
      </c>
      <c r="AC27" s="97"/>
      <c r="AG27" s="66"/>
    </row>
    <row r="28" spans="1:33" s="303" customFormat="1" ht="230.25" customHeight="1" x14ac:dyDescent="0.2">
      <c r="A28" s="362"/>
      <c r="B28" s="289" t="s">
        <v>308</v>
      </c>
      <c r="C28" s="283" t="s">
        <v>115</v>
      </c>
      <c r="D28" s="290" t="s">
        <v>295</v>
      </c>
      <c r="E28" s="291" t="s">
        <v>296</v>
      </c>
      <c r="F28" s="291" t="s">
        <v>297</v>
      </c>
      <c r="G28" s="336">
        <v>45108</v>
      </c>
      <c r="H28" s="271" t="s">
        <v>298</v>
      </c>
      <c r="I28" s="272">
        <v>15</v>
      </c>
      <c r="J28" s="273">
        <f>K28/I28</f>
        <v>600.5</v>
      </c>
      <c r="K28" s="274">
        <v>9007.5</v>
      </c>
      <c r="L28" s="275">
        <v>0</v>
      </c>
      <c r="M28" s="276">
        <f t="shared" ref="M28" si="23">SUM(K28:L28)</f>
        <v>9007.5</v>
      </c>
      <c r="N28" s="298">
        <f>IF(K28/15&lt;=SMG,0,L28/2)</f>
        <v>0</v>
      </c>
      <c r="O28" s="319">
        <f>(K28+N28)/I28*30.4</f>
        <v>18255.2</v>
      </c>
      <c r="P28" s="319">
        <f>VLOOKUP(O28,Tarifa,1)</f>
        <v>15487.72</v>
      </c>
      <c r="Q28" s="298">
        <f>O28-P28</f>
        <v>2767.4800000000014</v>
      </c>
      <c r="R28" s="299">
        <f>VLOOKUP(O28,Tarifa,3)</f>
        <v>0.21360000000000001</v>
      </c>
      <c r="S28" s="298">
        <f>Q28*R28</f>
        <v>591.13372800000036</v>
      </c>
      <c r="T28" s="300">
        <f>VLOOKUP(O28,Tarifa,2)</f>
        <v>1640.18</v>
      </c>
      <c r="U28" s="298">
        <f>S28+T28</f>
        <v>2231.3137280000005</v>
      </c>
      <c r="V28" s="298">
        <f>VLOOKUP(O28,Credito,2)</f>
        <v>0</v>
      </c>
      <c r="W28" s="298">
        <f>ROUND((U28-V28)/30.4*I28,2)</f>
        <v>1100.98</v>
      </c>
      <c r="X28" s="276">
        <f>-IF(W28&gt;0,0,0)</f>
        <v>0</v>
      </c>
      <c r="Y28" s="276">
        <f t="shared" ref="Y28" si="24">IF(K28/15&lt;=SMG,0,IF(W28&lt;0,0,W28))</f>
        <v>1100.98</v>
      </c>
      <c r="Z28" s="277">
        <v>0</v>
      </c>
      <c r="AA28" s="276">
        <f t="shared" ref="AA28" si="25">SUM(Y28:Z28)</f>
        <v>1100.98</v>
      </c>
      <c r="AB28" s="276">
        <f t="shared" ref="AB28" si="26">M28+X28-AA28</f>
        <v>7906.52</v>
      </c>
      <c r="AC28" s="288"/>
      <c r="AG28" s="361"/>
    </row>
    <row r="29" spans="1:33" s="303" customFormat="1" ht="230.25" customHeight="1" x14ac:dyDescent="0.2">
      <c r="A29" s="362"/>
      <c r="B29" s="289" t="s">
        <v>318</v>
      </c>
      <c r="C29" s="283" t="s">
        <v>115</v>
      </c>
      <c r="D29" s="290" t="s">
        <v>322</v>
      </c>
      <c r="E29" s="291" t="s">
        <v>323</v>
      </c>
      <c r="F29" s="291" t="s">
        <v>324</v>
      </c>
      <c r="G29" s="336">
        <v>45200</v>
      </c>
      <c r="H29" s="271" t="s">
        <v>325</v>
      </c>
      <c r="I29" s="272">
        <v>15</v>
      </c>
      <c r="J29" s="273">
        <f>K29/I29</f>
        <v>275.06666666666666</v>
      </c>
      <c r="K29" s="274">
        <v>4126</v>
      </c>
      <c r="L29" s="275">
        <v>0</v>
      </c>
      <c r="M29" s="276">
        <f>SUM(K29:L29)</f>
        <v>4126</v>
      </c>
      <c r="N29" s="298">
        <f>IF(K29/15&lt;=SMG,0,L29/2)</f>
        <v>0</v>
      </c>
      <c r="O29" s="319">
        <f>(K29+N29)/I29*30.4</f>
        <v>8362.0266666666666</v>
      </c>
      <c r="P29" s="319">
        <f>VLOOKUP(O29,Tarifa,1)</f>
        <v>6332.06</v>
      </c>
      <c r="Q29" s="298">
        <f>O29-P29</f>
        <v>2029.9666666666662</v>
      </c>
      <c r="R29" s="299">
        <f>VLOOKUP(O29,Tarifa,3)</f>
        <v>0.10879999999999999</v>
      </c>
      <c r="S29" s="298">
        <f>Q29*R29</f>
        <v>220.86037333333329</v>
      </c>
      <c r="T29" s="300">
        <f>VLOOKUP(O29,Tarifa,2)</f>
        <v>371.83</v>
      </c>
      <c r="U29" s="298">
        <f>S29+T29</f>
        <v>592.69037333333324</v>
      </c>
      <c r="V29" s="298">
        <f>VLOOKUP(O29,Credito,2)</f>
        <v>475</v>
      </c>
      <c r="W29" s="298">
        <f>ROUND((U29-V29)/30.4*I29,2)</f>
        <v>58.07</v>
      </c>
      <c r="X29" s="276">
        <f>-IF(W29&gt;0,0,0)</f>
        <v>0</v>
      </c>
      <c r="Y29" s="276">
        <f>IF(K29/15&lt;=SMG,0,IF(W29&lt;0,0,W29))</f>
        <v>0</v>
      </c>
      <c r="Z29" s="277">
        <v>0</v>
      </c>
      <c r="AA29" s="276">
        <f>SUM(Y29:Z29)</f>
        <v>0</v>
      </c>
      <c r="AB29" s="276">
        <f>M29+X29-AA29</f>
        <v>4126</v>
      </c>
      <c r="AC29" s="288"/>
      <c r="AG29" s="361"/>
    </row>
    <row r="30" spans="1:33" s="52" customFormat="1" ht="47.25" customHeight="1" x14ac:dyDescent="0.25">
      <c r="A30" s="157"/>
      <c r="B30" s="205" t="s">
        <v>96</v>
      </c>
      <c r="C30" s="205" t="s">
        <v>121</v>
      </c>
      <c r="D30" s="205" t="s">
        <v>425</v>
      </c>
      <c r="E30" s="250" t="s">
        <v>97</v>
      </c>
      <c r="F30" s="250" t="s">
        <v>221</v>
      </c>
      <c r="G30" s="205" t="s">
        <v>273</v>
      </c>
      <c r="H30" s="250" t="s">
        <v>61</v>
      </c>
      <c r="I30" s="250"/>
      <c r="J30" s="250"/>
      <c r="K30" s="251">
        <f>SUM(K31)</f>
        <v>6207.5</v>
      </c>
      <c r="L30" s="251">
        <f>SUM(L31)</f>
        <v>0</v>
      </c>
      <c r="M30" s="251">
        <f>SUM(M31)</f>
        <v>6207.5</v>
      </c>
      <c r="N30" s="250"/>
      <c r="O30" s="250"/>
      <c r="P30" s="250"/>
      <c r="Q30" s="250"/>
      <c r="R30" s="250"/>
      <c r="S30" s="250"/>
      <c r="T30" s="252"/>
      <c r="U30" s="250"/>
      <c r="V30" s="250"/>
      <c r="W30" s="250"/>
      <c r="X30" s="251">
        <f>SUM(X31)</f>
        <v>0</v>
      </c>
      <c r="Y30" s="251">
        <f>SUM(Y31)</f>
        <v>555.61</v>
      </c>
      <c r="Z30" s="251">
        <f>SUM(Z31)</f>
        <v>0</v>
      </c>
      <c r="AA30" s="251">
        <f>SUM(AA31)</f>
        <v>555.61</v>
      </c>
      <c r="AB30" s="251">
        <f>SUM(AB31)</f>
        <v>5651.89</v>
      </c>
      <c r="AC30" s="182"/>
      <c r="AG30" s="66"/>
    </row>
    <row r="31" spans="1:33" s="303" customFormat="1" ht="230.25" customHeight="1" x14ac:dyDescent="0.2">
      <c r="A31" s="362"/>
      <c r="B31" s="289" t="s">
        <v>426</v>
      </c>
      <c r="C31" s="283" t="s">
        <v>115</v>
      </c>
      <c r="D31" s="268" t="s">
        <v>427</v>
      </c>
      <c r="E31" s="269" t="s">
        <v>428</v>
      </c>
      <c r="F31" s="269" t="s">
        <v>429</v>
      </c>
      <c r="G31" s="270">
        <v>45566</v>
      </c>
      <c r="H31" s="271" t="s">
        <v>430</v>
      </c>
      <c r="I31" s="272">
        <v>15</v>
      </c>
      <c r="J31" s="273">
        <f>K31/I31</f>
        <v>413.83333333333331</v>
      </c>
      <c r="K31" s="274">
        <v>6207.5</v>
      </c>
      <c r="L31" s="275">
        <v>0</v>
      </c>
      <c r="M31" s="276">
        <f>SUM(K31:L31)</f>
        <v>6207.5</v>
      </c>
      <c r="N31" s="298">
        <f>IF(K31/15&lt;=SMG,0,L31/2)</f>
        <v>0</v>
      </c>
      <c r="O31" s="319">
        <f>(K31+N31)/I31*30.4</f>
        <v>12580.533333333333</v>
      </c>
      <c r="P31" s="319">
        <f>VLOOKUP(O31,Tarifa,1)</f>
        <v>11128.02</v>
      </c>
      <c r="Q31" s="298">
        <f>O31-P31</f>
        <v>1452.5133333333324</v>
      </c>
      <c r="R31" s="299">
        <f>VLOOKUP(O31,Tarifa,3)</f>
        <v>0.16</v>
      </c>
      <c r="S31" s="298">
        <f>Q31*R31</f>
        <v>232.40213333333318</v>
      </c>
      <c r="T31" s="300">
        <f>VLOOKUP(O31,Tarifa,2)</f>
        <v>893.63</v>
      </c>
      <c r="U31" s="298">
        <f>S31+T31</f>
        <v>1126.0321333333331</v>
      </c>
      <c r="V31" s="298">
        <f>VLOOKUP(O31,Credito,2)</f>
        <v>0</v>
      </c>
      <c r="W31" s="298">
        <f>ROUND((U31-V31)/30.4*I31,2)</f>
        <v>555.61</v>
      </c>
      <c r="X31" s="276">
        <f>-IF(W31&gt;0,0,0)</f>
        <v>0</v>
      </c>
      <c r="Y31" s="276">
        <f>IF(K31/15&lt;=SMG,0,IF(W31&lt;0,0,W31))</f>
        <v>555.61</v>
      </c>
      <c r="Z31" s="277">
        <v>0</v>
      </c>
      <c r="AA31" s="276">
        <f>SUM(Y31:Z31)</f>
        <v>555.61</v>
      </c>
      <c r="AB31" s="276">
        <f>M31+X31-AA31</f>
        <v>5651.89</v>
      </c>
      <c r="AC31" s="278"/>
      <c r="AG31" s="361"/>
    </row>
    <row r="32" spans="1:33" s="303" customFormat="1" ht="118.5" customHeight="1" x14ac:dyDescent="0.3">
      <c r="A32" s="362"/>
      <c r="B32" s="205" t="s">
        <v>96</v>
      </c>
      <c r="C32" s="205" t="s">
        <v>121</v>
      </c>
      <c r="D32" s="231" t="s">
        <v>124</v>
      </c>
      <c r="E32" s="232" t="s">
        <v>97</v>
      </c>
      <c r="F32" s="232" t="s">
        <v>221</v>
      </c>
      <c r="G32" s="231" t="s">
        <v>273</v>
      </c>
      <c r="H32" s="232" t="s">
        <v>61</v>
      </c>
      <c r="I32" s="232"/>
      <c r="J32" s="232"/>
      <c r="K32" s="233">
        <f>SUM(K33)</f>
        <v>7730</v>
      </c>
      <c r="L32" s="233">
        <f>SUM(L33)</f>
        <v>0</v>
      </c>
      <c r="M32" s="233">
        <f>SUM(M33)</f>
        <v>7730</v>
      </c>
      <c r="N32" s="232"/>
      <c r="O32" s="232"/>
      <c r="P32" s="232"/>
      <c r="Q32" s="232"/>
      <c r="R32" s="232"/>
      <c r="S32" s="232"/>
      <c r="T32" s="234"/>
      <c r="U32" s="232"/>
      <c r="V32" s="232"/>
      <c r="W32" s="232"/>
      <c r="X32" s="233">
        <f>SUM(X33)</f>
        <v>0</v>
      </c>
      <c r="Y32" s="233">
        <f>SUM(Y33)</f>
        <v>828.1</v>
      </c>
      <c r="Z32" s="233">
        <f>SUM(Z33)</f>
        <v>0</v>
      </c>
      <c r="AA32" s="233">
        <f>SUM(AA33)</f>
        <v>828.1</v>
      </c>
      <c r="AB32" s="233">
        <f>SUM(AB33)</f>
        <v>6901.9</v>
      </c>
      <c r="AC32" s="182"/>
      <c r="AG32" s="361"/>
    </row>
    <row r="33" spans="1:33" s="303" customFormat="1" ht="234" customHeight="1" x14ac:dyDescent="0.2">
      <c r="A33" s="362"/>
      <c r="B33" s="289" t="s">
        <v>417</v>
      </c>
      <c r="C33" s="283" t="s">
        <v>115</v>
      </c>
      <c r="D33" s="268" t="s">
        <v>414</v>
      </c>
      <c r="E33" s="269" t="s">
        <v>415</v>
      </c>
      <c r="F33" s="269" t="s">
        <v>416</v>
      </c>
      <c r="G33" s="270">
        <v>45566</v>
      </c>
      <c r="H33" s="271" t="s">
        <v>95</v>
      </c>
      <c r="I33" s="272">
        <v>15</v>
      </c>
      <c r="J33" s="273">
        <f>K33/I33</f>
        <v>515.33333333333337</v>
      </c>
      <c r="K33" s="274">
        <v>7730</v>
      </c>
      <c r="L33" s="275">
        <v>0</v>
      </c>
      <c r="M33" s="276">
        <f>SUM(K33:L33)</f>
        <v>7730</v>
      </c>
      <c r="N33" s="298">
        <f>IF(K33/15&lt;=SMG,0,L33/2)</f>
        <v>0</v>
      </c>
      <c r="O33" s="319">
        <f>(K33+N33)/I33*30.4</f>
        <v>15666.133333333333</v>
      </c>
      <c r="P33" s="319">
        <f>VLOOKUP(O33,Tarifa,1)</f>
        <v>15487.72</v>
      </c>
      <c r="Q33" s="298">
        <f>O33-P33</f>
        <v>178.41333333333387</v>
      </c>
      <c r="R33" s="299">
        <f>VLOOKUP(O33,Tarifa,3)</f>
        <v>0.21360000000000001</v>
      </c>
      <c r="S33" s="298">
        <f>Q33*R33</f>
        <v>38.109088000000114</v>
      </c>
      <c r="T33" s="300">
        <f>VLOOKUP(O33,Tarifa,2)</f>
        <v>1640.18</v>
      </c>
      <c r="U33" s="298">
        <f>S33+T33</f>
        <v>1678.2890880000002</v>
      </c>
      <c r="V33" s="298">
        <f>VLOOKUP(O33,Credito,2)</f>
        <v>0</v>
      </c>
      <c r="W33" s="298">
        <f>ROUND((U33-V33)/30.4*I33,2)</f>
        <v>828.1</v>
      </c>
      <c r="X33" s="276">
        <f>-IF(W33&gt;0,0,0)</f>
        <v>0</v>
      </c>
      <c r="Y33" s="276">
        <f>IF(K33/15&lt;=SMG,0,IF(W33&lt;0,0,W33))</f>
        <v>828.1</v>
      </c>
      <c r="Z33" s="277">
        <v>0</v>
      </c>
      <c r="AA33" s="276">
        <f>SUM(Y33:Z33)</f>
        <v>828.1</v>
      </c>
      <c r="AB33" s="276">
        <f>M33+X33-AA33</f>
        <v>6901.9</v>
      </c>
      <c r="AC33" s="278"/>
      <c r="AG33" s="361"/>
    </row>
    <row r="34" spans="1:33" s="303" customFormat="1" ht="35.25" customHeight="1" x14ac:dyDescent="0.2">
      <c r="A34" s="362"/>
      <c r="B34" s="412"/>
      <c r="C34" s="413"/>
      <c r="D34" s="414"/>
      <c r="E34" s="415"/>
      <c r="F34" s="415"/>
      <c r="G34" s="416"/>
      <c r="H34" s="417"/>
      <c r="I34" s="418"/>
      <c r="J34" s="419"/>
      <c r="K34" s="420"/>
      <c r="L34" s="421"/>
      <c r="M34" s="422"/>
      <c r="N34" s="393"/>
      <c r="O34" s="394"/>
      <c r="P34" s="394"/>
      <c r="Q34" s="393"/>
      <c r="R34" s="395"/>
      <c r="S34" s="393"/>
      <c r="T34" s="396"/>
      <c r="U34" s="393"/>
      <c r="V34" s="393"/>
      <c r="W34" s="393"/>
      <c r="X34" s="422"/>
      <c r="Y34" s="422"/>
      <c r="Z34" s="423"/>
      <c r="AA34" s="422"/>
      <c r="AB34" s="422"/>
      <c r="AC34" s="424"/>
      <c r="AG34" s="361"/>
    </row>
    <row r="35" spans="1:33" s="303" customFormat="1" ht="35.25" customHeight="1" x14ac:dyDescent="0.2">
      <c r="A35" s="362"/>
      <c r="B35" s="412"/>
      <c r="C35" s="413"/>
      <c r="D35" s="414"/>
      <c r="E35" s="415"/>
      <c r="F35" s="415"/>
      <c r="G35" s="416"/>
      <c r="H35" s="417"/>
      <c r="I35" s="418"/>
      <c r="J35" s="419"/>
      <c r="K35" s="420"/>
      <c r="L35" s="421"/>
      <c r="M35" s="422"/>
      <c r="N35" s="393"/>
      <c r="O35" s="394"/>
      <c r="P35" s="394"/>
      <c r="Q35" s="393"/>
      <c r="R35" s="395"/>
      <c r="S35" s="393"/>
      <c r="T35" s="396"/>
      <c r="U35" s="393"/>
      <c r="V35" s="393"/>
      <c r="W35" s="393"/>
      <c r="X35" s="422"/>
      <c r="Y35" s="422"/>
      <c r="Z35" s="423"/>
      <c r="AA35" s="422"/>
      <c r="AB35" s="422"/>
      <c r="AC35" s="424"/>
      <c r="AG35" s="361"/>
    </row>
    <row r="36" spans="1:33" s="52" customFormat="1" ht="45" customHeight="1" x14ac:dyDescent="0.25">
      <c r="A36" s="157"/>
      <c r="B36" s="466" t="s">
        <v>77</v>
      </c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G36" s="66"/>
    </row>
    <row r="37" spans="1:33" s="52" customFormat="1" ht="33.75" customHeight="1" x14ac:dyDescent="0.25">
      <c r="A37" s="157"/>
      <c r="B37" s="466" t="s">
        <v>64</v>
      </c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G37" s="66"/>
    </row>
    <row r="38" spans="1:33" s="52" customFormat="1" ht="42" customHeight="1" x14ac:dyDescent="0.25">
      <c r="A38" s="157"/>
      <c r="B38" s="502" t="str">
        <f>PRESIDENCIA!A3</f>
        <v>SUELDO  DEL 01 AL 15 DE SEPTIEMBRE DE 2025</v>
      </c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  <c r="Z38" s="467"/>
      <c r="AA38" s="467"/>
      <c r="AB38" s="467"/>
      <c r="AC38" s="467"/>
      <c r="AG38" s="66"/>
    </row>
    <row r="39" spans="1:33" s="52" customFormat="1" ht="25.5" customHeight="1" x14ac:dyDescent="0.3">
      <c r="A39" s="157"/>
      <c r="B39" s="244"/>
      <c r="C39" s="214"/>
      <c r="D39" s="215"/>
      <c r="E39" s="216"/>
      <c r="F39" s="216"/>
      <c r="G39" s="217"/>
      <c r="H39" s="206"/>
      <c r="I39" s="218"/>
      <c r="J39" s="219"/>
      <c r="K39" s="220"/>
      <c r="L39" s="221"/>
      <c r="M39" s="222"/>
      <c r="N39" s="223"/>
      <c r="O39" s="223"/>
      <c r="P39" s="223"/>
      <c r="Q39" s="223"/>
      <c r="R39" s="224"/>
      <c r="S39" s="223"/>
      <c r="T39" s="225"/>
      <c r="U39" s="223"/>
      <c r="V39" s="223"/>
      <c r="W39" s="223"/>
      <c r="X39" s="222"/>
      <c r="Y39" s="222"/>
      <c r="Z39" s="226"/>
      <c r="AA39" s="222"/>
      <c r="AB39" s="222"/>
      <c r="AC39" s="91"/>
      <c r="AG39" s="66"/>
    </row>
    <row r="40" spans="1:33" s="108" customFormat="1" ht="57.75" customHeight="1" x14ac:dyDescent="0.3">
      <c r="A40" s="162"/>
      <c r="B40" s="148" t="s">
        <v>96</v>
      </c>
      <c r="C40" s="148" t="s">
        <v>121</v>
      </c>
      <c r="D40" s="228" t="s">
        <v>139</v>
      </c>
      <c r="E40" s="228" t="s">
        <v>97</v>
      </c>
      <c r="F40" s="228" t="s">
        <v>221</v>
      </c>
      <c r="G40" s="227" t="s">
        <v>273</v>
      </c>
      <c r="H40" s="228" t="s">
        <v>61</v>
      </c>
      <c r="I40" s="228"/>
      <c r="J40" s="228"/>
      <c r="K40" s="229">
        <f>SUM(K41:K56)</f>
        <v>89841.15</v>
      </c>
      <c r="L40" s="229">
        <f>SUM(L41:L56)</f>
        <v>0</v>
      </c>
      <c r="M40" s="229">
        <f>SUM(M41:M56)</f>
        <v>89841.15</v>
      </c>
      <c r="N40" s="228"/>
      <c r="O40" s="228"/>
      <c r="P40" s="228"/>
      <c r="Q40" s="228"/>
      <c r="R40" s="228"/>
      <c r="S40" s="228"/>
      <c r="T40" s="230"/>
      <c r="U40" s="228"/>
      <c r="V40" s="228"/>
      <c r="W40" s="228"/>
      <c r="X40" s="229">
        <f>SUM(X41:X56)</f>
        <v>0</v>
      </c>
      <c r="Y40" s="229">
        <f>SUM(Y41:Y56)</f>
        <v>9439.25</v>
      </c>
      <c r="Z40" s="229">
        <f>SUM(Z41:Z56)</f>
        <v>0</v>
      </c>
      <c r="AA40" s="229">
        <f>SUM(AA41:AA56)</f>
        <v>9439.25</v>
      </c>
      <c r="AB40" s="229">
        <f>SUM(AB41:AB56)</f>
        <v>80401.899999999994</v>
      </c>
      <c r="AC40" s="184"/>
    </row>
    <row r="41" spans="1:33" s="363" customFormat="1" ht="230.25" customHeight="1" x14ac:dyDescent="0.2">
      <c r="A41" s="364"/>
      <c r="B41" s="289" t="s">
        <v>157</v>
      </c>
      <c r="C41" s="283" t="s">
        <v>115</v>
      </c>
      <c r="D41" s="268" t="s">
        <v>141</v>
      </c>
      <c r="E41" s="291" t="s">
        <v>153</v>
      </c>
      <c r="F41" s="291" t="s">
        <v>235</v>
      </c>
      <c r="G41" s="336">
        <v>43101</v>
      </c>
      <c r="H41" s="271" t="s">
        <v>413</v>
      </c>
      <c r="I41" s="272">
        <v>15</v>
      </c>
      <c r="J41" s="273">
        <f>K41/I41</f>
        <v>566.03733333333332</v>
      </c>
      <c r="K41" s="295">
        <v>8490.56</v>
      </c>
      <c r="L41" s="296">
        <v>0</v>
      </c>
      <c r="M41" s="297">
        <f t="shared" ref="M41" si="27">SUM(K41:L41)</f>
        <v>8490.56</v>
      </c>
      <c r="N41" s="298">
        <f>IF(K41/15&lt;=SMG,0,L41/2)</f>
        <v>0</v>
      </c>
      <c r="O41" s="319">
        <f>(K41+N41)/I41*30.4</f>
        <v>17207.534933333332</v>
      </c>
      <c r="P41" s="319">
        <f>VLOOKUP(O41,Tarifa,1)</f>
        <v>15487.72</v>
      </c>
      <c r="Q41" s="298">
        <f>O41-P41</f>
        <v>1719.8149333333331</v>
      </c>
      <c r="R41" s="299">
        <f>VLOOKUP(O41,Tarifa,3)</f>
        <v>0.21360000000000001</v>
      </c>
      <c r="S41" s="298">
        <f>Q41*R41</f>
        <v>367.35246975999996</v>
      </c>
      <c r="T41" s="300">
        <f>VLOOKUP(O41,Tarifa,2)</f>
        <v>1640.18</v>
      </c>
      <c r="U41" s="298">
        <f>S41+T41</f>
        <v>2007.5324697599999</v>
      </c>
      <c r="V41" s="298">
        <f>VLOOKUP(O41,Credito,2)</f>
        <v>0</v>
      </c>
      <c r="W41" s="298">
        <f>ROUND((U41-V41)/30.4*I41,2)</f>
        <v>990.56</v>
      </c>
      <c r="X41" s="297">
        <f>-IF(W41&gt;0,0,0)</f>
        <v>0</v>
      </c>
      <c r="Y41" s="297">
        <f t="shared" ref="Y41" si="28">IF(K41/15&lt;=SMG,0,IF(W41&lt;0,0,W41))</f>
        <v>990.56</v>
      </c>
      <c r="Z41" s="301">
        <v>0</v>
      </c>
      <c r="AA41" s="297">
        <f t="shared" ref="AA41" si="29">SUM(Y41:Z41)</f>
        <v>990.56</v>
      </c>
      <c r="AB41" s="297">
        <f t="shared" ref="AB41" si="30">M41+X41-AA41</f>
        <v>7500</v>
      </c>
      <c r="AC41" s="365"/>
    </row>
    <row r="42" spans="1:33" s="363" customFormat="1" ht="230.25" customHeight="1" x14ac:dyDescent="0.2">
      <c r="A42" s="364"/>
      <c r="B42" s="289" t="s">
        <v>419</v>
      </c>
      <c r="C42" s="283" t="s">
        <v>115</v>
      </c>
      <c r="D42" s="268" t="s">
        <v>418</v>
      </c>
      <c r="E42" s="291" t="s">
        <v>420</v>
      </c>
      <c r="F42" s="291" t="s">
        <v>421</v>
      </c>
      <c r="G42" s="336">
        <v>45292</v>
      </c>
      <c r="H42" s="271" t="s">
        <v>142</v>
      </c>
      <c r="I42" s="272">
        <v>15</v>
      </c>
      <c r="J42" s="273">
        <f>K42/I42</f>
        <v>515.33333333333337</v>
      </c>
      <c r="K42" s="274">
        <v>7730</v>
      </c>
      <c r="L42" s="275">
        <v>0</v>
      </c>
      <c r="M42" s="276">
        <f>SUM(K42:L42)</f>
        <v>7730</v>
      </c>
      <c r="N42" s="298">
        <f>IF(K42/15&lt;=SMG,0,L42/2)</f>
        <v>0</v>
      </c>
      <c r="O42" s="319">
        <f>(K42+N42)/I42*30.4</f>
        <v>15666.133333333333</v>
      </c>
      <c r="P42" s="319">
        <f>VLOOKUP(O42,Tarifa,1)</f>
        <v>15487.72</v>
      </c>
      <c r="Q42" s="298">
        <f>O42-P42</f>
        <v>178.41333333333387</v>
      </c>
      <c r="R42" s="299">
        <f>VLOOKUP(O42,Tarifa,3)</f>
        <v>0.21360000000000001</v>
      </c>
      <c r="S42" s="298">
        <f>Q42*R42</f>
        <v>38.109088000000114</v>
      </c>
      <c r="T42" s="300">
        <f>VLOOKUP(O42,Tarifa,2)</f>
        <v>1640.18</v>
      </c>
      <c r="U42" s="298">
        <f>S42+T42</f>
        <v>1678.2890880000002</v>
      </c>
      <c r="V42" s="298">
        <f>VLOOKUP(O42,Credito,2)</f>
        <v>0</v>
      </c>
      <c r="W42" s="298">
        <f>ROUND((U42-V42)/30.4*I42,2)</f>
        <v>828.1</v>
      </c>
      <c r="X42" s="276">
        <f>-IF(W42&gt;0,0,0)</f>
        <v>0</v>
      </c>
      <c r="Y42" s="276">
        <f>IF(K42/15&lt;=SMG,0,IF(W42&lt;0,0,W42))</f>
        <v>828.1</v>
      </c>
      <c r="Z42" s="277">
        <v>0</v>
      </c>
      <c r="AA42" s="276">
        <f>SUM(Y42:Z42)</f>
        <v>828.1</v>
      </c>
      <c r="AB42" s="276">
        <f>M42+X42-AA42</f>
        <v>6901.9</v>
      </c>
      <c r="AC42" s="365"/>
    </row>
    <row r="43" spans="1:33" s="363" customFormat="1" ht="230.25" customHeight="1" x14ac:dyDescent="0.2">
      <c r="A43" s="364"/>
      <c r="B43" s="289" t="s">
        <v>564</v>
      </c>
      <c r="C43" s="283" t="s">
        <v>115</v>
      </c>
      <c r="D43" s="268" t="s">
        <v>566</v>
      </c>
      <c r="E43" s="291" t="s">
        <v>567</v>
      </c>
      <c r="F43" s="291" t="s">
        <v>568</v>
      </c>
      <c r="G43" s="336">
        <v>45732</v>
      </c>
      <c r="H43" s="286" t="s">
        <v>626</v>
      </c>
      <c r="I43" s="287">
        <v>15</v>
      </c>
      <c r="J43" s="322">
        <f>ROUND(K43/I43,2)</f>
        <v>566.04</v>
      </c>
      <c r="K43" s="295">
        <v>8490.56</v>
      </c>
      <c r="L43" s="296">
        <v>0</v>
      </c>
      <c r="M43" s="297">
        <f t="shared" ref="M43" si="31">SUM(K43:L43)</f>
        <v>8490.56</v>
      </c>
      <c r="N43" s="298">
        <f>IF(K43/15&lt;=SMG,0,L43/2)</f>
        <v>0</v>
      </c>
      <c r="O43" s="319">
        <f>(K43+N43)/I43*30.4</f>
        <v>17207.534933333332</v>
      </c>
      <c r="P43" s="319">
        <f>VLOOKUP(O43,Tarifa,1)</f>
        <v>15487.72</v>
      </c>
      <c r="Q43" s="298">
        <f>O43-P43</f>
        <v>1719.8149333333331</v>
      </c>
      <c r="R43" s="299">
        <f>VLOOKUP(O43,Tarifa,3)</f>
        <v>0.21360000000000001</v>
      </c>
      <c r="S43" s="298">
        <f>Q43*R43</f>
        <v>367.35246975999996</v>
      </c>
      <c r="T43" s="300">
        <f>VLOOKUP(O43,Tarifa,2)</f>
        <v>1640.18</v>
      </c>
      <c r="U43" s="298">
        <f>S43+T43</f>
        <v>2007.5324697599999</v>
      </c>
      <c r="V43" s="298">
        <f>VLOOKUP(O43,Credito,2)</f>
        <v>0</v>
      </c>
      <c r="W43" s="298">
        <f>ROUND((U43-V43)/30.4*I43,2)</f>
        <v>990.56</v>
      </c>
      <c r="X43" s="297">
        <f>-IF(W43&gt;0,0,0)</f>
        <v>0</v>
      </c>
      <c r="Y43" s="297">
        <f t="shared" ref="Y43" si="32">IF(K43/15&lt;=SMG,0,IF(W43&lt;0,0,W43))</f>
        <v>990.56</v>
      </c>
      <c r="Z43" s="301">
        <v>0</v>
      </c>
      <c r="AA43" s="297">
        <f t="shared" ref="AA43" si="33">SUM(Y43:Z43)</f>
        <v>990.56</v>
      </c>
      <c r="AB43" s="297">
        <f t="shared" ref="AB43" si="34">M43+X43-AA43</f>
        <v>7500</v>
      </c>
      <c r="AC43" s="365"/>
    </row>
    <row r="44" spans="1:33" s="363" customFormat="1" ht="230.25" customHeight="1" x14ac:dyDescent="0.2">
      <c r="A44" s="364"/>
      <c r="B44" s="289" t="s">
        <v>565</v>
      </c>
      <c r="C44" s="283" t="s">
        <v>115</v>
      </c>
      <c r="D44" s="268" t="s">
        <v>569</v>
      </c>
      <c r="E44" s="291" t="s">
        <v>570</v>
      </c>
      <c r="F44" s="291" t="s">
        <v>571</v>
      </c>
      <c r="G44" s="336">
        <v>45732</v>
      </c>
      <c r="H44" s="286" t="s">
        <v>626</v>
      </c>
      <c r="I44" s="272">
        <v>15</v>
      </c>
      <c r="J44" s="273">
        <f>K44/I44</f>
        <v>482.44466666666665</v>
      </c>
      <c r="K44" s="274">
        <v>7236.67</v>
      </c>
      <c r="L44" s="275">
        <v>0</v>
      </c>
      <c r="M44" s="276">
        <f>SUM(K44:L44)</f>
        <v>7236.67</v>
      </c>
      <c r="N44" s="298">
        <f>IF(K44/15&lt;=SMG,0,L44/2)</f>
        <v>0</v>
      </c>
      <c r="O44" s="319">
        <f>(K44+N44)/I44*30.4</f>
        <v>14666.317866666666</v>
      </c>
      <c r="P44" s="319">
        <f>VLOOKUP(O44,Tarifa,1)</f>
        <v>12935.83</v>
      </c>
      <c r="Q44" s="298">
        <f>O44-P44</f>
        <v>1730.4878666666664</v>
      </c>
      <c r="R44" s="299">
        <f>VLOOKUP(O44,Tarifa,3)</f>
        <v>0.1792</v>
      </c>
      <c r="S44" s="298">
        <f>Q44*R44</f>
        <v>310.1034257066666</v>
      </c>
      <c r="T44" s="300">
        <f>VLOOKUP(O44,Tarifa,2)</f>
        <v>1182.8800000000001</v>
      </c>
      <c r="U44" s="298">
        <f>S44+T44</f>
        <v>1492.9834257066668</v>
      </c>
      <c r="V44" s="298">
        <f>VLOOKUP(O44,Credito,2)</f>
        <v>0</v>
      </c>
      <c r="W44" s="298">
        <f>ROUND((U44-V44)/30.4*I44,2)</f>
        <v>736.67</v>
      </c>
      <c r="X44" s="276">
        <f>-IF(W44&gt;0,0,0)</f>
        <v>0</v>
      </c>
      <c r="Y44" s="276">
        <f>IF(K44/15&lt;=SMG,0,IF(W44&lt;0,0,W44))</f>
        <v>736.67</v>
      </c>
      <c r="Z44" s="277">
        <v>0</v>
      </c>
      <c r="AA44" s="276">
        <f>SUM(Y44:Z44)</f>
        <v>736.67</v>
      </c>
      <c r="AB44" s="276">
        <f>M44+X44-AA44</f>
        <v>6500</v>
      </c>
      <c r="AC44" s="365"/>
    </row>
    <row r="45" spans="1:33" s="363" customFormat="1" ht="230.25" customHeight="1" x14ac:dyDescent="0.2">
      <c r="A45" s="427"/>
      <c r="B45" s="289" t="s">
        <v>577</v>
      </c>
      <c r="C45" s="283" t="s">
        <v>476</v>
      </c>
      <c r="D45" s="268" t="s">
        <v>578</v>
      </c>
      <c r="E45" s="291" t="s">
        <v>579</v>
      </c>
      <c r="F45" s="291" t="s">
        <v>580</v>
      </c>
      <c r="G45" s="336">
        <v>45732</v>
      </c>
      <c r="H45" s="286" t="s">
        <v>626</v>
      </c>
      <c r="I45" s="272">
        <v>15</v>
      </c>
      <c r="J45" s="273">
        <f t="shared" ref="J45" si="35">K45/I45</f>
        <v>482.44466666666665</v>
      </c>
      <c r="K45" s="274">
        <v>7236.67</v>
      </c>
      <c r="L45" s="275">
        <v>0</v>
      </c>
      <c r="M45" s="276">
        <f t="shared" ref="M45" si="36">SUM(K45:L45)</f>
        <v>7236.67</v>
      </c>
      <c r="N45" s="298">
        <f t="shared" ref="N45" si="37">IF(K45/15&lt;=SMG,0,L45/2)</f>
        <v>0</v>
      </c>
      <c r="O45" s="319">
        <f t="shared" ref="O45" si="38">(K45+N45)/I45*30.4</f>
        <v>14666.317866666666</v>
      </c>
      <c r="P45" s="319">
        <f t="shared" ref="P45" si="39">VLOOKUP(O45,Tarifa,1)</f>
        <v>12935.83</v>
      </c>
      <c r="Q45" s="298">
        <f t="shared" ref="Q45" si="40">O45-P45</f>
        <v>1730.4878666666664</v>
      </c>
      <c r="R45" s="299">
        <f t="shared" ref="R45" si="41">VLOOKUP(O45,Tarifa,3)</f>
        <v>0.1792</v>
      </c>
      <c r="S45" s="298">
        <f t="shared" ref="S45" si="42">Q45*R45</f>
        <v>310.1034257066666</v>
      </c>
      <c r="T45" s="300">
        <f t="shared" ref="T45" si="43">VLOOKUP(O45,Tarifa,2)</f>
        <v>1182.8800000000001</v>
      </c>
      <c r="U45" s="298">
        <f t="shared" ref="U45" si="44">S45+T45</f>
        <v>1492.9834257066668</v>
      </c>
      <c r="V45" s="298">
        <f t="shared" ref="V45" si="45">VLOOKUP(O45,Credito,2)</f>
        <v>0</v>
      </c>
      <c r="W45" s="298">
        <f t="shared" ref="W45" si="46">ROUND((U45-V45)/30.4*I45,2)</f>
        <v>736.67</v>
      </c>
      <c r="X45" s="276">
        <f t="shared" ref="X45" si="47">-IF(W45&gt;0,0,0)</f>
        <v>0</v>
      </c>
      <c r="Y45" s="276">
        <f t="shared" ref="Y45" si="48">IF(K45/15&lt;=SMG,0,IF(W45&lt;0,0,W45))</f>
        <v>736.67</v>
      </c>
      <c r="Z45" s="277">
        <v>0</v>
      </c>
      <c r="AA45" s="276">
        <f t="shared" ref="AA45" si="49">SUM(Y45:Z45)</f>
        <v>736.67</v>
      </c>
      <c r="AB45" s="276">
        <f t="shared" ref="AB45" si="50">M45+X45-AA45</f>
        <v>6500</v>
      </c>
      <c r="AC45" s="365"/>
    </row>
    <row r="46" spans="1:33" s="363" customFormat="1" ht="230.25" customHeight="1" x14ac:dyDescent="0.2">
      <c r="A46" s="427"/>
      <c r="B46" s="289" t="s">
        <v>573</v>
      </c>
      <c r="C46" s="283" t="s">
        <v>476</v>
      </c>
      <c r="D46" s="268" t="s">
        <v>574</v>
      </c>
      <c r="E46" s="291" t="s">
        <v>575</v>
      </c>
      <c r="F46" s="291" t="s">
        <v>576</v>
      </c>
      <c r="G46" s="336">
        <v>45732</v>
      </c>
      <c r="H46" s="286" t="s">
        <v>626</v>
      </c>
      <c r="I46" s="272">
        <v>15</v>
      </c>
      <c r="J46" s="273">
        <f t="shared" ref="J46" si="51">K46/I46</f>
        <v>482.44466666666665</v>
      </c>
      <c r="K46" s="274">
        <v>7236.67</v>
      </c>
      <c r="L46" s="275">
        <v>0</v>
      </c>
      <c r="M46" s="276">
        <f t="shared" ref="M46" si="52">SUM(K46:L46)</f>
        <v>7236.67</v>
      </c>
      <c r="N46" s="298">
        <f t="shared" ref="N46" si="53">IF(K46/15&lt;=SMG,0,L46/2)</f>
        <v>0</v>
      </c>
      <c r="O46" s="319">
        <f t="shared" ref="O46" si="54">(K46+N46)/I46*30.4</f>
        <v>14666.317866666666</v>
      </c>
      <c r="P46" s="319">
        <f t="shared" ref="P46" si="55">VLOOKUP(O46,Tarifa,1)</f>
        <v>12935.83</v>
      </c>
      <c r="Q46" s="298">
        <f t="shared" ref="Q46" si="56">O46-P46</f>
        <v>1730.4878666666664</v>
      </c>
      <c r="R46" s="299">
        <f t="shared" ref="R46" si="57">VLOOKUP(O46,Tarifa,3)</f>
        <v>0.1792</v>
      </c>
      <c r="S46" s="298">
        <f t="shared" ref="S46" si="58">Q46*R46</f>
        <v>310.1034257066666</v>
      </c>
      <c r="T46" s="300">
        <f t="shared" ref="T46" si="59">VLOOKUP(O46,Tarifa,2)</f>
        <v>1182.8800000000001</v>
      </c>
      <c r="U46" s="298">
        <f t="shared" ref="U46" si="60">S46+T46</f>
        <v>1492.9834257066668</v>
      </c>
      <c r="V46" s="298">
        <f t="shared" ref="V46" si="61">VLOOKUP(O46,Credito,2)</f>
        <v>0</v>
      </c>
      <c r="W46" s="298">
        <f t="shared" ref="W46" si="62">ROUND((U46-V46)/30.4*I46,2)</f>
        <v>736.67</v>
      </c>
      <c r="X46" s="276">
        <f t="shared" ref="X46" si="63">-IF(W46&gt;0,0,0)</f>
        <v>0</v>
      </c>
      <c r="Y46" s="276">
        <f t="shared" ref="Y46" si="64">IF(K46/15&lt;=SMG,0,IF(W46&lt;0,0,W46))</f>
        <v>736.67</v>
      </c>
      <c r="Z46" s="277">
        <v>0</v>
      </c>
      <c r="AA46" s="276">
        <f t="shared" ref="AA46" si="65">SUM(Y46:Z46)</f>
        <v>736.67</v>
      </c>
      <c r="AB46" s="276">
        <f t="shared" ref="AB46" si="66">M46+X46-AA46</f>
        <v>6500</v>
      </c>
      <c r="AC46" s="365"/>
    </row>
    <row r="47" spans="1:33" s="363" customFormat="1" ht="42" customHeight="1" x14ac:dyDescent="0.25">
      <c r="A47" s="427"/>
      <c r="B47" s="466" t="s">
        <v>77</v>
      </c>
      <c r="C47" s="466"/>
      <c r="D47" s="466"/>
      <c r="E47" s="466"/>
      <c r="F47" s="466"/>
      <c r="G47" s="466"/>
      <c r="H47" s="466"/>
      <c r="I47" s="466"/>
      <c r="J47" s="466"/>
      <c r="K47" s="466"/>
      <c r="L47" s="466"/>
      <c r="M47" s="466"/>
      <c r="N47" s="466"/>
      <c r="O47" s="466"/>
      <c r="P47" s="466"/>
      <c r="Q47" s="466"/>
      <c r="R47" s="466"/>
      <c r="S47" s="466"/>
      <c r="T47" s="466"/>
      <c r="U47" s="466"/>
      <c r="V47" s="466"/>
      <c r="W47" s="466"/>
      <c r="X47" s="466"/>
      <c r="Y47" s="466"/>
      <c r="Z47" s="466"/>
      <c r="AA47" s="466"/>
      <c r="AB47" s="466"/>
      <c r="AC47" s="466"/>
    </row>
    <row r="48" spans="1:33" s="363" customFormat="1" ht="42" customHeight="1" x14ac:dyDescent="0.25">
      <c r="A48" s="427"/>
      <c r="B48" s="466" t="s">
        <v>64</v>
      </c>
      <c r="C48" s="466"/>
      <c r="D48" s="466"/>
      <c r="E48" s="466"/>
      <c r="F48" s="466"/>
      <c r="G48" s="466"/>
      <c r="H48" s="466"/>
      <c r="I48" s="466"/>
      <c r="J48" s="466"/>
      <c r="K48" s="466"/>
      <c r="L48" s="466"/>
      <c r="M48" s="466"/>
      <c r="N48" s="466"/>
      <c r="O48" s="466"/>
      <c r="P48" s="466"/>
      <c r="Q48" s="466"/>
      <c r="R48" s="466"/>
      <c r="S48" s="466"/>
      <c r="T48" s="466"/>
      <c r="U48" s="466"/>
      <c r="V48" s="466"/>
      <c r="W48" s="466"/>
      <c r="X48" s="466"/>
      <c r="Y48" s="466"/>
      <c r="Z48" s="466"/>
      <c r="AA48" s="466"/>
      <c r="AB48" s="466"/>
      <c r="AC48" s="466"/>
    </row>
    <row r="49" spans="1:29" s="363" customFormat="1" ht="42" customHeight="1" x14ac:dyDescent="0.2">
      <c r="A49" s="427"/>
      <c r="B49" s="504" t="str">
        <f>PRESIDENCIA!A3</f>
        <v>SUELDO  DEL 01 AL 15 DE SEPTIEMBRE DE 2025</v>
      </c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</row>
    <row r="50" spans="1:29" s="363" customFormat="1" ht="19.5" customHeight="1" x14ac:dyDescent="0.2">
      <c r="A50" s="427"/>
      <c r="B50" s="412"/>
      <c r="C50" s="413"/>
      <c r="D50" s="414"/>
      <c r="E50" s="428"/>
      <c r="F50" s="428"/>
      <c r="G50" s="429"/>
      <c r="H50" s="430"/>
      <c r="I50" s="418"/>
      <c r="J50" s="419"/>
      <c r="K50" s="420"/>
      <c r="L50" s="421"/>
      <c r="M50" s="422"/>
      <c r="N50" s="393"/>
      <c r="O50" s="394"/>
      <c r="P50" s="394"/>
      <c r="Q50" s="393"/>
      <c r="R50" s="395"/>
      <c r="S50" s="393"/>
      <c r="T50" s="396"/>
      <c r="U50" s="393"/>
      <c r="V50" s="393"/>
      <c r="W50" s="393"/>
      <c r="X50" s="422"/>
      <c r="Y50" s="422"/>
      <c r="Z50" s="423"/>
      <c r="AA50" s="422"/>
      <c r="AB50" s="422"/>
      <c r="AC50" s="431"/>
    </row>
    <row r="51" spans="1:29" s="363" customFormat="1" ht="164.25" customHeight="1" x14ac:dyDescent="0.2">
      <c r="A51" s="364"/>
      <c r="B51" s="289" t="s">
        <v>581</v>
      </c>
      <c r="C51" s="283" t="s">
        <v>476</v>
      </c>
      <c r="D51" s="268" t="s">
        <v>584</v>
      </c>
      <c r="E51" s="291" t="s">
        <v>585</v>
      </c>
      <c r="F51" s="291" t="s">
        <v>586</v>
      </c>
      <c r="G51" s="336">
        <v>45732</v>
      </c>
      <c r="H51" s="286" t="s">
        <v>626</v>
      </c>
      <c r="I51" s="272">
        <v>15</v>
      </c>
      <c r="J51" s="273">
        <f t="shared" ref="J51:J53" si="67">K51/I51</f>
        <v>482.44466666666665</v>
      </c>
      <c r="K51" s="274">
        <v>7236.67</v>
      </c>
      <c r="L51" s="275">
        <v>0</v>
      </c>
      <c r="M51" s="276">
        <f t="shared" ref="M51:M53" si="68">SUM(K51:L51)</f>
        <v>7236.67</v>
      </c>
      <c r="N51" s="298">
        <f t="shared" ref="N51:N53" si="69">IF(K51/15&lt;=SMG,0,L51/2)</f>
        <v>0</v>
      </c>
      <c r="O51" s="319">
        <f t="shared" ref="O51:O53" si="70">(K51+N51)/I51*30.4</f>
        <v>14666.317866666666</v>
      </c>
      <c r="P51" s="319">
        <f t="shared" ref="P51:P53" si="71">VLOOKUP(O51,Tarifa,1)</f>
        <v>12935.83</v>
      </c>
      <c r="Q51" s="298">
        <f t="shared" ref="Q51:Q53" si="72">O51-P51</f>
        <v>1730.4878666666664</v>
      </c>
      <c r="R51" s="299">
        <f t="shared" ref="R51:R53" si="73">VLOOKUP(O51,Tarifa,3)</f>
        <v>0.1792</v>
      </c>
      <c r="S51" s="298">
        <f t="shared" ref="S51:S53" si="74">Q51*R51</f>
        <v>310.1034257066666</v>
      </c>
      <c r="T51" s="300">
        <f t="shared" ref="T51:T53" si="75">VLOOKUP(O51,Tarifa,2)</f>
        <v>1182.8800000000001</v>
      </c>
      <c r="U51" s="298">
        <f t="shared" ref="U51:U53" si="76">S51+T51</f>
        <v>1492.9834257066668</v>
      </c>
      <c r="V51" s="298">
        <f t="shared" ref="V51:V53" si="77">VLOOKUP(O51,Credito,2)</f>
        <v>0</v>
      </c>
      <c r="W51" s="298">
        <f t="shared" ref="W51:W53" si="78">ROUND((U51-V51)/30.4*I51,2)</f>
        <v>736.67</v>
      </c>
      <c r="X51" s="276">
        <f t="shared" ref="X51:X53" si="79">-IF(W51&gt;0,0,0)</f>
        <v>0</v>
      </c>
      <c r="Y51" s="276">
        <f t="shared" ref="Y51:Y53" si="80">IF(K51/15&lt;=SMG,0,IF(W51&lt;0,0,W51))</f>
        <v>736.67</v>
      </c>
      <c r="Z51" s="277">
        <v>0</v>
      </c>
      <c r="AA51" s="276">
        <f t="shared" ref="AA51:AA53" si="81">SUM(Y51:Z51)</f>
        <v>736.67</v>
      </c>
      <c r="AB51" s="276">
        <f t="shared" ref="AB51:AB53" si="82">M51+X51-AA51</f>
        <v>6500</v>
      </c>
      <c r="AC51" s="365"/>
    </row>
    <row r="52" spans="1:29" s="363" customFormat="1" ht="164.25" customHeight="1" x14ac:dyDescent="0.2">
      <c r="A52" s="364"/>
      <c r="B52" s="289" t="s">
        <v>582</v>
      </c>
      <c r="C52" s="283" t="s">
        <v>476</v>
      </c>
      <c r="D52" s="268" t="s">
        <v>587</v>
      </c>
      <c r="E52" s="291" t="s">
        <v>588</v>
      </c>
      <c r="F52" s="291" t="s">
        <v>589</v>
      </c>
      <c r="G52" s="336">
        <v>45732</v>
      </c>
      <c r="H52" s="286" t="s">
        <v>626</v>
      </c>
      <c r="I52" s="272">
        <v>15</v>
      </c>
      <c r="J52" s="273">
        <f t="shared" si="67"/>
        <v>482.44466666666665</v>
      </c>
      <c r="K52" s="274">
        <v>7236.67</v>
      </c>
      <c r="L52" s="275">
        <v>0</v>
      </c>
      <c r="M52" s="276">
        <f t="shared" si="68"/>
        <v>7236.67</v>
      </c>
      <c r="N52" s="298">
        <f t="shared" si="69"/>
        <v>0</v>
      </c>
      <c r="O52" s="319">
        <f t="shared" si="70"/>
        <v>14666.317866666666</v>
      </c>
      <c r="P52" s="319">
        <f t="shared" si="71"/>
        <v>12935.83</v>
      </c>
      <c r="Q52" s="298">
        <f t="shared" si="72"/>
        <v>1730.4878666666664</v>
      </c>
      <c r="R52" s="299">
        <f t="shared" si="73"/>
        <v>0.1792</v>
      </c>
      <c r="S52" s="298">
        <f t="shared" si="74"/>
        <v>310.1034257066666</v>
      </c>
      <c r="T52" s="300">
        <f t="shared" si="75"/>
        <v>1182.8800000000001</v>
      </c>
      <c r="U52" s="298">
        <f t="shared" si="76"/>
        <v>1492.9834257066668</v>
      </c>
      <c r="V52" s="298">
        <f t="shared" si="77"/>
        <v>0</v>
      </c>
      <c r="W52" s="298">
        <f t="shared" si="78"/>
        <v>736.67</v>
      </c>
      <c r="X52" s="276">
        <f t="shared" si="79"/>
        <v>0</v>
      </c>
      <c r="Y52" s="276">
        <f t="shared" si="80"/>
        <v>736.67</v>
      </c>
      <c r="Z52" s="277">
        <v>0</v>
      </c>
      <c r="AA52" s="276">
        <f t="shared" si="81"/>
        <v>736.67</v>
      </c>
      <c r="AB52" s="276">
        <f t="shared" si="82"/>
        <v>6500</v>
      </c>
      <c r="AC52" s="365"/>
    </row>
    <row r="53" spans="1:29" s="363" customFormat="1" ht="164.25" customHeight="1" x14ac:dyDescent="0.2">
      <c r="A53" s="364"/>
      <c r="B53" s="289" t="s">
        <v>583</v>
      </c>
      <c r="C53" s="283" t="s">
        <v>476</v>
      </c>
      <c r="D53" s="268" t="s">
        <v>590</v>
      </c>
      <c r="E53" s="291" t="s">
        <v>591</v>
      </c>
      <c r="F53" s="291" t="s">
        <v>592</v>
      </c>
      <c r="G53" s="336">
        <v>45732</v>
      </c>
      <c r="H53" s="286" t="s">
        <v>626</v>
      </c>
      <c r="I53" s="272">
        <v>15</v>
      </c>
      <c r="J53" s="273">
        <f t="shared" si="67"/>
        <v>482.44466666666665</v>
      </c>
      <c r="K53" s="274">
        <v>7236.67</v>
      </c>
      <c r="L53" s="275">
        <v>0</v>
      </c>
      <c r="M53" s="276">
        <f t="shared" si="68"/>
        <v>7236.67</v>
      </c>
      <c r="N53" s="298">
        <f t="shared" si="69"/>
        <v>0</v>
      </c>
      <c r="O53" s="319">
        <f t="shared" si="70"/>
        <v>14666.317866666666</v>
      </c>
      <c r="P53" s="319">
        <f t="shared" si="71"/>
        <v>12935.83</v>
      </c>
      <c r="Q53" s="298">
        <f t="shared" si="72"/>
        <v>1730.4878666666664</v>
      </c>
      <c r="R53" s="299">
        <f t="shared" si="73"/>
        <v>0.1792</v>
      </c>
      <c r="S53" s="298">
        <f t="shared" si="74"/>
        <v>310.1034257066666</v>
      </c>
      <c r="T53" s="300">
        <f t="shared" si="75"/>
        <v>1182.8800000000001</v>
      </c>
      <c r="U53" s="298">
        <f t="shared" si="76"/>
        <v>1492.9834257066668</v>
      </c>
      <c r="V53" s="298">
        <f t="shared" si="77"/>
        <v>0</v>
      </c>
      <c r="W53" s="298">
        <f t="shared" si="78"/>
        <v>736.67</v>
      </c>
      <c r="X53" s="276">
        <f t="shared" si="79"/>
        <v>0</v>
      </c>
      <c r="Y53" s="276">
        <f t="shared" si="80"/>
        <v>736.67</v>
      </c>
      <c r="Z53" s="277">
        <v>0</v>
      </c>
      <c r="AA53" s="276">
        <f t="shared" si="81"/>
        <v>736.67</v>
      </c>
      <c r="AB53" s="276">
        <f t="shared" si="82"/>
        <v>6500</v>
      </c>
      <c r="AC53" s="365"/>
    </row>
    <row r="54" spans="1:29" s="363" customFormat="1" ht="164.25" customHeight="1" x14ac:dyDescent="0.2">
      <c r="A54" s="364"/>
      <c r="B54" s="289" t="s">
        <v>593</v>
      </c>
      <c r="C54" s="283" t="s">
        <v>476</v>
      </c>
      <c r="D54" s="268" t="s">
        <v>594</v>
      </c>
      <c r="E54" s="291" t="s">
        <v>595</v>
      </c>
      <c r="F54" s="291" t="s">
        <v>596</v>
      </c>
      <c r="G54" s="336">
        <v>45732</v>
      </c>
      <c r="H54" s="286" t="s">
        <v>626</v>
      </c>
      <c r="I54" s="272">
        <v>15</v>
      </c>
      <c r="J54" s="273">
        <f t="shared" ref="J54" si="83">K54/I54</f>
        <v>482.44466666666665</v>
      </c>
      <c r="K54" s="274">
        <v>7236.67</v>
      </c>
      <c r="L54" s="275">
        <v>0</v>
      </c>
      <c r="M54" s="276">
        <f t="shared" ref="M54:M55" si="84">SUM(K54:L54)</f>
        <v>7236.67</v>
      </c>
      <c r="N54" s="298">
        <f t="shared" ref="N54:N55" si="85">IF(K54/15&lt;=SMG,0,L54/2)</f>
        <v>0</v>
      </c>
      <c r="O54" s="319">
        <f t="shared" ref="O54:O55" si="86">(K54+N54)/I54*30.4</f>
        <v>14666.317866666666</v>
      </c>
      <c r="P54" s="319">
        <f t="shared" ref="P54:P55" si="87">VLOOKUP(O54,Tarifa,1)</f>
        <v>12935.83</v>
      </c>
      <c r="Q54" s="298">
        <f t="shared" ref="Q54:Q55" si="88">O54-P54</f>
        <v>1730.4878666666664</v>
      </c>
      <c r="R54" s="299">
        <f t="shared" ref="R54:R55" si="89">VLOOKUP(O54,Tarifa,3)</f>
        <v>0.1792</v>
      </c>
      <c r="S54" s="298">
        <f t="shared" ref="S54:S55" si="90">Q54*R54</f>
        <v>310.1034257066666</v>
      </c>
      <c r="T54" s="300">
        <f t="shared" ref="T54:T55" si="91">VLOOKUP(O54,Tarifa,2)</f>
        <v>1182.8800000000001</v>
      </c>
      <c r="U54" s="298">
        <f t="shared" ref="U54:U55" si="92">S54+T54</f>
        <v>1492.9834257066668</v>
      </c>
      <c r="V54" s="298">
        <f t="shared" ref="V54:V55" si="93">VLOOKUP(O54,Credito,2)</f>
        <v>0</v>
      </c>
      <c r="W54" s="298">
        <f t="shared" ref="W54:W55" si="94">ROUND((U54-V54)/30.4*I54,2)</f>
        <v>736.67</v>
      </c>
      <c r="X54" s="276">
        <f t="shared" ref="X54:X55" si="95">-IF(W54&gt;0,0,0)</f>
        <v>0</v>
      </c>
      <c r="Y54" s="276">
        <f t="shared" ref="Y54:Y55" si="96">IF(K54/15&lt;=SMG,0,IF(W54&lt;0,0,W54))</f>
        <v>736.67</v>
      </c>
      <c r="Z54" s="277">
        <v>0</v>
      </c>
      <c r="AA54" s="276">
        <f t="shared" ref="AA54:AA55" si="97">SUM(Y54:Z54)</f>
        <v>736.67</v>
      </c>
      <c r="AB54" s="276">
        <f t="shared" ref="AB54:AB55" si="98">M54+X54-AA54</f>
        <v>6500</v>
      </c>
      <c r="AC54" s="365"/>
    </row>
    <row r="55" spans="1:29" s="363" customFormat="1" ht="164.25" customHeight="1" x14ac:dyDescent="0.2">
      <c r="A55" s="364"/>
      <c r="B55" s="283" t="s">
        <v>111</v>
      </c>
      <c r="C55" s="283" t="s">
        <v>115</v>
      </c>
      <c r="D55" s="264" t="s">
        <v>92</v>
      </c>
      <c r="E55" s="135" t="s">
        <v>112</v>
      </c>
      <c r="F55" s="135" t="s">
        <v>228</v>
      </c>
      <c r="G55" s="161">
        <v>42278</v>
      </c>
      <c r="H55" s="286" t="s">
        <v>626</v>
      </c>
      <c r="I55" s="272">
        <v>15</v>
      </c>
      <c r="J55" s="273">
        <f>K55/I55</f>
        <v>482.44466666666665</v>
      </c>
      <c r="K55" s="274">
        <v>7236.67</v>
      </c>
      <c r="L55" s="275">
        <v>0</v>
      </c>
      <c r="M55" s="276">
        <f t="shared" si="84"/>
        <v>7236.67</v>
      </c>
      <c r="N55" s="298">
        <f t="shared" si="85"/>
        <v>0</v>
      </c>
      <c r="O55" s="319">
        <f t="shared" si="86"/>
        <v>14666.317866666666</v>
      </c>
      <c r="P55" s="319">
        <f t="shared" si="87"/>
        <v>12935.83</v>
      </c>
      <c r="Q55" s="298">
        <f t="shared" si="88"/>
        <v>1730.4878666666664</v>
      </c>
      <c r="R55" s="299">
        <f t="shared" si="89"/>
        <v>0.1792</v>
      </c>
      <c r="S55" s="298">
        <f t="shared" si="90"/>
        <v>310.1034257066666</v>
      </c>
      <c r="T55" s="300">
        <f t="shared" si="91"/>
        <v>1182.8800000000001</v>
      </c>
      <c r="U55" s="298">
        <f t="shared" si="92"/>
        <v>1492.9834257066668</v>
      </c>
      <c r="V55" s="298">
        <f t="shared" si="93"/>
        <v>0</v>
      </c>
      <c r="W55" s="298">
        <f t="shared" si="94"/>
        <v>736.67</v>
      </c>
      <c r="X55" s="276">
        <f t="shared" si="95"/>
        <v>0</v>
      </c>
      <c r="Y55" s="276">
        <f t="shared" si="96"/>
        <v>736.67</v>
      </c>
      <c r="Z55" s="277">
        <v>0</v>
      </c>
      <c r="AA55" s="276">
        <f t="shared" si="97"/>
        <v>736.67</v>
      </c>
      <c r="AB55" s="276">
        <f t="shared" si="98"/>
        <v>6500</v>
      </c>
      <c r="AC55" s="365"/>
    </row>
    <row r="56" spans="1:29" s="363" customFormat="1" ht="164.25" customHeight="1" x14ac:dyDescent="0.2">
      <c r="A56" s="364"/>
      <c r="B56" s="283" t="s">
        <v>622</v>
      </c>
      <c r="C56" s="283" t="s">
        <v>115</v>
      </c>
      <c r="D56" s="264" t="s">
        <v>623</v>
      </c>
      <c r="E56" s="135" t="s">
        <v>624</v>
      </c>
      <c r="F56" s="135" t="s">
        <v>625</v>
      </c>
      <c r="G56" s="161">
        <v>45870</v>
      </c>
      <c r="H56" s="286" t="s">
        <v>626</v>
      </c>
      <c r="I56" s="272">
        <v>15</v>
      </c>
      <c r="J56" s="273">
        <f>K56/I56</f>
        <v>482.44466666666665</v>
      </c>
      <c r="K56" s="274">
        <v>7236.67</v>
      </c>
      <c r="L56" s="275">
        <v>0</v>
      </c>
      <c r="M56" s="276">
        <f t="shared" ref="M56" si="99">SUM(K56:L56)</f>
        <v>7236.67</v>
      </c>
      <c r="N56" s="298">
        <f t="shared" ref="N56" si="100">IF(K56/15&lt;=SMG,0,L56/2)</f>
        <v>0</v>
      </c>
      <c r="O56" s="319">
        <f t="shared" ref="O56" si="101">(K56+N56)/I56*30.4</f>
        <v>14666.317866666666</v>
      </c>
      <c r="P56" s="319">
        <f t="shared" ref="P56" si="102">VLOOKUP(O56,Tarifa,1)</f>
        <v>12935.83</v>
      </c>
      <c r="Q56" s="298">
        <f t="shared" ref="Q56" si="103">O56-P56</f>
        <v>1730.4878666666664</v>
      </c>
      <c r="R56" s="299">
        <f t="shared" ref="R56" si="104">VLOOKUP(O56,Tarifa,3)</f>
        <v>0.1792</v>
      </c>
      <c r="S56" s="298">
        <f t="shared" ref="S56" si="105">Q56*R56</f>
        <v>310.1034257066666</v>
      </c>
      <c r="T56" s="300">
        <f t="shared" ref="T56" si="106">VLOOKUP(O56,Tarifa,2)</f>
        <v>1182.8800000000001</v>
      </c>
      <c r="U56" s="298">
        <f t="shared" ref="U56" si="107">S56+T56</f>
        <v>1492.9834257066668</v>
      </c>
      <c r="V56" s="298">
        <f t="shared" ref="V56" si="108">VLOOKUP(O56,Credito,2)</f>
        <v>0</v>
      </c>
      <c r="W56" s="298">
        <f t="shared" ref="W56" si="109">ROUND((U56-V56)/30.4*I56,2)</f>
        <v>736.67</v>
      </c>
      <c r="X56" s="276">
        <f t="shared" ref="X56" si="110">-IF(W56&gt;0,0,0)</f>
        <v>0</v>
      </c>
      <c r="Y56" s="276">
        <f t="shared" ref="Y56" si="111">IF(K56/15&lt;=SMG,0,IF(W56&lt;0,0,W56))</f>
        <v>736.67</v>
      </c>
      <c r="Z56" s="277">
        <v>0</v>
      </c>
      <c r="AA56" s="276">
        <f t="shared" ref="AA56" si="112">SUM(Y56:Z56)</f>
        <v>736.67</v>
      </c>
      <c r="AB56" s="276">
        <f t="shared" ref="AB56" si="113">M56+X56-AA56</f>
        <v>6500</v>
      </c>
      <c r="AC56" s="301"/>
    </row>
    <row r="57" spans="1:29" s="108" customFormat="1" ht="18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85"/>
      <c r="L57" s="185"/>
      <c r="M57" s="185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07"/>
    </row>
    <row r="58" spans="1:29" s="108" customFormat="1" ht="39" customHeight="1" x14ac:dyDescent="0.3">
      <c r="A58" s="503" t="s">
        <v>44</v>
      </c>
      <c r="B58" s="503"/>
      <c r="C58" s="503"/>
      <c r="D58" s="503"/>
      <c r="E58" s="503"/>
      <c r="F58" s="503"/>
      <c r="G58" s="503"/>
      <c r="H58" s="503"/>
      <c r="I58" s="503"/>
      <c r="J58" s="503"/>
      <c r="K58" s="235">
        <f>K8+K11+K14+K27+K30+K32+K40</f>
        <v>150069.65</v>
      </c>
      <c r="L58" s="235">
        <f>L8+L11+L14+L27+L30+L32+L40</f>
        <v>0</v>
      </c>
      <c r="M58" s="235">
        <f>M8+M11+M14+M27+M30+M32+M40</f>
        <v>150069.65</v>
      </c>
      <c r="N58" s="235" t="e">
        <f>N8+N11+N14+N27+N30+#REF!+N40</f>
        <v>#REF!</v>
      </c>
      <c r="O58" s="235" t="e">
        <f>O8+O11+O14+O27+O30+#REF!+O40</f>
        <v>#REF!</v>
      </c>
      <c r="P58" s="235" t="e">
        <f>P8+P11+P14+P27+P30+#REF!+P40</f>
        <v>#REF!</v>
      </c>
      <c r="Q58" s="235" t="e">
        <f>Q8+Q11+Q14+Q27+Q30+#REF!+Q40</f>
        <v>#REF!</v>
      </c>
      <c r="R58" s="235" t="e">
        <f>R8+R11+R14+R27+R30+#REF!+R40</f>
        <v>#REF!</v>
      </c>
      <c r="S58" s="235" t="e">
        <f>S8+S11+S14+S27+S30+#REF!+S40</f>
        <v>#REF!</v>
      </c>
      <c r="T58" s="235" t="e">
        <f>T8+T11+T14+T27+T30+#REF!+T40</f>
        <v>#REF!</v>
      </c>
      <c r="U58" s="235" t="e">
        <f>U8+U11+U14+U27+U30+#REF!+U40</f>
        <v>#REF!</v>
      </c>
      <c r="V58" s="235" t="e">
        <f>V8+V11+V14+V27+V30+#REF!+V40</f>
        <v>#REF!</v>
      </c>
      <c r="W58" s="235" t="e">
        <f>W8+W11+W14+W27+W30+#REF!+W40</f>
        <v>#REF!</v>
      </c>
      <c r="X58" s="235">
        <f>X8+X11+X14+X27+X30+X32+X40</f>
        <v>0</v>
      </c>
      <c r="Y58" s="235">
        <f>Y8+Y11+Y14+Y27+Y30+Y32+Y40</f>
        <v>14094.02</v>
      </c>
      <c r="Z58" s="235">
        <f>Z8+Z11+Z14+Z27+Z30+Z32+Z40</f>
        <v>0</v>
      </c>
      <c r="AA58" s="235">
        <f>AA8+AA11+AA14+AA27+AA30+AA32+AA40</f>
        <v>14094.02</v>
      </c>
      <c r="AB58" s="235">
        <f>AB8+AB11+AB14+AB27+AB30+AB32+AB40</f>
        <v>135975.63</v>
      </c>
      <c r="AC58" s="107"/>
    </row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2" x14ac:dyDescent="0.2"/>
    <row r="66" spans="4:39" s="52" customFormat="1" ht="17.25" customHeight="1" x14ac:dyDescent="0.2"/>
    <row r="67" spans="4:39" s="52" customFormat="1" ht="12" x14ac:dyDescent="0.2"/>
    <row r="68" spans="4:39" s="52" customFormat="1" ht="12" x14ac:dyDescent="0.2"/>
    <row r="69" spans="4:39" s="52" customFormat="1" ht="12" x14ac:dyDescent="0.2"/>
    <row r="70" spans="4:39" s="52" customFormat="1" ht="13.5" customHeight="1" x14ac:dyDescent="0.2"/>
    <row r="71" spans="4:39" s="52" customFormat="1" ht="12" x14ac:dyDescent="0.2"/>
    <row r="72" spans="4:39" s="52" customFormat="1" ht="12" x14ac:dyDescent="0.2"/>
    <row r="73" spans="4:39" s="52" customFormat="1" ht="12" x14ac:dyDescent="0.2"/>
    <row r="74" spans="4:39" s="52" customFormat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4:39" s="52" customFormat="1" ht="18" x14ac:dyDescent="0.25">
      <c r="D75" s="213" t="s">
        <v>478</v>
      </c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213" t="s">
        <v>144</v>
      </c>
      <c r="Z75" s="108"/>
      <c r="AA75" s="108"/>
      <c r="AB75" s="108"/>
    </row>
    <row r="76" spans="4:39" s="52" customFormat="1" ht="18" x14ac:dyDescent="0.25">
      <c r="D76" s="213" t="s">
        <v>496</v>
      </c>
      <c r="E76" s="213"/>
      <c r="F76" s="213"/>
      <c r="G76" s="213"/>
      <c r="H76" s="213"/>
      <c r="I76" s="213"/>
      <c r="J76" s="213"/>
      <c r="K76" s="213"/>
      <c r="L76" s="213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213" t="s">
        <v>211</v>
      </c>
      <c r="Z76" s="108"/>
      <c r="AA76" s="213"/>
      <c r="AB76" s="213"/>
      <c r="AC76" s="61"/>
      <c r="AD76" s="61"/>
      <c r="AE76" s="61"/>
      <c r="AF76" s="61"/>
      <c r="AG76" s="61"/>
      <c r="AH76" s="61"/>
      <c r="AI76" s="61"/>
      <c r="AL76" s="61"/>
      <c r="AM76" s="61"/>
    </row>
    <row r="77" spans="4:39" s="52" customFormat="1" ht="18" x14ac:dyDescent="0.25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4:39" s="52" customFormat="1" ht="18" x14ac:dyDescent="0.25"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4:39" s="52" customFormat="1" ht="12" x14ac:dyDescent="0.2"/>
  </sheetData>
  <mergeCells count="17">
    <mergeCell ref="B22:AD22"/>
    <mergeCell ref="B23:AD23"/>
    <mergeCell ref="A1:AC1"/>
    <mergeCell ref="A2:AC2"/>
    <mergeCell ref="A3:AC3"/>
    <mergeCell ref="K5:M5"/>
    <mergeCell ref="P5:U5"/>
    <mergeCell ref="Y5:AA5"/>
    <mergeCell ref="C5:C7"/>
    <mergeCell ref="B24:AD24"/>
    <mergeCell ref="B36:AC36"/>
    <mergeCell ref="B37:AC37"/>
    <mergeCell ref="B38:AC38"/>
    <mergeCell ref="A58:J58"/>
    <mergeCell ref="B47:AC47"/>
    <mergeCell ref="B48:AC48"/>
    <mergeCell ref="B49:AC4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5:G56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5"/>
  <sheetViews>
    <sheetView topLeftCell="B1" zoomScale="57" zoomScaleNormal="57" workbookViewId="0">
      <selection activeCell="M17" sqref="M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77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29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29" ht="19.5" x14ac:dyDescent="0.25">
      <c r="A3" s="467" t="str">
        <f>PRESIDENCIA!A3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7" t="s">
        <v>1</v>
      </c>
      <c r="L6" s="488"/>
      <c r="M6" s="489"/>
      <c r="N6" s="50" t="s">
        <v>25</v>
      </c>
      <c r="O6" s="51"/>
      <c r="P6" s="490" t="s">
        <v>8</v>
      </c>
      <c r="Q6" s="491"/>
      <c r="R6" s="491"/>
      <c r="S6" s="491"/>
      <c r="T6" s="491"/>
      <c r="U6" s="492"/>
      <c r="V6" s="50" t="s">
        <v>29</v>
      </c>
      <c r="W6" s="50" t="s">
        <v>9</v>
      </c>
      <c r="X6" s="49" t="s">
        <v>52</v>
      </c>
      <c r="Y6" s="493" t="s">
        <v>2</v>
      </c>
      <c r="Z6" s="494"/>
      <c r="AA6" s="495"/>
      <c r="AB6" s="49" t="s">
        <v>0</v>
      </c>
      <c r="AC6" s="33"/>
    </row>
    <row r="7" spans="1:29" ht="24" x14ac:dyDescent="0.2">
      <c r="A7" s="26" t="s">
        <v>20</v>
      </c>
      <c r="B7" s="47" t="s">
        <v>96</v>
      </c>
      <c r="C7" s="47" t="s">
        <v>116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267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122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508" t="s">
        <v>110</v>
      </c>
      <c r="C9" s="509"/>
      <c r="D9" s="510"/>
      <c r="E9" s="127" t="s">
        <v>97</v>
      </c>
      <c r="F9" s="127" t="s">
        <v>221</v>
      </c>
      <c r="G9" s="125" t="s">
        <v>273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9" customFormat="1" ht="216.75" customHeight="1" x14ac:dyDescent="0.2">
      <c r="A10" s="265" t="s">
        <v>83</v>
      </c>
      <c r="B10" s="283" t="s">
        <v>107</v>
      </c>
      <c r="C10" s="283" t="s">
        <v>115</v>
      </c>
      <c r="D10" s="268" t="s">
        <v>94</v>
      </c>
      <c r="E10" s="269" t="s">
        <v>108</v>
      </c>
      <c r="F10" s="269" t="s">
        <v>227</v>
      </c>
      <c r="G10" s="366">
        <v>42278</v>
      </c>
      <c r="H10" s="271" t="s">
        <v>198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9">
        <f>(K10+N10)/I10*30.4</f>
        <v>40517.119999999995</v>
      </c>
      <c r="P10" s="319">
        <f>VLOOKUP(O10,Tarifa,1)</f>
        <v>31236.5</v>
      </c>
      <c r="Q10" s="319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72">
        <f>S10+T10</f>
        <v>7186.9218239999991</v>
      </c>
      <c r="V10" s="372">
        <f>VLOOKUP(O10,Credito,2)</f>
        <v>0</v>
      </c>
      <c r="W10" s="372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8"/>
    </row>
    <row r="11" spans="1:29" s="339" customFormat="1" ht="216.75" customHeight="1" x14ac:dyDescent="0.2">
      <c r="A11" s="265" t="s">
        <v>85</v>
      </c>
      <c r="B11" s="283" t="s">
        <v>100</v>
      </c>
      <c r="C11" s="283" t="s">
        <v>115</v>
      </c>
      <c r="D11" s="268" t="s">
        <v>72</v>
      </c>
      <c r="E11" s="269" t="s">
        <v>109</v>
      </c>
      <c r="F11" s="269" t="s">
        <v>222</v>
      </c>
      <c r="G11" s="366">
        <v>39462</v>
      </c>
      <c r="H11" s="271" t="s">
        <v>558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9">
        <f>(K11+N11)/I11*30.4</f>
        <v>27015.466666666664</v>
      </c>
      <c r="P11" s="319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8"/>
    </row>
    <row r="12" spans="1:29" s="4" customFormat="1" ht="36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44"/>
      <c r="L12" s="144"/>
      <c r="M12" s="144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29" s="4" customFormat="1" ht="60" customHeight="1" thickBot="1" x14ac:dyDescent="0.35">
      <c r="A13" s="463" t="s">
        <v>44</v>
      </c>
      <c r="B13" s="464"/>
      <c r="C13" s="464"/>
      <c r="D13" s="464"/>
      <c r="E13" s="464"/>
      <c r="F13" s="464"/>
      <c r="G13" s="464"/>
      <c r="H13" s="464"/>
      <c r="I13" s="464"/>
      <c r="J13" s="465"/>
      <c r="K13" s="208">
        <f t="shared" ref="K13:AA13" si="0">SUM(K10:K12)</f>
        <v>33322</v>
      </c>
      <c r="L13" s="208">
        <f t="shared" si="0"/>
        <v>0</v>
      </c>
      <c r="M13" s="208">
        <f t="shared" si="0"/>
        <v>33322</v>
      </c>
      <c r="N13" s="209">
        <f t="shared" si="0"/>
        <v>0</v>
      </c>
      <c r="O13" s="209">
        <f t="shared" si="0"/>
        <v>67532.586666666655</v>
      </c>
      <c r="P13" s="209">
        <f t="shared" si="0"/>
        <v>46724.22</v>
      </c>
      <c r="Q13" s="209">
        <f t="shared" si="0"/>
        <v>20808.366666666661</v>
      </c>
      <c r="R13" s="209">
        <f t="shared" si="0"/>
        <v>0.44879999999999998</v>
      </c>
      <c r="S13" s="209">
        <f t="shared" si="0"/>
        <v>4645.1285119999984</v>
      </c>
      <c r="T13" s="209">
        <f t="shared" si="0"/>
        <v>6644.3</v>
      </c>
      <c r="U13" s="209">
        <f t="shared" si="0"/>
        <v>11289.428511999999</v>
      </c>
      <c r="V13" s="209">
        <f t="shared" si="0"/>
        <v>0</v>
      </c>
      <c r="W13" s="209">
        <f t="shared" si="0"/>
        <v>5570.44</v>
      </c>
      <c r="X13" s="208">
        <f t="shared" si="0"/>
        <v>0</v>
      </c>
      <c r="Y13" s="208">
        <f t="shared" si="0"/>
        <v>5570.44</v>
      </c>
      <c r="Z13" s="208">
        <f t="shared" si="0"/>
        <v>0</v>
      </c>
      <c r="AA13" s="208">
        <f t="shared" si="0"/>
        <v>5570.44</v>
      </c>
      <c r="AB13" s="208">
        <f>SUM(AB10:AB11)</f>
        <v>27751.559999999998</v>
      </c>
    </row>
    <row r="14" spans="1:29" ht="35.1" customHeight="1" thickTop="1" x14ac:dyDescent="0.2"/>
    <row r="15" spans="1:29" ht="35.1" customHeight="1" x14ac:dyDescent="0.2"/>
    <row r="16" spans="1:29" ht="35.1" customHeight="1" x14ac:dyDescent="0.2"/>
    <row r="17" spans="4:41" ht="35.1" customHeight="1" x14ac:dyDescent="0.2"/>
    <row r="20" spans="4:41" x14ac:dyDescent="0.2">
      <c r="AC20" s="43"/>
    </row>
    <row r="22" spans="4:41" ht="18" x14ac:dyDescent="0.25"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4:41" ht="18" x14ac:dyDescent="0.25">
      <c r="D23" s="213" t="s">
        <v>478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213" t="s">
        <v>146</v>
      </c>
      <c r="Z23" s="213"/>
      <c r="AA23" s="213"/>
      <c r="AB23" s="213"/>
      <c r="AC23" s="108"/>
    </row>
    <row r="24" spans="4:41" ht="18" x14ac:dyDescent="0.25">
      <c r="D24" s="213" t="s">
        <v>496</v>
      </c>
      <c r="E24" s="213"/>
      <c r="F24" s="213"/>
      <c r="G24" s="213"/>
      <c r="H24" s="213"/>
      <c r="I24" s="213"/>
      <c r="J24" s="213"/>
      <c r="K24" s="213"/>
      <c r="L24" s="213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249</v>
      </c>
      <c r="Z24" s="213"/>
      <c r="AA24" s="213"/>
      <c r="AB24" s="213"/>
      <c r="AC24" s="213"/>
      <c r="AD24" s="42"/>
      <c r="AE24" s="42"/>
      <c r="AF24" s="42"/>
      <c r="AG24" s="42"/>
      <c r="AH24" s="42"/>
      <c r="AI24" s="42"/>
      <c r="AJ24" s="42"/>
      <c r="AK24" s="42"/>
      <c r="AN24" s="42"/>
      <c r="AO24" s="42"/>
    </row>
    <row r="25" spans="4:41" ht="18" x14ac:dyDescent="0.25"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</sheetData>
  <mergeCells count="8">
    <mergeCell ref="A13:J13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H10" sqref="H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77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30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30" ht="18" x14ac:dyDescent="0.25">
      <c r="A3" s="511" t="str">
        <f>PRESIDENCIA!A3</f>
        <v>SUELDO  DEL 01 AL 15 DE SEPTIEMBRE DE 2025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78" t="s">
        <v>1</v>
      </c>
      <c r="L5" s="479"/>
      <c r="M5" s="480"/>
      <c r="N5" s="24" t="s">
        <v>25</v>
      </c>
      <c r="O5" s="25"/>
      <c r="P5" s="481" t="s">
        <v>8</v>
      </c>
      <c r="Q5" s="482"/>
      <c r="R5" s="482"/>
      <c r="S5" s="482"/>
      <c r="T5" s="482"/>
      <c r="U5" s="483"/>
      <c r="V5" s="24" t="s">
        <v>29</v>
      </c>
      <c r="W5" s="24" t="s">
        <v>9</v>
      </c>
      <c r="X5" s="23" t="s">
        <v>52</v>
      </c>
      <c r="Y5" s="484" t="s">
        <v>2</v>
      </c>
      <c r="Z5" s="485"/>
      <c r="AA5" s="486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96</v>
      </c>
      <c r="C6" s="45" t="s">
        <v>116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267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97</v>
      </c>
      <c r="F8" s="37" t="s">
        <v>221</v>
      </c>
      <c r="G8" s="196" t="s">
        <v>273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3" customFormat="1" ht="230.25" customHeight="1" x14ac:dyDescent="0.2">
      <c r="A9" s="265" t="s">
        <v>83</v>
      </c>
      <c r="B9" s="289" t="s">
        <v>463</v>
      </c>
      <c r="C9" s="283" t="s">
        <v>115</v>
      </c>
      <c r="D9" s="268" t="s">
        <v>437</v>
      </c>
      <c r="E9" s="269" t="s">
        <v>464</v>
      </c>
      <c r="F9" s="367" t="s">
        <v>465</v>
      </c>
      <c r="G9" s="368">
        <v>45566</v>
      </c>
      <c r="H9" s="269" t="s">
        <v>74</v>
      </c>
      <c r="I9" s="287">
        <v>15</v>
      </c>
      <c r="J9" s="369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9">
        <f>(K9+N9)/I9*30.4</f>
        <v>19028.373333333329</v>
      </c>
      <c r="P9" s="319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70"/>
    </row>
    <row r="10" spans="1:30" s="323" customFormat="1" ht="230.25" customHeight="1" x14ac:dyDescent="0.2">
      <c r="A10" s="265" t="s">
        <v>84</v>
      </c>
      <c r="B10" s="289" t="s">
        <v>461</v>
      </c>
      <c r="C10" s="283" t="s">
        <v>115</v>
      </c>
      <c r="D10" s="268" t="s">
        <v>438</v>
      </c>
      <c r="E10" s="269" t="s">
        <v>443</v>
      </c>
      <c r="F10" s="269" t="s">
        <v>444</v>
      </c>
      <c r="G10" s="368">
        <v>45566</v>
      </c>
      <c r="H10" s="269" t="s">
        <v>74</v>
      </c>
      <c r="I10" s="287">
        <v>15</v>
      </c>
      <c r="J10" s="369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9">
        <f>(K10+N10)/I10*30.4</f>
        <v>19028.373333333329</v>
      </c>
      <c r="P10" s="319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70"/>
    </row>
    <row r="11" spans="1:30" s="323" customFormat="1" ht="230.25" customHeight="1" x14ac:dyDescent="0.2">
      <c r="A11" s="265" t="s">
        <v>85</v>
      </c>
      <c r="B11" s="289" t="s">
        <v>462</v>
      </c>
      <c r="C11" s="283" t="s">
        <v>115</v>
      </c>
      <c r="D11" s="268" t="s">
        <v>459</v>
      </c>
      <c r="E11" s="269" t="s">
        <v>474</v>
      </c>
      <c r="F11" s="269" t="s">
        <v>468</v>
      </c>
      <c r="G11" s="368">
        <v>45566</v>
      </c>
      <c r="H11" s="269" t="s">
        <v>74</v>
      </c>
      <c r="I11" s="287">
        <v>15</v>
      </c>
      <c r="J11" s="369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9">
        <f>(K11+N11)/I11*30.4</f>
        <v>19028.373333333329</v>
      </c>
      <c r="P11" s="319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71"/>
    </row>
    <row r="12" spans="1:30" s="323" customFormat="1" ht="230.25" customHeight="1" x14ac:dyDescent="0.2">
      <c r="A12" s="265" t="s">
        <v>86</v>
      </c>
      <c r="B12" s="289" t="s">
        <v>460</v>
      </c>
      <c r="C12" s="283" t="s">
        <v>115</v>
      </c>
      <c r="D12" s="268" t="s">
        <v>439</v>
      </c>
      <c r="E12" s="269" t="s">
        <v>441</v>
      </c>
      <c r="F12" s="269" t="s">
        <v>442</v>
      </c>
      <c r="G12" s="368">
        <v>45566</v>
      </c>
      <c r="H12" s="269" t="s">
        <v>74</v>
      </c>
      <c r="I12" s="287">
        <v>15</v>
      </c>
      <c r="J12" s="369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9">
        <f>(K12+N12)/I12*30.4</f>
        <v>19028.373333333329</v>
      </c>
      <c r="P12" s="319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70"/>
    </row>
    <row r="13" spans="1:30" s="323" customFormat="1" ht="230.25" customHeight="1" x14ac:dyDescent="0.2">
      <c r="A13" s="265" t="s">
        <v>87</v>
      </c>
      <c r="B13" s="289" t="s">
        <v>466</v>
      </c>
      <c r="C13" s="283" t="s">
        <v>115</v>
      </c>
      <c r="D13" s="290" t="s">
        <v>440</v>
      </c>
      <c r="E13" s="291" t="s">
        <v>369</v>
      </c>
      <c r="F13" s="293" t="s">
        <v>370</v>
      </c>
      <c r="G13" s="368">
        <v>45566</v>
      </c>
      <c r="H13" s="291" t="s">
        <v>74</v>
      </c>
      <c r="I13" s="287">
        <v>15</v>
      </c>
      <c r="J13" s="369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9">
        <f>(K13+N13)/I13*30.4</f>
        <v>19028.373333333329</v>
      </c>
      <c r="P13" s="319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70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77" t="s">
        <v>77</v>
      </c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</row>
    <row r="17" spans="1:31" ht="23.25" customHeight="1" x14ac:dyDescent="0.25">
      <c r="A17" s="143"/>
      <c r="B17" s="477" t="s">
        <v>64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</row>
    <row r="18" spans="1:31" ht="23.25" customHeight="1" x14ac:dyDescent="0.25">
      <c r="A18" s="143"/>
      <c r="B18" s="467" t="str">
        <f>PRESIDENCIA!A3</f>
        <v>SUELDO  DEL 01 AL 15 DE SEPTIEMBRE DE 2025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23" customFormat="1" ht="216.75" customHeight="1" x14ac:dyDescent="0.2">
      <c r="A20" s="265" t="s">
        <v>88</v>
      </c>
      <c r="B20" s="289" t="s">
        <v>449</v>
      </c>
      <c r="C20" s="283" t="s">
        <v>115</v>
      </c>
      <c r="D20" s="268" t="s">
        <v>450</v>
      </c>
      <c r="E20" s="269" t="s">
        <v>457</v>
      </c>
      <c r="F20" s="269" t="s">
        <v>458</v>
      </c>
      <c r="G20" s="368">
        <v>45566</v>
      </c>
      <c r="H20" s="269" t="s">
        <v>74</v>
      </c>
      <c r="I20" s="287">
        <v>15</v>
      </c>
      <c r="J20" s="369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9">
        <f>(K20+N20)/I20*30.4</f>
        <v>19028.373333333329</v>
      </c>
      <c r="P20" s="319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70"/>
    </row>
    <row r="21" spans="1:31" s="323" customFormat="1" ht="216.75" customHeight="1" x14ac:dyDescent="0.2">
      <c r="A21" s="265" t="s">
        <v>89</v>
      </c>
      <c r="B21" s="289" t="s">
        <v>446</v>
      </c>
      <c r="C21" s="283" t="s">
        <v>115</v>
      </c>
      <c r="D21" s="268" t="s">
        <v>445</v>
      </c>
      <c r="E21" s="269" t="s">
        <v>447</v>
      </c>
      <c r="F21" s="269" t="s">
        <v>448</v>
      </c>
      <c r="G21" s="368">
        <v>45566</v>
      </c>
      <c r="H21" s="269" t="s">
        <v>74</v>
      </c>
      <c r="I21" s="287">
        <v>15</v>
      </c>
      <c r="J21" s="369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9">
        <f>(K21+N21)/I21*30.4</f>
        <v>19028.373333333329</v>
      </c>
      <c r="P21" s="319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70"/>
    </row>
    <row r="22" spans="1:31" s="323" customFormat="1" ht="216.75" customHeight="1" x14ac:dyDescent="0.2">
      <c r="A22" s="265" t="s">
        <v>90</v>
      </c>
      <c r="B22" s="289" t="s">
        <v>469</v>
      </c>
      <c r="C22" s="283" t="s">
        <v>115</v>
      </c>
      <c r="D22" s="268" t="s">
        <v>455</v>
      </c>
      <c r="E22" s="269" t="s">
        <v>505</v>
      </c>
      <c r="F22" s="269" t="s">
        <v>471</v>
      </c>
      <c r="G22" s="368">
        <v>45566</v>
      </c>
      <c r="H22" s="269" t="s">
        <v>74</v>
      </c>
      <c r="I22" s="287">
        <v>15</v>
      </c>
      <c r="J22" s="369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9">
        <f>(K22+N22)/I22*30.4</f>
        <v>19028.373333333329</v>
      </c>
      <c r="P22" s="319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70"/>
    </row>
    <row r="23" spans="1:31" s="323" customFormat="1" ht="216.75" customHeight="1" x14ac:dyDescent="0.2">
      <c r="A23" s="265" t="s">
        <v>91</v>
      </c>
      <c r="B23" s="289" t="s">
        <v>470</v>
      </c>
      <c r="C23" s="283" t="s">
        <v>115</v>
      </c>
      <c r="D23" s="268" t="s">
        <v>456</v>
      </c>
      <c r="E23" s="269" t="s">
        <v>472</v>
      </c>
      <c r="F23" s="269" t="s">
        <v>473</v>
      </c>
      <c r="G23" s="368">
        <v>45566</v>
      </c>
      <c r="H23" s="269" t="s">
        <v>74</v>
      </c>
      <c r="I23" s="287">
        <v>15</v>
      </c>
      <c r="J23" s="369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9">
        <f>(K23+N23)/I23*30.4</f>
        <v>19028.373333333329</v>
      </c>
      <c r="P23" s="319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70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63" t="s">
        <v>44</v>
      </c>
      <c r="B25" s="464"/>
      <c r="C25" s="464"/>
      <c r="D25" s="464"/>
      <c r="E25" s="464"/>
      <c r="F25" s="464"/>
      <c r="G25" s="464"/>
      <c r="H25" s="464"/>
      <c r="I25" s="464"/>
      <c r="J25" s="465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478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147</v>
      </c>
      <c r="AA40" s="91"/>
      <c r="AB40" s="91"/>
    </row>
    <row r="41" spans="4:42" ht="15" x14ac:dyDescent="0.25">
      <c r="D41" s="94" t="s">
        <v>496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216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77" t="s">
        <v>77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</row>
    <row r="2" spans="1:29" ht="18" x14ac:dyDescent="0.25">
      <c r="A2" s="477" t="s">
        <v>64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</row>
    <row r="3" spans="1:29" ht="19.5" x14ac:dyDescent="0.25">
      <c r="A3" s="467" t="str">
        <f>PRESIDENCIA!A3</f>
        <v>SUELDO  DEL 01 AL 15 DE SEPTIEMBRE DE 2025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78" t="s">
        <v>1</v>
      </c>
      <c r="K5" s="479"/>
      <c r="L5" s="480"/>
      <c r="M5" s="24" t="s">
        <v>25</v>
      </c>
      <c r="N5" s="25"/>
      <c r="O5" s="481" t="s">
        <v>8</v>
      </c>
      <c r="P5" s="482"/>
      <c r="Q5" s="482"/>
      <c r="R5" s="482"/>
      <c r="S5" s="482"/>
      <c r="T5" s="483"/>
      <c r="U5" s="24" t="s">
        <v>29</v>
      </c>
      <c r="V5" s="24" t="s">
        <v>9</v>
      </c>
      <c r="W5" s="23" t="s">
        <v>52</v>
      </c>
      <c r="X5" s="484" t="s">
        <v>2</v>
      </c>
      <c r="Y5" s="485"/>
      <c r="Z5" s="486"/>
      <c r="AA5" s="23" t="s">
        <v>0</v>
      </c>
      <c r="AB5" s="33"/>
    </row>
    <row r="6" spans="1:29" ht="22.5" x14ac:dyDescent="0.2">
      <c r="A6" s="45" t="s">
        <v>96</v>
      </c>
      <c r="B6" s="45" t="s">
        <v>116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267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97</v>
      </c>
      <c r="E8" s="238" t="s">
        <v>221</v>
      </c>
      <c r="F8" s="239" t="s">
        <v>273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3" customFormat="1" ht="222" customHeight="1" x14ac:dyDescent="0.2">
      <c r="A9" s="289" t="s">
        <v>475</v>
      </c>
      <c r="B9" s="283" t="s">
        <v>115</v>
      </c>
      <c r="C9" s="268" t="s">
        <v>431</v>
      </c>
      <c r="D9" s="269" t="s">
        <v>432</v>
      </c>
      <c r="E9" s="373" t="s">
        <v>467</v>
      </c>
      <c r="F9" s="366">
        <v>45566</v>
      </c>
      <c r="G9" s="271" t="s">
        <v>219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9">
        <f>(J9+M9)/H9*30.4</f>
        <v>40517.119999999995</v>
      </c>
      <c r="O9" s="319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74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64"/>
      <c r="B11" s="464"/>
      <c r="C11" s="464"/>
      <c r="D11" s="464"/>
      <c r="E11" s="464"/>
      <c r="F11" s="464"/>
      <c r="G11" s="464"/>
      <c r="H11" s="464"/>
      <c r="I11" s="465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478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148</v>
      </c>
      <c r="Y23" s="91"/>
      <c r="Z23" s="91"/>
      <c r="AA23" s="91"/>
      <c r="AB23" s="91"/>
    </row>
    <row r="24" spans="3:28" ht="15" x14ac:dyDescent="0.25">
      <c r="C24" s="512" t="s">
        <v>496</v>
      </c>
      <c r="D24" s="513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212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2025-10-02T19:08:18Z</cp:lastPrinted>
  <dcterms:created xsi:type="dcterms:W3CDTF">2000-05-05T04:08:27Z</dcterms:created>
  <dcterms:modified xsi:type="dcterms:W3CDTF">2025-10-02T19:08:20Z</dcterms:modified>
</cp:coreProperties>
</file>