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D:\NOMINAS ENE-DIC 2025\"/>
    </mc:Choice>
  </mc:AlternateContent>
  <xr:revisionPtr revIDLastSave="0" documentId="13_ncr:1_{67D3A88D-D0A5-44FA-B00C-3F90B7EDA415}" xr6:coauthVersionLast="47" xr6:coauthVersionMax="47" xr10:uidLastSave="{00000000-0000-0000-0000-000000000000}"/>
  <bookViews>
    <workbookView xWindow="-120" yWindow="-120" windowWidth="29040" windowHeight="15720" tabRatio="772" firstSheet="1" activeTab="10" xr2:uid="{00000000-000D-0000-FFFF-FFFF00000000}"/>
  </bookViews>
  <sheets>
    <sheet name="tarifa" sheetId="2" state="hidden" r:id="rId1"/>
    <sheet name="PRESIDENCIA" sheetId="119" r:id="rId2"/>
    <sheet name="CONTRALORIA " sheetId="134" r:id="rId3"/>
    <sheet name="OBRAS PUBLICAS" sheetId="120" r:id="rId4"/>
    <sheet name="SERV.PBCOS" sheetId="121" r:id="rId5"/>
    <sheet name="PROGRAMAS" sheetId="123" r:id="rId6"/>
    <sheet name="HDA.MPAL" sheetId="118" r:id="rId7"/>
    <sheet name="REGIDORES 2" sheetId="131" r:id="rId8"/>
    <sheet name="SINDICO" sheetId="136" r:id="rId9"/>
    <sheet name="CHOFERES" sheetId="132" r:id="rId10"/>
    <sheet name="SEGURIDAD " sheetId="135" r:id="rId11"/>
    <sheet name="SERV.MEDICOS" sheetId="133" r:id="rId12"/>
  </sheets>
  <definedNames>
    <definedName name="_xlnm.Print_Area" localSheetId="2">'CONTRALORIA '!$1:$29</definedName>
    <definedName name="_xlnm.Print_Area" localSheetId="8">SINDICO!$1:$29</definedName>
    <definedName name="Credito">tarifa!$F$13:$G$23</definedName>
    <definedName name="Credito1">tarifa!$F$38:$G$48</definedName>
    <definedName name="SMG">tarifa!$I$3</definedName>
    <definedName name="Subsidio">tarifa!$F$13:$G$23</definedName>
    <definedName name="Tarifa">tarifa!$B$13:$D$23</definedName>
    <definedName name="Tarifa1">tarifa!$B$41:$D$51</definedName>
    <definedName name="_xlnm.Print_Titles" localSheetId="1">PRESIDENCIA!$1:$7</definedName>
    <definedName name="UMA">tarifa!$I$8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B55" i="123" l="1"/>
  <c r="AA55" i="123"/>
  <c r="Z55" i="123"/>
  <c r="Y55" i="123"/>
  <c r="X55" i="123"/>
  <c r="M55" i="123"/>
  <c r="L55" i="123"/>
  <c r="K55" i="123"/>
  <c r="J49" i="123"/>
  <c r="M49" i="123"/>
  <c r="N49" i="123"/>
  <c r="O49" i="123" s="1"/>
  <c r="N43" i="123"/>
  <c r="O43" i="123" s="1"/>
  <c r="M43" i="123"/>
  <c r="J43" i="123"/>
  <c r="N42" i="123"/>
  <c r="O42" i="123" s="1"/>
  <c r="M42" i="123"/>
  <c r="J42" i="123"/>
  <c r="N30" i="123"/>
  <c r="O30" i="123" s="1"/>
  <c r="M30" i="123"/>
  <c r="M29" i="123" s="1"/>
  <c r="J30" i="123"/>
  <c r="Z29" i="123"/>
  <c r="L29" i="123"/>
  <c r="K29" i="123"/>
  <c r="N25" i="121"/>
  <c r="O25" i="121" s="1"/>
  <c r="M25" i="121"/>
  <c r="J25" i="121"/>
  <c r="P49" i="123" l="1"/>
  <c r="Q49" i="123" s="1"/>
  <c r="S49" i="123" s="1"/>
  <c r="R49" i="123"/>
  <c r="V49" i="123"/>
  <c r="T49" i="123"/>
  <c r="V42" i="123"/>
  <c r="T42" i="123"/>
  <c r="R42" i="123"/>
  <c r="P42" i="123"/>
  <c r="Q42" i="123" s="1"/>
  <c r="V43" i="123"/>
  <c r="T43" i="123"/>
  <c r="R43" i="123"/>
  <c r="P43" i="123"/>
  <c r="Q43" i="123" s="1"/>
  <c r="S43" i="123" s="1"/>
  <c r="U43" i="123" s="1"/>
  <c r="W43" i="123" s="1"/>
  <c r="T30" i="123"/>
  <c r="R30" i="123"/>
  <c r="P30" i="123"/>
  <c r="Q30" i="123" s="1"/>
  <c r="S30" i="123" s="1"/>
  <c r="V30" i="123"/>
  <c r="V25" i="121"/>
  <c r="T25" i="121"/>
  <c r="R25" i="121"/>
  <c r="P25" i="121"/>
  <c r="Q25" i="121" s="1"/>
  <c r="S25" i="121" s="1"/>
  <c r="U25" i="121" s="1"/>
  <c r="W25" i="121" s="1"/>
  <c r="U30" i="123" l="1"/>
  <c r="U49" i="123"/>
  <c r="W49" i="123" s="1"/>
  <c r="S42" i="123"/>
  <c r="U42" i="123" s="1"/>
  <c r="W42" i="123" s="1"/>
  <c r="Y42" i="123"/>
  <c r="AA42" i="123" s="1"/>
  <c r="X42" i="123"/>
  <c r="Y43" i="123"/>
  <c r="AA43" i="123" s="1"/>
  <c r="X43" i="123"/>
  <c r="W30" i="123"/>
  <c r="X30" i="123" s="1"/>
  <c r="Y25" i="121"/>
  <c r="AA25" i="121" s="1"/>
  <c r="X25" i="121"/>
  <c r="X49" i="123" l="1"/>
  <c r="Y49" i="123"/>
  <c r="AA49" i="123" s="1"/>
  <c r="AB42" i="123"/>
  <c r="AB43" i="123"/>
  <c r="Y30" i="123"/>
  <c r="Y29" i="123" s="1"/>
  <c r="X29" i="123"/>
  <c r="AB25" i="121"/>
  <c r="AB49" i="123" l="1"/>
  <c r="AA30" i="123"/>
  <c r="N52" i="123"/>
  <c r="O52" i="123" s="1"/>
  <c r="M52" i="123"/>
  <c r="J52" i="123"/>
  <c r="N50" i="123"/>
  <c r="O50" i="123" s="1"/>
  <c r="M50" i="123"/>
  <c r="J50" i="123"/>
  <c r="N51" i="123"/>
  <c r="O51" i="123" s="1"/>
  <c r="M51" i="123"/>
  <c r="J51" i="123"/>
  <c r="B47" i="123"/>
  <c r="M9" i="134"/>
  <c r="N9" i="134"/>
  <c r="O9" i="134"/>
  <c r="P9" i="134"/>
  <c r="Q9" i="134"/>
  <c r="R9" i="134"/>
  <c r="S9" i="134"/>
  <c r="T9" i="134"/>
  <c r="U9" i="134"/>
  <c r="V9" i="134"/>
  <c r="W9" i="134"/>
  <c r="X9" i="134"/>
  <c r="Y9" i="134"/>
  <c r="AA9" i="134"/>
  <c r="AB9" i="134"/>
  <c r="J9" i="134"/>
  <c r="AB8" i="134"/>
  <c r="AA8" i="134"/>
  <c r="Z8" i="134"/>
  <c r="Y8" i="134"/>
  <c r="X8" i="134"/>
  <c r="M8" i="134"/>
  <c r="L8" i="134"/>
  <c r="K8" i="134"/>
  <c r="M53" i="123"/>
  <c r="N53" i="123"/>
  <c r="O53" i="123" s="1"/>
  <c r="P53" i="123" s="1"/>
  <c r="M41" i="123"/>
  <c r="N41" i="123"/>
  <c r="O41" i="123" s="1"/>
  <c r="M38" i="123"/>
  <c r="N38" i="123"/>
  <c r="O38" i="123" s="1"/>
  <c r="M39" i="123"/>
  <c r="N39" i="123"/>
  <c r="O39" i="123" s="1"/>
  <c r="M40" i="123"/>
  <c r="N40" i="123"/>
  <c r="O40" i="123" s="1"/>
  <c r="P40" i="123" s="1"/>
  <c r="Z37" i="123"/>
  <c r="L37" i="123"/>
  <c r="K37" i="123"/>
  <c r="J41" i="123"/>
  <c r="M26" i="120"/>
  <c r="N26" i="120"/>
  <c r="O26" i="120" s="1"/>
  <c r="J26" i="120"/>
  <c r="M25" i="120"/>
  <c r="N25" i="120"/>
  <c r="O25" i="120"/>
  <c r="P25" i="120"/>
  <c r="Q25" i="120"/>
  <c r="R25" i="120"/>
  <c r="S25" i="120"/>
  <c r="T25" i="120"/>
  <c r="U25" i="120"/>
  <c r="V25" i="120"/>
  <c r="W25" i="120"/>
  <c r="X25" i="120"/>
  <c r="Y25" i="120"/>
  <c r="AA25" i="120"/>
  <c r="AB25" i="120"/>
  <c r="J25" i="120"/>
  <c r="M24" i="120"/>
  <c r="N24" i="120"/>
  <c r="O24" i="120"/>
  <c r="P24" i="120"/>
  <c r="Q24" i="120"/>
  <c r="R24" i="120"/>
  <c r="S24" i="120"/>
  <c r="T24" i="120"/>
  <c r="U24" i="120"/>
  <c r="V24" i="120"/>
  <c r="W24" i="120"/>
  <c r="X24" i="120"/>
  <c r="Y24" i="120"/>
  <c r="AA24" i="120"/>
  <c r="AB24" i="120"/>
  <c r="J24" i="120"/>
  <c r="M23" i="120"/>
  <c r="N23" i="120"/>
  <c r="O23" i="120"/>
  <c r="T23" i="120" s="1"/>
  <c r="P23" i="120"/>
  <c r="J23" i="120"/>
  <c r="M22" i="120"/>
  <c r="N22" i="120"/>
  <c r="O22" i="120"/>
  <c r="P22" i="120"/>
  <c r="Q22" i="120"/>
  <c r="R22" i="120"/>
  <c r="S22" i="120"/>
  <c r="T22" i="120"/>
  <c r="U22" i="120"/>
  <c r="V22" i="120"/>
  <c r="W22" i="120"/>
  <c r="X22" i="120"/>
  <c r="Y22" i="120"/>
  <c r="AA22" i="120"/>
  <c r="AB22" i="120"/>
  <c r="J22" i="120"/>
  <c r="M21" i="120"/>
  <c r="N21" i="120"/>
  <c r="O21" i="120"/>
  <c r="P21" i="120"/>
  <c r="Q21" i="120"/>
  <c r="R21" i="120"/>
  <c r="S21" i="120"/>
  <c r="T21" i="120"/>
  <c r="U21" i="120"/>
  <c r="V21" i="120"/>
  <c r="W21" i="120"/>
  <c r="X21" i="120"/>
  <c r="Y21" i="120"/>
  <c r="AA21" i="120"/>
  <c r="AB21" i="120"/>
  <c r="J21" i="120"/>
  <c r="M14" i="120"/>
  <c r="N14" i="120"/>
  <c r="O14" i="120" s="1"/>
  <c r="P14" i="120" s="1"/>
  <c r="J14" i="120"/>
  <c r="J40" i="123"/>
  <c r="J39" i="123"/>
  <c r="N48" i="135"/>
  <c r="O48" i="135"/>
  <c r="M48" i="135"/>
  <c r="J48" i="135"/>
  <c r="N33" i="121"/>
  <c r="O33" i="121" s="1"/>
  <c r="M33" i="121"/>
  <c r="M32" i="121" s="1"/>
  <c r="J33" i="121"/>
  <c r="Z32" i="121"/>
  <c r="L32" i="121"/>
  <c r="K32" i="121"/>
  <c r="N47" i="135"/>
  <c r="O47" i="135"/>
  <c r="M47" i="135"/>
  <c r="J47" i="135"/>
  <c r="N46" i="135"/>
  <c r="O46" i="135"/>
  <c r="M46" i="135"/>
  <c r="J46" i="135"/>
  <c r="N45" i="135"/>
  <c r="O45" i="135"/>
  <c r="M45" i="135"/>
  <c r="J45" i="135"/>
  <c r="Y15" i="123"/>
  <c r="AA15" i="123" s="1"/>
  <c r="N15" i="123"/>
  <c r="O15" i="123" s="1"/>
  <c r="M15" i="123"/>
  <c r="J15" i="123"/>
  <c r="V48" i="135"/>
  <c r="T48" i="135"/>
  <c r="R48" i="135"/>
  <c r="P48" i="135"/>
  <c r="Q48" i="135"/>
  <c r="S48" i="135"/>
  <c r="V47" i="135"/>
  <c r="T47" i="135"/>
  <c r="R47" i="135"/>
  <c r="P47" i="135"/>
  <c r="Q47" i="135"/>
  <c r="V46" i="135"/>
  <c r="T46" i="135"/>
  <c r="R46" i="135"/>
  <c r="P46" i="135"/>
  <c r="Q46" i="135"/>
  <c r="S46" i="135"/>
  <c r="U46" i="135"/>
  <c r="W46" i="135"/>
  <c r="T45" i="135"/>
  <c r="R45" i="135"/>
  <c r="P45" i="135"/>
  <c r="Q45" i="135"/>
  <c r="S45" i="135"/>
  <c r="U45" i="135"/>
  <c r="W45" i="135"/>
  <c r="V45" i="135"/>
  <c r="N37" i="120"/>
  <c r="O37" i="120" s="1"/>
  <c r="M37" i="120"/>
  <c r="J37" i="120"/>
  <c r="N36" i="120"/>
  <c r="O36" i="120"/>
  <c r="M36" i="120"/>
  <c r="J36" i="120"/>
  <c r="N35" i="120"/>
  <c r="O35" i="120"/>
  <c r="M35" i="120"/>
  <c r="J35" i="120"/>
  <c r="N34" i="120"/>
  <c r="O34" i="120"/>
  <c r="M34" i="120"/>
  <c r="J34" i="120"/>
  <c r="N33" i="120"/>
  <c r="O33" i="120"/>
  <c r="M33" i="120"/>
  <c r="J33" i="120"/>
  <c r="N13" i="120"/>
  <c r="O13" i="120"/>
  <c r="M13" i="120"/>
  <c r="J13" i="120"/>
  <c r="M11" i="134"/>
  <c r="N11" i="134"/>
  <c r="O11" i="134"/>
  <c r="P11" i="134"/>
  <c r="Q11" i="134"/>
  <c r="R11" i="134"/>
  <c r="S11" i="134"/>
  <c r="T11" i="134"/>
  <c r="U11" i="134"/>
  <c r="V11" i="134"/>
  <c r="W11" i="134"/>
  <c r="X11" i="134"/>
  <c r="Y11" i="134"/>
  <c r="AA11" i="134"/>
  <c r="AB11" i="134"/>
  <c r="AB10" i="134"/>
  <c r="M13" i="134"/>
  <c r="N13" i="134"/>
  <c r="O13" i="134"/>
  <c r="P13" i="134"/>
  <c r="Q13" i="134"/>
  <c r="R13" i="134"/>
  <c r="S13" i="134"/>
  <c r="T13" i="134"/>
  <c r="U13" i="134"/>
  <c r="V13" i="134"/>
  <c r="W13" i="134"/>
  <c r="X13" i="134"/>
  <c r="Y13" i="134"/>
  <c r="AA13" i="134"/>
  <c r="AB13" i="134"/>
  <c r="AB12" i="134"/>
  <c r="AB14" i="134"/>
  <c r="AA10" i="134"/>
  <c r="AA12" i="134"/>
  <c r="AA14" i="134"/>
  <c r="Z10" i="134"/>
  <c r="Z12" i="134"/>
  <c r="Z14" i="134"/>
  <c r="Y10" i="134"/>
  <c r="Y12" i="134"/>
  <c r="Y14" i="134"/>
  <c r="X10" i="134"/>
  <c r="X12" i="134"/>
  <c r="X14" i="134"/>
  <c r="M10" i="134"/>
  <c r="M12" i="134"/>
  <c r="M14" i="134"/>
  <c r="L10" i="134"/>
  <c r="L12" i="134"/>
  <c r="L14" i="134"/>
  <c r="K10" i="134"/>
  <c r="K12" i="134"/>
  <c r="K14" i="134"/>
  <c r="U48" i="135"/>
  <c r="W48" i="135"/>
  <c r="S47" i="135"/>
  <c r="X48" i="135"/>
  <c r="Y48" i="135"/>
  <c r="AA48" i="135"/>
  <c r="U47" i="135"/>
  <c r="W47" i="135"/>
  <c r="Y47" i="135"/>
  <c r="AA47" i="135"/>
  <c r="X47" i="135"/>
  <c r="Y46" i="135"/>
  <c r="AA46" i="135"/>
  <c r="X46" i="135"/>
  <c r="X45" i="135"/>
  <c r="Y45" i="135"/>
  <c r="AA45" i="135"/>
  <c r="V33" i="120"/>
  <c r="R33" i="120"/>
  <c r="P33" i="120"/>
  <c r="Q33" i="120"/>
  <c r="T33" i="120"/>
  <c r="R34" i="120"/>
  <c r="P34" i="120"/>
  <c r="Q34" i="120"/>
  <c r="T34" i="120"/>
  <c r="V34" i="120"/>
  <c r="T35" i="120"/>
  <c r="R35" i="120"/>
  <c r="V35" i="120"/>
  <c r="P35" i="120"/>
  <c r="Q35" i="120"/>
  <c r="S35" i="120"/>
  <c r="U35" i="120"/>
  <c r="V36" i="120"/>
  <c r="T36" i="120"/>
  <c r="R36" i="120"/>
  <c r="P36" i="120"/>
  <c r="Q36" i="120"/>
  <c r="V13" i="120"/>
  <c r="T13" i="120"/>
  <c r="R13" i="120"/>
  <c r="P13" i="120"/>
  <c r="Q13" i="120"/>
  <c r="N13" i="133"/>
  <c r="O13" i="133"/>
  <c r="M13" i="133"/>
  <c r="J13" i="133"/>
  <c r="Y17" i="133"/>
  <c r="AA17" i="133"/>
  <c r="N17" i="133"/>
  <c r="O17" i="133"/>
  <c r="M17" i="133"/>
  <c r="N22" i="119"/>
  <c r="O22" i="119"/>
  <c r="M22" i="119"/>
  <c r="AB47" i="135"/>
  <c r="AB48" i="135"/>
  <c r="AB46" i="135"/>
  <c r="S36" i="120"/>
  <c r="U36" i="120"/>
  <c r="W36" i="120"/>
  <c r="X36" i="120"/>
  <c r="AB45" i="135"/>
  <c r="S13" i="120"/>
  <c r="U13" i="120"/>
  <c r="W13" i="120"/>
  <c r="S34" i="120"/>
  <c r="U34" i="120"/>
  <c r="W34" i="120"/>
  <c r="W35" i="120"/>
  <c r="S33" i="120"/>
  <c r="U33" i="120"/>
  <c r="W33" i="120"/>
  <c r="Y33" i="120"/>
  <c r="AA33" i="120"/>
  <c r="Y35" i="120"/>
  <c r="AA35" i="120"/>
  <c r="X35" i="120"/>
  <c r="Y36" i="120"/>
  <c r="AA36" i="120"/>
  <c r="V13" i="133"/>
  <c r="T13" i="133"/>
  <c r="R13" i="133"/>
  <c r="P13" i="133"/>
  <c r="Q13" i="133"/>
  <c r="V17" i="133"/>
  <c r="T17" i="133"/>
  <c r="R17" i="133"/>
  <c r="P17" i="133"/>
  <c r="Q17" i="133"/>
  <c r="R22" i="119"/>
  <c r="V22" i="119"/>
  <c r="T22" i="119"/>
  <c r="P22" i="119"/>
  <c r="Q22" i="119"/>
  <c r="X33" i="120"/>
  <c r="AB33" i="120"/>
  <c r="S22" i="119"/>
  <c r="U22" i="119"/>
  <c r="W22" i="119"/>
  <c r="Y22" i="119"/>
  <c r="AA22" i="119"/>
  <c r="X13" i="120"/>
  <c r="Y13" i="120"/>
  <c r="AA13" i="120"/>
  <c r="AB13" i="120"/>
  <c r="AB36" i="120"/>
  <c r="AB35" i="120"/>
  <c r="Y34" i="120"/>
  <c r="AA34" i="120"/>
  <c r="X34" i="120"/>
  <c r="S17" i="133"/>
  <c r="S13" i="133"/>
  <c r="U13" i="133"/>
  <c r="W13" i="133"/>
  <c r="U17" i="133"/>
  <c r="W17" i="133"/>
  <c r="X17" i="133"/>
  <c r="AB17" i="133"/>
  <c r="Y13" i="133"/>
  <c r="AA13" i="133"/>
  <c r="X13" i="133"/>
  <c r="X22" i="119"/>
  <c r="AB34" i="120"/>
  <c r="AB13" i="133"/>
  <c r="AB22" i="119"/>
  <c r="AA21" i="119"/>
  <c r="M21" i="119"/>
  <c r="Z21" i="119"/>
  <c r="X21" i="119"/>
  <c r="L21" i="119"/>
  <c r="K21" i="119"/>
  <c r="N16" i="133"/>
  <c r="O16" i="133"/>
  <c r="M16" i="133"/>
  <c r="J16" i="133"/>
  <c r="Z8" i="121"/>
  <c r="Z40" i="121" s="1"/>
  <c r="L8" i="121"/>
  <c r="L40" i="121" s="1"/>
  <c r="K8" i="121"/>
  <c r="N26" i="121"/>
  <c r="O26" i="121"/>
  <c r="V26" i="121" s="1"/>
  <c r="M26" i="121"/>
  <c r="N24" i="121"/>
  <c r="O24" i="121" s="1"/>
  <c r="M24" i="121"/>
  <c r="J24" i="121"/>
  <c r="J26" i="121"/>
  <c r="N11" i="133"/>
  <c r="O11" i="133"/>
  <c r="T11" i="133" s="1"/>
  <c r="M11" i="133"/>
  <c r="J11" i="133"/>
  <c r="N12" i="133"/>
  <c r="O12" i="133"/>
  <c r="M12" i="133"/>
  <c r="J12" i="133"/>
  <c r="J14" i="133"/>
  <c r="M14" i="133"/>
  <c r="N14" i="133"/>
  <c r="O14" i="133"/>
  <c r="R14" i="133"/>
  <c r="J15" i="133"/>
  <c r="M15" i="133"/>
  <c r="M18" i="133" s="1"/>
  <c r="N15" i="133"/>
  <c r="O15" i="133" s="1"/>
  <c r="J17" i="133"/>
  <c r="N10" i="133"/>
  <c r="O10" i="133"/>
  <c r="N9" i="133"/>
  <c r="O9" i="133"/>
  <c r="J10" i="133"/>
  <c r="J9" i="133"/>
  <c r="N49" i="135"/>
  <c r="O49" i="135"/>
  <c r="N44" i="135"/>
  <c r="O44" i="135"/>
  <c r="N43" i="135"/>
  <c r="O43" i="135"/>
  <c r="N42" i="135"/>
  <c r="O42" i="135"/>
  <c r="N33" i="135"/>
  <c r="O33" i="135"/>
  <c r="N32" i="135"/>
  <c r="O32" i="135"/>
  <c r="N31" i="135"/>
  <c r="O31" i="135"/>
  <c r="N30" i="135"/>
  <c r="O30" i="135"/>
  <c r="N29" i="135"/>
  <c r="O29" i="135"/>
  <c r="N28" i="135"/>
  <c r="O28" i="135"/>
  <c r="N27" i="135"/>
  <c r="O27" i="135"/>
  <c r="N26" i="135"/>
  <c r="O26" i="135"/>
  <c r="N25" i="135"/>
  <c r="O25" i="135"/>
  <c r="N17" i="135"/>
  <c r="O17" i="135"/>
  <c r="N16" i="135"/>
  <c r="O16" i="135"/>
  <c r="N15" i="135"/>
  <c r="O15" i="135"/>
  <c r="N14" i="135"/>
  <c r="O14" i="135"/>
  <c r="R14" i="135" s="1"/>
  <c r="N13" i="135"/>
  <c r="O13" i="135"/>
  <c r="Q13" i="135" s="1"/>
  <c r="N12" i="135"/>
  <c r="O12" i="135"/>
  <c r="T12" i="135" s="1"/>
  <c r="N11" i="135"/>
  <c r="O11" i="135"/>
  <c r="N10" i="135"/>
  <c r="O10" i="135"/>
  <c r="V10" i="135" s="1"/>
  <c r="N9" i="135"/>
  <c r="O9" i="135"/>
  <c r="T9" i="135" s="1"/>
  <c r="J49" i="135"/>
  <c r="J44" i="135"/>
  <c r="J43" i="135"/>
  <c r="J42" i="135"/>
  <c r="J33" i="135"/>
  <c r="J32" i="135"/>
  <c r="J31" i="135"/>
  <c r="J30" i="135"/>
  <c r="J29" i="135"/>
  <c r="J28" i="135"/>
  <c r="J27" i="135"/>
  <c r="J26" i="135"/>
  <c r="J25" i="135"/>
  <c r="J17" i="135"/>
  <c r="J16" i="135"/>
  <c r="J15" i="135"/>
  <c r="J14" i="135"/>
  <c r="J13" i="135"/>
  <c r="J12" i="135"/>
  <c r="J11" i="135"/>
  <c r="J10" i="135"/>
  <c r="J9" i="135"/>
  <c r="J21" i="132"/>
  <c r="J20" i="132"/>
  <c r="J13" i="132"/>
  <c r="J12" i="132"/>
  <c r="J11" i="132"/>
  <c r="J10" i="132"/>
  <c r="J9" i="132"/>
  <c r="O21" i="132"/>
  <c r="V21" i="132"/>
  <c r="N21" i="132"/>
  <c r="O20" i="132"/>
  <c r="V20" i="132"/>
  <c r="N20" i="132"/>
  <c r="O13" i="132"/>
  <c r="V13" i="132"/>
  <c r="N13" i="132"/>
  <c r="V12" i="132"/>
  <c r="T12" i="132"/>
  <c r="R12" i="132"/>
  <c r="Q12" i="132"/>
  <c r="S12" i="132"/>
  <c r="U12" i="132"/>
  <c r="W12" i="132"/>
  <c r="P12" i="132"/>
  <c r="O12" i="132"/>
  <c r="N12" i="132"/>
  <c r="O11" i="132"/>
  <c r="V11" i="132"/>
  <c r="N11" i="132"/>
  <c r="N10" i="132"/>
  <c r="O10" i="132"/>
  <c r="N9" i="132"/>
  <c r="O9" i="132"/>
  <c r="M9" i="136"/>
  <c r="N9" i="136"/>
  <c r="N23" i="131"/>
  <c r="O23" i="131"/>
  <c r="N22" i="131"/>
  <c r="O22" i="131"/>
  <c r="V22" i="131"/>
  <c r="N21" i="131"/>
  <c r="O21" i="131"/>
  <c r="V21" i="131"/>
  <c r="N20" i="131"/>
  <c r="O20" i="131"/>
  <c r="N13" i="131"/>
  <c r="O13" i="131"/>
  <c r="T13" i="131"/>
  <c r="N12" i="131"/>
  <c r="O12" i="131"/>
  <c r="N11" i="131"/>
  <c r="O11" i="131"/>
  <c r="N10" i="131"/>
  <c r="O10" i="131"/>
  <c r="V10" i="131"/>
  <c r="N9" i="131"/>
  <c r="O9" i="131"/>
  <c r="V10" i="118"/>
  <c r="O11" i="118"/>
  <c r="R11" i="118"/>
  <c r="O10" i="118"/>
  <c r="T10" i="118"/>
  <c r="J23" i="131"/>
  <c r="J22" i="131"/>
  <c r="J21" i="131"/>
  <c r="J20" i="131"/>
  <c r="J13" i="131"/>
  <c r="J12" i="131"/>
  <c r="J11" i="131"/>
  <c r="J10" i="131"/>
  <c r="J9" i="131"/>
  <c r="N12" i="118"/>
  <c r="O12" i="118"/>
  <c r="V11" i="118"/>
  <c r="T11" i="118"/>
  <c r="N11" i="118"/>
  <c r="N10" i="118"/>
  <c r="J12" i="118"/>
  <c r="J11" i="118"/>
  <c r="J10" i="118"/>
  <c r="N28" i="123"/>
  <c r="O28" i="123" s="1"/>
  <c r="R28" i="123" s="1"/>
  <c r="N26" i="123"/>
  <c r="O26" i="123" s="1"/>
  <c r="N25" i="123"/>
  <c r="O25" i="123" s="1"/>
  <c r="T25" i="123" s="1"/>
  <c r="N23" i="123"/>
  <c r="O23" i="123" s="1"/>
  <c r="P23" i="123" s="1"/>
  <c r="N13" i="123"/>
  <c r="O13" i="123" s="1"/>
  <c r="N12" i="123"/>
  <c r="O12" i="123" s="1"/>
  <c r="V12" i="123" s="1"/>
  <c r="N10" i="123"/>
  <c r="O10" i="123" s="1"/>
  <c r="Y13" i="123"/>
  <c r="AA13" i="123" s="1"/>
  <c r="N9" i="123"/>
  <c r="N8" i="123" s="1"/>
  <c r="J53" i="123"/>
  <c r="J38" i="123"/>
  <c r="J28" i="123"/>
  <c r="J26" i="123"/>
  <c r="J25" i="123"/>
  <c r="J23" i="123"/>
  <c r="J13" i="123"/>
  <c r="J12" i="123"/>
  <c r="J10" i="123"/>
  <c r="J9" i="123"/>
  <c r="N38" i="121"/>
  <c r="O38" i="121"/>
  <c r="V38" i="121" s="1"/>
  <c r="N36" i="121"/>
  <c r="O36" i="121" s="1"/>
  <c r="N35" i="121"/>
  <c r="O35" i="121" s="1"/>
  <c r="P35" i="121" s="1"/>
  <c r="J38" i="121"/>
  <c r="J36" i="121"/>
  <c r="J35" i="121"/>
  <c r="J23" i="121"/>
  <c r="J22" i="121"/>
  <c r="J21" i="121"/>
  <c r="J20" i="121"/>
  <c r="N23" i="121"/>
  <c r="O23" i="121"/>
  <c r="P23" i="121" s="1"/>
  <c r="N22" i="121"/>
  <c r="O22" i="121"/>
  <c r="N21" i="121"/>
  <c r="O21" i="121" s="1"/>
  <c r="N20" i="121"/>
  <c r="O20" i="121" s="1"/>
  <c r="N13" i="121"/>
  <c r="O13" i="121" s="1"/>
  <c r="N12" i="121"/>
  <c r="O12" i="121" s="1"/>
  <c r="N11" i="121"/>
  <c r="O11" i="121"/>
  <c r="P11" i="121" s="1"/>
  <c r="R11" i="121"/>
  <c r="N10" i="121"/>
  <c r="O10" i="121"/>
  <c r="V10" i="121" s="1"/>
  <c r="N9" i="121"/>
  <c r="O9" i="121" s="1"/>
  <c r="J13" i="121"/>
  <c r="J12" i="121"/>
  <c r="J11" i="121"/>
  <c r="J10" i="121"/>
  <c r="J9" i="121"/>
  <c r="N12" i="120"/>
  <c r="O12" i="120"/>
  <c r="V12" i="120"/>
  <c r="N11" i="120"/>
  <c r="O11" i="120"/>
  <c r="N10" i="120"/>
  <c r="O10" i="120"/>
  <c r="N9" i="120"/>
  <c r="O9" i="120"/>
  <c r="J12" i="120"/>
  <c r="J11" i="120"/>
  <c r="J10" i="120"/>
  <c r="J9" i="120"/>
  <c r="J11" i="134"/>
  <c r="J13" i="134"/>
  <c r="N24" i="119"/>
  <c r="O24" i="119"/>
  <c r="N20" i="119"/>
  <c r="O20" i="119"/>
  <c r="N19" i="119"/>
  <c r="O19" i="119"/>
  <c r="N13" i="119"/>
  <c r="O13" i="119"/>
  <c r="N11" i="119"/>
  <c r="O11" i="119"/>
  <c r="N10" i="119"/>
  <c r="O10" i="119"/>
  <c r="N9" i="119"/>
  <c r="O9" i="119"/>
  <c r="T43" i="135"/>
  <c r="R43" i="135"/>
  <c r="P43" i="135"/>
  <c r="Q43" i="135"/>
  <c r="V43" i="135"/>
  <c r="V30" i="135"/>
  <c r="P30" i="135"/>
  <c r="Q30" i="135"/>
  <c r="R30" i="135"/>
  <c r="T30" i="135"/>
  <c r="R42" i="135"/>
  <c r="T42" i="135"/>
  <c r="V42" i="135"/>
  <c r="P14" i="133"/>
  <c r="Q14" i="133"/>
  <c r="S14" i="133"/>
  <c r="AB21" i="119"/>
  <c r="Y21" i="119"/>
  <c r="V16" i="133"/>
  <c r="T16" i="133"/>
  <c r="R16" i="133"/>
  <c r="P16" i="133"/>
  <c r="Q16" i="133"/>
  <c r="V14" i="133"/>
  <c r="T14" i="133"/>
  <c r="R26" i="121"/>
  <c r="V10" i="120"/>
  <c r="R10" i="120"/>
  <c r="T10" i="120"/>
  <c r="P10" i="120"/>
  <c r="Q10" i="120"/>
  <c r="T11" i="120"/>
  <c r="V11" i="120"/>
  <c r="P9" i="119"/>
  <c r="Q9" i="119"/>
  <c r="V9" i="119"/>
  <c r="T9" i="119"/>
  <c r="R9" i="119"/>
  <c r="V20" i="131"/>
  <c r="T20" i="131"/>
  <c r="R20" i="131"/>
  <c r="P20" i="131"/>
  <c r="Q20" i="131"/>
  <c r="V11" i="133"/>
  <c r="V12" i="133"/>
  <c r="T12" i="133"/>
  <c r="R12" i="133"/>
  <c r="P12" i="133"/>
  <c r="Q12" i="133"/>
  <c r="T11" i="135"/>
  <c r="R11" i="135"/>
  <c r="P11" i="135"/>
  <c r="Q11" i="135"/>
  <c r="V11" i="135"/>
  <c r="V9" i="132"/>
  <c r="T9" i="132"/>
  <c r="R9" i="132"/>
  <c r="P9" i="132"/>
  <c r="Q9" i="132"/>
  <c r="U11" i="136"/>
  <c r="O11" i="136"/>
  <c r="S11" i="136"/>
  <c r="Q11" i="136"/>
  <c r="N11" i="136"/>
  <c r="R10" i="119"/>
  <c r="P10" i="119"/>
  <c r="Q10" i="119"/>
  <c r="V10" i="119"/>
  <c r="T10" i="119"/>
  <c r="V11" i="119"/>
  <c r="R11" i="119"/>
  <c r="T11" i="119"/>
  <c r="P11" i="119"/>
  <c r="Q11" i="119"/>
  <c r="S11" i="119"/>
  <c r="U9" i="136"/>
  <c r="S9" i="136"/>
  <c r="Q9" i="136"/>
  <c r="O9" i="136"/>
  <c r="P9" i="136"/>
  <c r="R9" i="136"/>
  <c r="T9" i="136"/>
  <c r="V9" i="136"/>
  <c r="T13" i="119"/>
  <c r="R13" i="119"/>
  <c r="P13" i="119"/>
  <c r="Q13" i="119"/>
  <c r="V13" i="119"/>
  <c r="V15" i="135"/>
  <c r="T15" i="135"/>
  <c r="R15" i="135"/>
  <c r="P15" i="135"/>
  <c r="Q15" i="135"/>
  <c r="V25" i="135"/>
  <c r="T25" i="135"/>
  <c r="R25" i="135"/>
  <c r="P25" i="135"/>
  <c r="Q25" i="135"/>
  <c r="S25" i="135"/>
  <c r="P10" i="132"/>
  <c r="Q10" i="132"/>
  <c r="V10" i="132"/>
  <c r="T10" i="132"/>
  <c r="R10" i="132"/>
  <c r="V44" i="135"/>
  <c r="T44" i="135"/>
  <c r="R44" i="135"/>
  <c r="P44" i="135"/>
  <c r="Q44" i="135"/>
  <c r="R9" i="131"/>
  <c r="P9" i="131"/>
  <c r="Q9" i="131"/>
  <c r="S9" i="131"/>
  <c r="V9" i="131"/>
  <c r="T9" i="131"/>
  <c r="T17" i="135"/>
  <c r="V17" i="135"/>
  <c r="P17" i="135"/>
  <c r="R17" i="135"/>
  <c r="Q17" i="135"/>
  <c r="S17" i="135"/>
  <c r="U17" i="135"/>
  <c r="W17" i="135"/>
  <c r="T20" i="119"/>
  <c r="R20" i="119"/>
  <c r="P20" i="119"/>
  <c r="Q20" i="119"/>
  <c r="V20" i="119"/>
  <c r="V49" i="135"/>
  <c r="T49" i="135"/>
  <c r="R49" i="135"/>
  <c r="P49" i="135"/>
  <c r="Q49" i="135"/>
  <c r="V26" i="135"/>
  <c r="T26" i="135"/>
  <c r="P26" i="135"/>
  <c r="Q26" i="135"/>
  <c r="R26" i="135"/>
  <c r="V9" i="133"/>
  <c r="T9" i="133"/>
  <c r="R9" i="133"/>
  <c r="P9" i="133"/>
  <c r="Q9" i="133"/>
  <c r="S9" i="133"/>
  <c r="V29" i="135"/>
  <c r="T29" i="135"/>
  <c r="R29" i="135"/>
  <c r="P29" i="135"/>
  <c r="Q29" i="135"/>
  <c r="S29" i="135"/>
  <c r="U29" i="135"/>
  <c r="W29" i="135"/>
  <c r="V31" i="135"/>
  <c r="T31" i="135"/>
  <c r="R31" i="135"/>
  <c r="P31" i="135"/>
  <c r="Q31" i="135"/>
  <c r="V16" i="135"/>
  <c r="R16" i="135"/>
  <c r="P16" i="135"/>
  <c r="Q16" i="135"/>
  <c r="T16" i="135"/>
  <c r="V11" i="131"/>
  <c r="P11" i="131"/>
  <c r="Q11" i="131"/>
  <c r="T11" i="131"/>
  <c r="R11" i="131"/>
  <c r="V28" i="135"/>
  <c r="T28" i="135"/>
  <c r="R28" i="135"/>
  <c r="P28" i="135"/>
  <c r="Q28" i="135"/>
  <c r="S28" i="135"/>
  <c r="U28" i="135"/>
  <c r="W28" i="135"/>
  <c r="T10" i="133"/>
  <c r="R10" i="133"/>
  <c r="P10" i="133"/>
  <c r="Q10" i="133"/>
  <c r="S10" i="133"/>
  <c r="U10" i="133"/>
  <c r="V10" i="133"/>
  <c r="T12" i="118"/>
  <c r="Q12" i="118"/>
  <c r="S12" i="118"/>
  <c r="U12" i="118"/>
  <c r="W12" i="118"/>
  <c r="O14" i="118"/>
  <c r="P12" i="118"/>
  <c r="R12" i="118"/>
  <c r="V12" i="118"/>
  <c r="R32" i="135"/>
  <c r="P32" i="135"/>
  <c r="Q32" i="135"/>
  <c r="T32" i="135"/>
  <c r="V32" i="135"/>
  <c r="V24" i="119"/>
  <c r="T24" i="119"/>
  <c r="R24" i="119"/>
  <c r="P24" i="119"/>
  <c r="Q24" i="119"/>
  <c r="P12" i="131"/>
  <c r="Q12" i="131"/>
  <c r="S12" i="131"/>
  <c r="U12" i="131"/>
  <c r="V12" i="131"/>
  <c r="T12" i="131"/>
  <c r="R12" i="131"/>
  <c r="V27" i="135"/>
  <c r="T27" i="135"/>
  <c r="R27" i="135"/>
  <c r="P27" i="135"/>
  <c r="Q27" i="135"/>
  <c r="S27" i="135"/>
  <c r="U27" i="135"/>
  <c r="W27" i="135"/>
  <c r="V33" i="135"/>
  <c r="T33" i="135"/>
  <c r="R33" i="135"/>
  <c r="P33" i="135"/>
  <c r="Q33" i="135"/>
  <c r="S33" i="135"/>
  <c r="T9" i="120"/>
  <c r="R9" i="120"/>
  <c r="P9" i="120"/>
  <c r="Q9" i="120"/>
  <c r="V9" i="120"/>
  <c r="T23" i="121"/>
  <c r="V23" i="121"/>
  <c r="R23" i="121"/>
  <c r="T23" i="131"/>
  <c r="V23" i="131"/>
  <c r="R23" i="131"/>
  <c r="P23" i="131"/>
  <c r="Q23" i="131"/>
  <c r="S23" i="131"/>
  <c r="U23" i="131"/>
  <c r="W23" i="131"/>
  <c r="P21" i="131"/>
  <c r="P13" i="132"/>
  <c r="Q13" i="132"/>
  <c r="S13" i="132"/>
  <c r="U13" i="132"/>
  <c r="W13" i="132"/>
  <c r="Q21" i="131"/>
  <c r="R21" i="131"/>
  <c r="R13" i="132"/>
  <c r="P19" i="119"/>
  <c r="Q19" i="119"/>
  <c r="T21" i="131"/>
  <c r="T13" i="132"/>
  <c r="R19" i="119"/>
  <c r="P10" i="131"/>
  <c r="Q10" i="131"/>
  <c r="T19" i="119"/>
  <c r="R10" i="131"/>
  <c r="P13" i="131"/>
  <c r="Q13" i="131"/>
  <c r="P11" i="132"/>
  <c r="Q11" i="132"/>
  <c r="S11" i="132"/>
  <c r="U11" i="132"/>
  <c r="W11" i="132"/>
  <c r="V19" i="119"/>
  <c r="T10" i="131"/>
  <c r="R13" i="131"/>
  <c r="P22" i="131"/>
  <c r="Q22" i="131"/>
  <c r="R11" i="132"/>
  <c r="P20" i="132"/>
  <c r="Q20" i="132"/>
  <c r="T11" i="132"/>
  <c r="R20" i="132"/>
  <c r="V14" i="118"/>
  <c r="R22" i="131"/>
  <c r="Q10" i="118"/>
  <c r="S10" i="118"/>
  <c r="U10" i="118"/>
  <c r="W10" i="118"/>
  <c r="X10" i="118"/>
  <c r="R11" i="120"/>
  <c r="R10" i="118"/>
  <c r="R14" i="118"/>
  <c r="V13" i="131"/>
  <c r="T22" i="131"/>
  <c r="T20" i="132"/>
  <c r="T14" i="118"/>
  <c r="P11" i="120"/>
  <c r="Q11" i="120"/>
  <c r="P13" i="135"/>
  <c r="P42" i="135"/>
  <c r="Q42" i="135"/>
  <c r="P10" i="118"/>
  <c r="P11" i="118"/>
  <c r="P14" i="118"/>
  <c r="P21" i="132"/>
  <c r="Q21" i="132"/>
  <c r="S21" i="132"/>
  <c r="U21" i="132"/>
  <c r="W21" i="132"/>
  <c r="P12" i="120"/>
  <c r="Q12" i="120"/>
  <c r="R21" i="132"/>
  <c r="R12" i="120"/>
  <c r="T21" i="132"/>
  <c r="T12" i="120"/>
  <c r="O26" i="119"/>
  <c r="Z23" i="119"/>
  <c r="X23" i="119"/>
  <c r="L23" i="119"/>
  <c r="K23" i="119"/>
  <c r="M20" i="119"/>
  <c r="M19" i="119"/>
  <c r="Z18" i="119"/>
  <c r="L18" i="119"/>
  <c r="K18" i="119"/>
  <c r="B18" i="131"/>
  <c r="M28" i="123"/>
  <c r="M27" i="123" s="1"/>
  <c r="Z27" i="123"/>
  <c r="L27" i="123"/>
  <c r="K27" i="123"/>
  <c r="B35" i="123"/>
  <c r="B21" i="123"/>
  <c r="Z34" i="121"/>
  <c r="L34" i="121"/>
  <c r="K34" i="121"/>
  <c r="B30" i="121"/>
  <c r="M35" i="121"/>
  <c r="B31" i="120"/>
  <c r="B19" i="120"/>
  <c r="K38" i="120"/>
  <c r="Z50" i="135"/>
  <c r="L50" i="135"/>
  <c r="Z23" i="132"/>
  <c r="L23" i="132"/>
  <c r="Y11" i="136"/>
  <c r="K11" i="136"/>
  <c r="Z25" i="131"/>
  <c r="Z24" i="123"/>
  <c r="L24" i="123"/>
  <c r="K24" i="123"/>
  <c r="Z14" i="123"/>
  <c r="L14" i="123"/>
  <c r="K14" i="123"/>
  <c r="Z11" i="123"/>
  <c r="L11" i="123"/>
  <c r="Z8" i="123"/>
  <c r="L8" i="123"/>
  <c r="Z38" i="120"/>
  <c r="L38" i="120"/>
  <c r="M21" i="121"/>
  <c r="M10" i="121"/>
  <c r="U9" i="133"/>
  <c r="W9" i="133"/>
  <c r="S30" i="135"/>
  <c r="U30" i="135"/>
  <c r="W30" i="135"/>
  <c r="S10" i="120"/>
  <c r="S32" i="135"/>
  <c r="S16" i="135"/>
  <c r="S49" i="135"/>
  <c r="U49" i="135"/>
  <c r="W49" i="135"/>
  <c r="S43" i="135"/>
  <c r="U43" i="135"/>
  <c r="S44" i="135"/>
  <c r="U44" i="135"/>
  <c r="W44" i="135"/>
  <c r="S31" i="135"/>
  <c r="S42" i="135"/>
  <c r="U42" i="135"/>
  <c r="W42" i="135"/>
  <c r="S15" i="135"/>
  <c r="U15" i="135"/>
  <c r="W15" i="135"/>
  <c r="U32" i="135"/>
  <c r="W32" i="135"/>
  <c r="U33" i="135"/>
  <c r="W33" i="135"/>
  <c r="U31" i="135"/>
  <c r="W31" i="135"/>
  <c r="W43" i="135"/>
  <c r="U10" i="120"/>
  <c r="W10" i="120"/>
  <c r="U14" i="133"/>
  <c r="W14" i="133"/>
  <c r="X14" i="133"/>
  <c r="S12" i="133"/>
  <c r="U12" i="133"/>
  <c r="W12" i="133"/>
  <c r="Y12" i="133"/>
  <c r="AA12" i="133"/>
  <c r="S16" i="133"/>
  <c r="U16" i="133"/>
  <c r="W16" i="133"/>
  <c r="Y16" i="133"/>
  <c r="AA16" i="133"/>
  <c r="W10" i="133"/>
  <c r="S9" i="132"/>
  <c r="U9" i="132"/>
  <c r="W9" i="132"/>
  <c r="S10" i="132"/>
  <c r="U10" i="132"/>
  <c r="W10" i="132"/>
  <c r="S12" i="120"/>
  <c r="U12" i="120"/>
  <c r="W12" i="120"/>
  <c r="S11" i="120"/>
  <c r="U11" i="120"/>
  <c r="W11" i="120"/>
  <c r="S10" i="119"/>
  <c r="U10" i="119"/>
  <c r="W10" i="119"/>
  <c r="U11" i="119"/>
  <c r="W11" i="119"/>
  <c r="S13" i="119"/>
  <c r="U13" i="119"/>
  <c r="W13" i="119"/>
  <c r="T26" i="119"/>
  <c r="S9" i="119"/>
  <c r="U9" i="119"/>
  <c r="W9" i="119"/>
  <c r="S24" i="119"/>
  <c r="U24" i="119"/>
  <c r="W24" i="119"/>
  <c r="S19" i="119"/>
  <c r="U19" i="119"/>
  <c r="W19" i="119"/>
  <c r="U9" i="131"/>
  <c r="W9" i="131"/>
  <c r="S13" i="131"/>
  <c r="U13" i="131"/>
  <c r="W13" i="131"/>
  <c r="S20" i="131"/>
  <c r="U20" i="131"/>
  <c r="W20" i="131"/>
  <c r="X9" i="136"/>
  <c r="W9" i="136"/>
  <c r="S20" i="119"/>
  <c r="U20" i="119"/>
  <c r="W20" i="119"/>
  <c r="S26" i="135"/>
  <c r="U26" i="135"/>
  <c r="W26" i="135"/>
  <c r="S9" i="120"/>
  <c r="W12" i="131"/>
  <c r="S11" i="131"/>
  <c r="U11" i="131"/>
  <c r="W11" i="131"/>
  <c r="U25" i="135"/>
  <c r="W25" i="135"/>
  <c r="S21" i="131"/>
  <c r="U21" i="131"/>
  <c r="W21" i="131"/>
  <c r="U16" i="135"/>
  <c r="W16" i="135"/>
  <c r="Q11" i="118"/>
  <c r="Q14" i="118"/>
  <c r="S10" i="131"/>
  <c r="U10" i="131"/>
  <c r="W10" i="131"/>
  <c r="Y10" i="118"/>
  <c r="AA10" i="118"/>
  <c r="S11" i="135"/>
  <c r="U11" i="135"/>
  <c r="W11" i="135"/>
  <c r="S22" i="131"/>
  <c r="U22" i="131"/>
  <c r="W22" i="131"/>
  <c r="S20" i="132"/>
  <c r="U20" i="132"/>
  <c r="W20" i="132"/>
  <c r="S11" i="118"/>
  <c r="P26" i="119"/>
  <c r="R26" i="119"/>
  <c r="V26" i="119"/>
  <c r="M18" i="119"/>
  <c r="X16" i="133"/>
  <c r="Y14" i="133"/>
  <c r="AA14" i="133"/>
  <c r="AB14" i="133"/>
  <c r="X12" i="133"/>
  <c r="AB16" i="133"/>
  <c r="AB12" i="133"/>
  <c r="U9" i="120"/>
  <c r="P11" i="136"/>
  <c r="Z9" i="136"/>
  <c r="X9" i="131"/>
  <c r="Y9" i="131"/>
  <c r="S14" i="118"/>
  <c r="U11" i="118"/>
  <c r="W26" i="119"/>
  <c r="X9" i="119"/>
  <c r="Y9" i="119"/>
  <c r="AA9" i="119"/>
  <c r="X19" i="119"/>
  <c r="Y19" i="119"/>
  <c r="AA19" i="119"/>
  <c r="R11" i="136"/>
  <c r="W9" i="120"/>
  <c r="U14" i="118"/>
  <c r="W11" i="118"/>
  <c r="W14" i="118"/>
  <c r="AB19" i="119"/>
  <c r="Y20" i="119"/>
  <c r="AA20" i="119"/>
  <c r="AA18" i="119"/>
  <c r="X20" i="119"/>
  <c r="T11" i="136"/>
  <c r="AB20" i="119"/>
  <c r="AB18" i="119"/>
  <c r="X18" i="119"/>
  <c r="Y18" i="119"/>
  <c r="W11" i="136"/>
  <c r="V11" i="136"/>
  <c r="Z12" i="119"/>
  <c r="L12" i="119"/>
  <c r="K12" i="119"/>
  <c r="M42" i="135"/>
  <c r="Z18" i="133"/>
  <c r="L18" i="133"/>
  <c r="K18" i="133"/>
  <c r="J11" i="136"/>
  <c r="Z8" i="119"/>
  <c r="Z26" i="119"/>
  <c r="L8" i="119"/>
  <c r="L26" i="119"/>
  <c r="B40" i="135"/>
  <c r="M20" i="121"/>
  <c r="M12" i="121"/>
  <c r="B18" i="121"/>
  <c r="M23" i="123"/>
  <c r="M21" i="132"/>
  <c r="M20" i="132"/>
  <c r="Z11" i="136"/>
  <c r="X11" i="136"/>
  <c r="X20" i="132"/>
  <c r="Y42" i="135"/>
  <c r="AA42" i="135"/>
  <c r="Y20" i="132"/>
  <c r="AA20" i="132"/>
  <c r="AB20" i="132"/>
  <c r="X21" i="132"/>
  <c r="Y21" i="132"/>
  <c r="AA21" i="132"/>
  <c r="X42" i="135"/>
  <c r="AB42" i="135"/>
  <c r="AB21" i="132"/>
  <c r="M10" i="133"/>
  <c r="M9" i="133"/>
  <c r="M44" i="135"/>
  <c r="M13" i="132"/>
  <c r="Y9" i="133"/>
  <c r="AA9" i="133"/>
  <c r="Y10" i="133"/>
  <c r="AA10" i="133"/>
  <c r="X44" i="135"/>
  <c r="Y13" i="132"/>
  <c r="AA13" i="132"/>
  <c r="X9" i="133"/>
  <c r="AB9" i="133"/>
  <c r="Y44" i="135"/>
  <c r="AA44" i="135"/>
  <c r="AB44" i="135"/>
  <c r="X10" i="133"/>
  <c r="AB10" i="133"/>
  <c r="X13" i="132"/>
  <c r="AB13" i="132"/>
  <c r="L9" i="136"/>
  <c r="I9" i="136"/>
  <c r="M25" i="135"/>
  <c r="M10" i="120"/>
  <c r="L11" i="136"/>
  <c r="AA9" i="136"/>
  <c r="AA11" i="136"/>
  <c r="X25" i="135"/>
  <c r="Y10" i="120"/>
  <c r="AA10" i="120"/>
  <c r="Y25" i="135"/>
  <c r="AA25" i="135"/>
  <c r="AB25" i="135"/>
  <c r="X10" i="120"/>
  <c r="AB10" i="120"/>
  <c r="M38" i="121"/>
  <c r="M23" i="121"/>
  <c r="Y23" i="121"/>
  <c r="AA23" i="121"/>
  <c r="M43" i="135"/>
  <c r="Y43" i="135"/>
  <c r="AA43" i="135"/>
  <c r="X43" i="135"/>
  <c r="AB43" i="135"/>
  <c r="M14" i="135"/>
  <c r="M26" i="135"/>
  <c r="K11" i="123"/>
  <c r="M13" i="121"/>
  <c r="M49" i="135"/>
  <c r="M33" i="135"/>
  <c r="M32" i="135"/>
  <c r="M31" i="135"/>
  <c r="M30" i="135"/>
  <c r="M29" i="135"/>
  <c r="M28" i="135"/>
  <c r="M27" i="135"/>
  <c r="M17" i="135"/>
  <c r="M16" i="135"/>
  <c r="M15" i="135"/>
  <c r="M13" i="123"/>
  <c r="A3" i="136"/>
  <c r="Y24" i="119"/>
  <c r="M24" i="119"/>
  <c r="M23" i="119"/>
  <c r="AA24" i="119"/>
  <c r="AA23" i="119"/>
  <c r="Y23" i="119"/>
  <c r="Y26" i="135"/>
  <c r="AA26" i="135"/>
  <c r="X26" i="135"/>
  <c r="AB26" i="135"/>
  <c r="Y31" i="135"/>
  <c r="AA31" i="135"/>
  <c r="X15" i="135"/>
  <c r="X29" i="135"/>
  <c r="X32" i="135"/>
  <c r="Y28" i="135"/>
  <c r="AA28" i="135"/>
  <c r="X49" i="135"/>
  <c r="Y16" i="135"/>
  <c r="AA16" i="135"/>
  <c r="Y33" i="135"/>
  <c r="AA33" i="135"/>
  <c r="Y49" i="135"/>
  <c r="AA49" i="135"/>
  <c r="Y29" i="135"/>
  <c r="AA29" i="135"/>
  <c r="X28" i="135"/>
  <c r="AB28" i="135"/>
  <c r="X31" i="135"/>
  <c r="AB31" i="135"/>
  <c r="Y32" i="135"/>
  <c r="AA32" i="135"/>
  <c r="AB32" i="135"/>
  <c r="AB29" i="135"/>
  <c r="Y15" i="135"/>
  <c r="AA15" i="135"/>
  <c r="AB15" i="135"/>
  <c r="X33" i="135"/>
  <c r="AB33" i="135"/>
  <c r="X16" i="135"/>
  <c r="AB16" i="135"/>
  <c r="Y30" i="135"/>
  <c r="AA30" i="135"/>
  <c r="X30" i="135"/>
  <c r="Y27" i="135"/>
  <c r="AA27" i="135"/>
  <c r="X27" i="135"/>
  <c r="AB49" i="135"/>
  <c r="X17" i="135"/>
  <c r="Y17" i="135"/>
  <c r="AA17" i="135"/>
  <c r="AB24" i="119"/>
  <c r="AB23" i="119"/>
  <c r="AB27" i="135"/>
  <c r="AB30" i="135"/>
  <c r="AB17" i="135"/>
  <c r="M13" i="135"/>
  <c r="M11" i="135"/>
  <c r="X11" i="135"/>
  <c r="Y11" i="135"/>
  <c r="AA11" i="135"/>
  <c r="AB11" i="135"/>
  <c r="A3" i="132"/>
  <c r="A3" i="133" s="1"/>
  <c r="A3" i="131"/>
  <c r="A3" i="118"/>
  <c r="A3" i="123"/>
  <c r="A3" i="121"/>
  <c r="A3" i="120"/>
  <c r="B3" i="134"/>
  <c r="M12" i="132"/>
  <c r="X12" i="132"/>
  <c r="Y12" i="132"/>
  <c r="AA12" i="132"/>
  <c r="AB12" i="132"/>
  <c r="M26" i="123"/>
  <c r="M22" i="121"/>
  <c r="K8" i="123"/>
  <c r="Y26" i="123"/>
  <c r="AA26" i="123" s="1"/>
  <c r="M36" i="121"/>
  <c r="M11" i="120"/>
  <c r="M25" i="123"/>
  <c r="M11" i="121"/>
  <c r="M9" i="121"/>
  <c r="M9" i="132"/>
  <c r="M11" i="132"/>
  <c r="M9" i="135"/>
  <c r="X11" i="120"/>
  <c r="X11" i="132"/>
  <c r="Y9" i="132"/>
  <c r="X9" i="132"/>
  <c r="Y11" i="120"/>
  <c r="AA11" i="120"/>
  <c r="AB11" i="120"/>
  <c r="Y11" i="132"/>
  <c r="AA11" i="132"/>
  <c r="AB11" i="132"/>
  <c r="AA9" i="132"/>
  <c r="AB9" i="132"/>
  <c r="M12" i="135"/>
  <c r="M10" i="118"/>
  <c r="AB10" i="118"/>
  <c r="M10" i="119"/>
  <c r="Q26" i="119"/>
  <c r="S26" i="119"/>
  <c r="U26" i="119"/>
  <c r="M12" i="123"/>
  <c r="M9" i="120"/>
  <c r="M13" i="119"/>
  <c r="M12" i="119"/>
  <c r="Y10" i="119"/>
  <c r="X10" i="119"/>
  <c r="AA10" i="119"/>
  <c r="X9" i="120"/>
  <c r="AB10" i="119"/>
  <c r="Y13" i="119"/>
  <c r="X13" i="119"/>
  <c r="X12" i="119"/>
  <c r="Y9" i="120"/>
  <c r="AA9" i="120"/>
  <c r="AA13" i="119"/>
  <c r="AA12" i="119"/>
  <c r="Y12" i="119"/>
  <c r="AB13" i="119"/>
  <c r="AB12" i="119"/>
  <c r="AB9" i="120"/>
  <c r="M10" i="123"/>
  <c r="M10" i="135"/>
  <c r="M10" i="132"/>
  <c r="M23" i="132"/>
  <c r="K50" i="135"/>
  <c r="M12" i="120"/>
  <c r="X10" i="132"/>
  <c r="X23" i="132"/>
  <c r="X12" i="120"/>
  <c r="Y12" i="120"/>
  <c r="Y10" i="132"/>
  <c r="AA10" i="132"/>
  <c r="AA23" i="132"/>
  <c r="Y23" i="132"/>
  <c r="AA12" i="120"/>
  <c r="AB10" i="132"/>
  <c r="AB23" i="132"/>
  <c r="AB12" i="120"/>
  <c r="M9" i="123"/>
  <c r="M11" i="136"/>
  <c r="M12" i="131"/>
  <c r="M9" i="119"/>
  <c r="AB9" i="119"/>
  <c r="X12" i="131"/>
  <c r="Y12" i="131"/>
  <c r="AA12" i="131"/>
  <c r="AB12" i="131"/>
  <c r="X11" i="118"/>
  <c r="X12" i="118"/>
  <c r="M13" i="131"/>
  <c r="X14" i="118"/>
  <c r="Y11" i="119"/>
  <c r="Y8" i="119"/>
  <c r="Y26" i="119"/>
  <c r="X11" i="119"/>
  <c r="X8" i="119"/>
  <c r="X26" i="119"/>
  <c r="Y11" i="118"/>
  <c r="Y12" i="118"/>
  <c r="Y14" i="118"/>
  <c r="AA11" i="119"/>
  <c r="AA8" i="119"/>
  <c r="AA26" i="119"/>
  <c r="Y13" i="131"/>
  <c r="AA13" i="131"/>
  <c r="X13" i="131"/>
  <c r="AB13" i="131"/>
  <c r="M23" i="131"/>
  <c r="M22" i="131"/>
  <c r="M21" i="131"/>
  <c r="M20" i="131"/>
  <c r="M11" i="131"/>
  <c r="M10" i="131"/>
  <c r="M9" i="131"/>
  <c r="M25" i="131"/>
  <c r="Y10" i="131"/>
  <c r="AA10" i="131"/>
  <c r="Y21" i="131"/>
  <c r="Y20" i="131"/>
  <c r="Y23" i="131"/>
  <c r="Y11" i="131"/>
  <c r="Y22" i="131"/>
  <c r="Y25" i="131"/>
  <c r="T14" i="134"/>
  <c r="P14" i="134"/>
  <c r="N14" i="134"/>
  <c r="O14" i="134"/>
  <c r="R14" i="134"/>
  <c r="Q14" i="134"/>
  <c r="Z37" i="121"/>
  <c r="L37" i="121"/>
  <c r="S14" i="134"/>
  <c r="U14" i="134"/>
  <c r="K37" i="121"/>
  <c r="N18" i="133"/>
  <c r="M11" i="118"/>
  <c r="Z14" i="118"/>
  <c r="L14" i="118"/>
  <c r="K8" i="119"/>
  <c r="K26" i="119"/>
  <c r="M11" i="119"/>
  <c r="M8" i="119"/>
  <c r="M26" i="119"/>
  <c r="AB11" i="119"/>
  <c r="AB8" i="119"/>
  <c r="AB26" i="119"/>
  <c r="T23" i="132"/>
  <c r="P23" i="132"/>
  <c r="N23" i="132"/>
  <c r="K23" i="132"/>
  <c r="V23" i="132"/>
  <c r="Q23" i="132"/>
  <c r="O23" i="132"/>
  <c r="N25" i="131"/>
  <c r="K25" i="131"/>
  <c r="O25" i="131"/>
  <c r="P25" i="131"/>
  <c r="T25" i="131"/>
  <c r="Q25" i="131"/>
  <c r="M12" i="118"/>
  <c r="M14" i="118"/>
  <c r="N14" i="118"/>
  <c r="K14" i="118"/>
  <c r="N26" i="119"/>
  <c r="AA23" i="131"/>
  <c r="V14" i="134"/>
  <c r="AA11" i="131"/>
  <c r="X20" i="131"/>
  <c r="X10" i="131"/>
  <c r="AA9" i="131"/>
  <c r="AA21" i="131"/>
  <c r="X21" i="131"/>
  <c r="X22" i="131"/>
  <c r="AA22" i="131"/>
  <c r="R23" i="132"/>
  <c r="V25" i="131"/>
  <c r="R25" i="131"/>
  <c r="AB10" i="131"/>
  <c r="AA20" i="131"/>
  <c r="AB20" i="131"/>
  <c r="X23" i="131"/>
  <c r="AB23" i="131"/>
  <c r="X11" i="131"/>
  <c r="AB11" i="131"/>
  <c r="AB21" i="131"/>
  <c r="AB9" i="131"/>
  <c r="W14" i="134"/>
  <c r="AB22" i="131"/>
  <c r="AA11" i="118"/>
  <c r="S25" i="131"/>
  <c r="U23" i="132"/>
  <c r="S23" i="132"/>
  <c r="AA12" i="118"/>
  <c r="AB12" i="118"/>
  <c r="AB11" i="118"/>
  <c r="AB14" i="118"/>
  <c r="AA14" i="118"/>
  <c r="AB25" i="131"/>
  <c r="X25" i="131"/>
  <c r="AA25" i="131"/>
  <c r="W23" i="132"/>
  <c r="U25" i="131"/>
  <c r="W25" i="131"/>
  <c r="P14" i="135" l="1"/>
  <c r="Q14" i="135" s="1"/>
  <c r="S14" i="135" s="1"/>
  <c r="U14" i="135" s="1"/>
  <c r="W14" i="135" s="1"/>
  <c r="V14" i="135"/>
  <c r="T14" i="135"/>
  <c r="T13" i="135"/>
  <c r="V13" i="135"/>
  <c r="R13" i="135"/>
  <c r="S13" i="135" s="1"/>
  <c r="U13" i="135" s="1"/>
  <c r="W13" i="135" s="1"/>
  <c r="V12" i="135"/>
  <c r="P12" i="135"/>
  <c r="Q12" i="135" s="1"/>
  <c r="S12" i="135" s="1"/>
  <c r="U12" i="135" s="1"/>
  <c r="W12" i="135" s="1"/>
  <c r="R12" i="135"/>
  <c r="N50" i="135"/>
  <c r="P10" i="135"/>
  <c r="Q10" i="135" s="1"/>
  <c r="S10" i="135" s="1"/>
  <c r="U10" i="135" s="1"/>
  <c r="W10" i="135" s="1"/>
  <c r="R10" i="135"/>
  <c r="T10" i="135"/>
  <c r="T50" i="135" s="1"/>
  <c r="O50" i="135"/>
  <c r="M50" i="135"/>
  <c r="V9" i="135"/>
  <c r="V50" i="135" s="1"/>
  <c r="P9" i="135"/>
  <c r="P50" i="135" s="1"/>
  <c r="R9" i="135"/>
  <c r="R50" i="135" s="1"/>
  <c r="AA29" i="123"/>
  <c r="AB30" i="123"/>
  <c r="AB29" i="123" s="1"/>
  <c r="M8" i="123"/>
  <c r="T37" i="120"/>
  <c r="V37" i="120"/>
  <c r="P37" i="120"/>
  <c r="Q37" i="120" s="1"/>
  <c r="R37" i="120"/>
  <c r="R23" i="120"/>
  <c r="Q23" i="120"/>
  <c r="S23" i="120" s="1"/>
  <c r="U23" i="120" s="1"/>
  <c r="V23" i="120"/>
  <c r="W23" i="120" s="1"/>
  <c r="O18" i="133"/>
  <c r="R15" i="133"/>
  <c r="P15" i="133"/>
  <c r="Q15" i="133"/>
  <c r="S15" i="133" s="1"/>
  <c r="T15" i="133"/>
  <c r="V15" i="133"/>
  <c r="V18" i="133"/>
  <c r="T18" i="133"/>
  <c r="P11" i="133"/>
  <c r="P18" i="133" s="1"/>
  <c r="R11" i="133"/>
  <c r="R18" i="133" s="1"/>
  <c r="T33" i="121"/>
  <c r="V33" i="121"/>
  <c r="R33" i="121"/>
  <c r="V11" i="121"/>
  <c r="R36" i="121"/>
  <c r="T36" i="121"/>
  <c r="P36" i="121"/>
  <c r="Q36" i="121"/>
  <c r="S36" i="121" s="1"/>
  <c r="U36" i="121" s="1"/>
  <c r="V36" i="121"/>
  <c r="K40" i="121"/>
  <c r="T11" i="121"/>
  <c r="P26" i="121"/>
  <c r="Q26" i="121" s="1"/>
  <c r="S26" i="121" s="1"/>
  <c r="M8" i="121"/>
  <c r="P33" i="121"/>
  <c r="Q33" i="121" s="1"/>
  <c r="S33" i="121" s="1"/>
  <c r="U33" i="121" s="1"/>
  <c r="W33" i="121" s="1"/>
  <c r="Q23" i="121"/>
  <c r="S23" i="121" s="1"/>
  <c r="U23" i="121" s="1"/>
  <c r="W23" i="121" s="1"/>
  <c r="X23" i="121" s="1"/>
  <c r="AB23" i="121" s="1"/>
  <c r="T10" i="121"/>
  <c r="R10" i="121"/>
  <c r="P10" i="121"/>
  <c r="Q10" i="121" s="1"/>
  <c r="P24" i="121"/>
  <c r="Q24" i="121" s="1"/>
  <c r="T24" i="121"/>
  <c r="V24" i="121"/>
  <c r="R24" i="121"/>
  <c r="T13" i="121"/>
  <c r="P13" i="121"/>
  <c r="Q13" i="121" s="1"/>
  <c r="R13" i="121"/>
  <c r="V13" i="121"/>
  <c r="T20" i="121"/>
  <c r="R20" i="121"/>
  <c r="P20" i="121"/>
  <c r="Q20" i="121"/>
  <c r="S20" i="121" s="1"/>
  <c r="V20" i="121"/>
  <c r="T21" i="121"/>
  <c r="V21" i="121"/>
  <c r="R21" i="121"/>
  <c r="P21" i="121"/>
  <c r="Q21" i="121"/>
  <c r="S21" i="121" s="1"/>
  <c r="U21" i="121" s="1"/>
  <c r="W21" i="121" s="1"/>
  <c r="P12" i="121"/>
  <c r="Q12" i="121" s="1"/>
  <c r="T12" i="121"/>
  <c r="V12" i="121"/>
  <c r="M34" i="121"/>
  <c r="V35" i="121"/>
  <c r="M37" i="121"/>
  <c r="Q35" i="121"/>
  <c r="T22" i="121"/>
  <c r="T35" i="121"/>
  <c r="R38" i="121"/>
  <c r="T26" i="121"/>
  <c r="R35" i="121"/>
  <c r="P38" i="121"/>
  <c r="Q38" i="121" s="1"/>
  <c r="S38" i="121" s="1"/>
  <c r="U38" i="121" s="1"/>
  <c r="W38" i="121" s="1"/>
  <c r="V22" i="121"/>
  <c r="T38" i="121"/>
  <c r="P22" i="121"/>
  <c r="Q22" i="121" s="1"/>
  <c r="Q11" i="121"/>
  <c r="S11" i="121" s="1"/>
  <c r="R22" i="121"/>
  <c r="V14" i="120"/>
  <c r="T14" i="120"/>
  <c r="R14" i="120"/>
  <c r="Q14" i="120"/>
  <c r="M38" i="120"/>
  <c r="R12" i="121"/>
  <c r="O40" i="121"/>
  <c r="V9" i="121"/>
  <c r="P9" i="121"/>
  <c r="T9" i="121"/>
  <c r="R9" i="121"/>
  <c r="N40" i="121"/>
  <c r="B18" i="132"/>
  <c r="R26" i="120"/>
  <c r="T26" i="120"/>
  <c r="P26" i="120"/>
  <c r="P38" i="120" s="1"/>
  <c r="V26" i="120"/>
  <c r="O38" i="120"/>
  <c r="N38" i="120"/>
  <c r="R52" i="123"/>
  <c r="P52" i="123"/>
  <c r="Q52" i="123" s="1"/>
  <c r="V52" i="123"/>
  <c r="T52" i="123"/>
  <c r="N24" i="123"/>
  <c r="M14" i="123"/>
  <c r="V50" i="123"/>
  <c r="T50" i="123"/>
  <c r="R50" i="123"/>
  <c r="P50" i="123"/>
  <c r="Q50" i="123"/>
  <c r="V51" i="123"/>
  <c r="T51" i="123"/>
  <c r="R51" i="123"/>
  <c r="P51" i="123"/>
  <c r="Q51" i="123" s="1"/>
  <c r="S51" i="123" s="1"/>
  <c r="O9" i="123"/>
  <c r="V9" i="123" s="1"/>
  <c r="V15" i="123"/>
  <c r="V14" i="123" s="1"/>
  <c r="O14" i="123"/>
  <c r="T39" i="123"/>
  <c r="P39" i="123"/>
  <c r="Q39" i="123" s="1"/>
  <c r="R39" i="123"/>
  <c r="V23" i="123"/>
  <c r="M24" i="123"/>
  <c r="R12" i="123"/>
  <c r="R23" i="123"/>
  <c r="N14" i="123"/>
  <c r="M37" i="123"/>
  <c r="T23" i="123"/>
  <c r="V39" i="123"/>
  <c r="M11" i="123"/>
  <c r="Q53" i="123"/>
  <c r="Q23" i="123"/>
  <c r="P10" i="123"/>
  <c r="T10" i="123"/>
  <c r="V10" i="123"/>
  <c r="R10" i="123"/>
  <c r="V13" i="123"/>
  <c r="R13" i="123"/>
  <c r="P13" i="123"/>
  <c r="Q13" i="123" s="1"/>
  <c r="T13" i="123"/>
  <c r="V26" i="123"/>
  <c r="P26" i="123"/>
  <c r="Q26" i="123" s="1"/>
  <c r="T26" i="123"/>
  <c r="R26" i="123"/>
  <c r="T41" i="123"/>
  <c r="P41" i="123"/>
  <c r="Q41" i="123" s="1"/>
  <c r="V41" i="123"/>
  <c r="R41" i="123"/>
  <c r="P38" i="123"/>
  <c r="Q38" i="123"/>
  <c r="R38" i="123"/>
  <c r="T38" i="123"/>
  <c r="V38" i="123"/>
  <c r="R25" i="123"/>
  <c r="P25" i="123"/>
  <c r="Q25" i="123" s="1"/>
  <c r="V40" i="123"/>
  <c r="V28" i="123"/>
  <c r="T12" i="123"/>
  <c r="P15" i="123"/>
  <c r="P14" i="123" s="1"/>
  <c r="T40" i="123"/>
  <c r="T15" i="123"/>
  <c r="T14" i="123" s="1"/>
  <c r="R40" i="123"/>
  <c r="V53" i="123"/>
  <c r="V25" i="123"/>
  <c r="R15" i="123"/>
  <c r="R14" i="123" s="1"/>
  <c r="P12" i="123"/>
  <c r="Q12" i="123" s="1"/>
  <c r="P28" i="123"/>
  <c r="Q28" i="123" s="1"/>
  <c r="S28" i="123" s="1"/>
  <c r="Q40" i="123"/>
  <c r="T28" i="123"/>
  <c r="T53" i="123"/>
  <c r="R53" i="123"/>
  <c r="O24" i="123"/>
  <c r="X14" i="135" l="1"/>
  <c r="Y14" i="135"/>
  <c r="AA14" i="135" s="1"/>
  <c r="X13" i="135"/>
  <c r="Y13" i="135"/>
  <c r="AA13" i="135" s="1"/>
  <c r="Y12" i="135"/>
  <c r="AA12" i="135" s="1"/>
  <c r="X12" i="135"/>
  <c r="Y10" i="135"/>
  <c r="AA10" i="135" s="1"/>
  <c r="X10" i="135"/>
  <c r="AB10" i="135" s="1"/>
  <c r="Q9" i="135"/>
  <c r="R9" i="123"/>
  <c r="S52" i="123"/>
  <c r="S25" i="123"/>
  <c r="U25" i="123" s="1"/>
  <c r="S13" i="123"/>
  <c r="S50" i="123"/>
  <c r="O8" i="123"/>
  <c r="O55" i="123" s="1"/>
  <c r="R8" i="123"/>
  <c r="U13" i="123"/>
  <c r="W13" i="123" s="1"/>
  <c r="X13" i="123" s="1"/>
  <c r="AB13" i="123" s="1"/>
  <c r="N55" i="123"/>
  <c r="P9" i="123"/>
  <c r="Q9" i="123" s="1"/>
  <c r="U52" i="123"/>
  <c r="W52" i="123" s="1"/>
  <c r="Y52" i="123" s="1"/>
  <c r="AA52" i="123" s="1"/>
  <c r="V8" i="123"/>
  <c r="Q10" i="123"/>
  <c r="S10" i="123" s="1"/>
  <c r="U10" i="123" s="1"/>
  <c r="W10" i="123" s="1"/>
  <c r="S37" i="120"/>
  <c r="U37" i="120" s="1"/>
  <c r="W37" i="120" s="1"/>
  <c r="Y37" i="120" s="1"/>
  <c r="AA37" i="120" s="1"/>
  <c r="X23" i="120"/>
  <c r="Y23" i="120"/>
  <c r="AA23" i="120" s="1"/>
  <c r="AB23" i="120" s="1"/>
  <c r="U15" i="133"/>
  <c r="W15" i="133" s="1"/>
  <c r="Q11" i="133"/>
  <c r="S12" i="121"/>
  <c r="U20" i="121"/>
  <c r="X33" i="121"/>
  <c r="Y33" i="121"/>
  <c r="AA33" i="121" s="1"/>
  <c r="AA32" i="121" s="1"/>
  <c r="U12" i="121"/>
  <c r="W12" i="121" s="1"/>
  <c r="W36" i="121"/>
  <c r="W20" i="121"/>
  <c r="U11" i="121"/>
  <c r="W11" i="121" s="1"/>
  <c r="S22" i="121"/>
  <c r="U22" i="121" s="1"/>
  <c r="W22" i="121" s="1"/>
  <c r="U26" i="121"/>
  <c r="W26" i="121" s="1"/>
  <c r="M40" i="121"/>
  <c r="S24" i="121"/>
  <c r="U24" i="121" s="1"/>
  <c r="W24" i="121" s="1"/>
  <c r="S10" i="121"/>
  <c r="U10" i="121" s="1"/>
  <c r="W10" i="121" s="1"/>
  <c r="X22" i="121"/>
  <c r="Y22" i="121"/>
  <c r="AA22" i="121" s="1"/>
  <c r="Y26" i="121"/>
  <c r="AA26" i="121" s="1"/>
  <c r="X26" i="121"/>
  <c r="Y24" i="121"/>
  <c r="AA24" i="121" s="1"/>
  <c r="X24" i="121"/>
  <c r="Y20" i="121"/>
  <c r="AA20" i="121" s="1"/>
  <c r="X20" i="121"/>
  <c r="Y11" i="121"/>
  <c r="AA11" i="121" s="1"/>
  <c r="X11" i="121"/>
  <c r="AB11" i="121" s="1"/>
  <c r="T40" i="121"/>
  <c r="X32" i="121"/>
  <c r="Y21" i="121"/>
  <c r="AA21" i="121" s="1"/>
  <c r="X21" i="121"/>
  <c r="S35" i="121"/>
  <c r="U35" i="121" s="1"/>
  <c r="W35" i="121" s="1"/>
  <c r="R40" i="121"/>
  <c r="X38" i="121"/>
  <c r="Y38" i="121"/>
  <c r="S13" i="121"/>
  <c r="U13" i="121" s="1"/>
  <c r="W13" i="121" s="1"/>
  <c r="V40" i="121"/>
  <c r="P40" i="121"/>
  <c r="R38" i="120"/>
  <c r="V38" i="120"/>
  <c r="T38" i="120"/>
  <c r="S14" i="120"/>
  <c r="U14" i="120" s="1"/>
  <c r="W14" i="120" s="1"/>
  <c r="X14" i="120" s="1"/>
  <c r="X12" i="121"/>
  <c r="Y12" i="121"/>
  <c r="AA12" i="121" s="1"/>
  <c r="Q9" i="121"/>
  <c r="Q26" i="120"/>
  <c r="U51" i="123"/>
  <c r="W51" i="123" s="1"/>
  <c r="S53" i="123"/>
  <c r="U53" i="123" s="1"/>
  <c r="T9" i="123"/>
  <c r="S12" i="123"/>
  <c r="U12" i="123" s="1"/>
  <c r="W12" i="123" s="1"/>
  <c r="U50" i="123"/>
  <c r="W50" i="123" s="1"/>
  <c r="Y51" i="123"/>
  <c r="AA51" i="123" s="1"/>
  <c r="X51" i="123"/>
  <c r="U28" i="123"/>
  <c r="W28" i="123" s="1"/>
  <c r="X28" i="123" s="1"/>
  <c r="S9" i="123"/>
  <c r="U9" i="123" s="1"/>
  <c r="Q8" i="123"/>
  <c r="W25" i="123"/>
  <c r="X25" i="123" s="1"/>
  <c r="W53" i="123"/>
  <c r="X53" i="123" s="1"/>
  <c r="S39" i="123"/>
  <c r="U39" i="123" s="1"/>
  <c r="S23" i="123"/>
  <c r="U23" i="123" s="1"/>
  <c r="W23" i="123" s="1"/>
  <c r="S40" i="123"/>
  <c r="U40" i="123" s="1"/>
  <c r="W40" i="123" s="1"/>
  <c r="T8" i="123"/>
  <c r="S38" i="123"/>
  <c r="U38" i="123" s="1"/>
  <c r="W38" i="123" s="1"/>
  <c r="S41" i="123"/>
  <c r="U41" i="123" s="1"/>
  <c r="W41" i="123" s="1"/>
  <c r="Y41" i="123" s="1"/>
  <c r="AA41" i="123" s="1"/>
  <c r="W39" i="123"/>
  <c r="S26" i="123"/>
  <c r="U26" i="123" s="1"/>
  <c r="W26" i="123" s="1"/>
  <c r="X26" i="123" s="1"/>
  <c r="AB26" i="123" s="1"/>
  <c r="V24" i="123"/>
  <c r="Q24" i="123"/>
  <c r="Q15" i="123"/>
  <c r="T24" i="123"/>
  <c r="R24" i="123"/>
  <c r="P24" i="123"/>
  <c r="AB14" i="135" l="1"/>
  <c r="AB13" i="135"/>
  <c r="AB12" i="135"/>
  <c r="S9" i="135"/>
  <c r="Q50" i="135"/>
  <c r="R55" i="123"/>
  <c r="S8" i="123"/>
  <c r="X52" i="123"/>
  <c r="AB51" i="123"/>
  <c r="P8" i="123"/>
  <c r="P55" i="123" s="1"/>
  <c r="V55" i="123"/>
  <c r="X37" i="120"/>
  <c r="AB37" i="120" s="1"/>
  <c r="Y14" i="120"/>
  <c r="AA14" i="120" s="1"/>
  <c r="AB14" i="120" s="1"/>
  <c r="Y15" i="133"/>
  <c r="AA15" i="133" s="1"/>
  <c r="X15" i="133"/>
  <c r="Q18" i="133"/>
  <c r="S11" i="133"/>
  <c r="AB21" i="121"/>
  <c r="AB26" i="121"/>
  <c r="Y32" i="121"/>
  <c r="AB22" i="121"/>
  <c r="X10" i="121"/>
  <c r="Y10" i="121"/>
  <c r="AA10" i="121" s="1"/>
  <c r="Y36" i="121"/>
  <c r="AA36" i="121" s="1"/>
  <c r="X36" i="121"/>
  <c r="AB36" i="121" s="1"/>
  <c r="AA38" i="121"/>
  <c r="AA37" i="121" s="1"/>
  <c r="Y37" i="121"/>
  <c r="AB20" i="121"/>
  <c r="AB24" i="121"/>
  <c r="X13" i="121"/>
  <c r="Y13" i="121"/>
  <c r="AA13" i="121" s="1"/>
  <c r="Y35" i="121"/>
  <c r="X35" i="121"/>
  <c r="AB33" i="121"/>
  <c r="AB32" i="121" s="1"/>
  <c r="X37" i="121"/>
  <c r="AB38" i="121"/>
  <c r="AB37" i="121" s="1"/>
  <c r="AB12" i="121"/>
  <c r="Q40" i="121"/>
  <c r="S9" i="121"/>
  <c r="S26" i="120"/>
  <c r="Q38" i="120"/>
  <c r="AB52" i="123"/>
  <c r="Y25" i="123"/>
  <c r="AA25" i="123" s="1"/>
  <c r="AB25" i="123" s="1"/>
  <c r="Y28" i="123"/>
  <c r="Y27" i="123" s="1"/>
  <c r="Y50" i="123"/>
  <c r="AA50" i="123" s="1"/>
  <c r="X50" i="123"/>
  <c r="X41" i="123"/>
  <c r="AB41" i="123" s="1"/>
  <c r="X23" i="123"/>
  <c r="Y23" i="123"/>
  <c r="T55" i="123"/>
  <c r="Y53" i="123"/>
  <c r="AA53" i="123" s="1"/>
  <c r="AB53" i="123" s="1"/>
  <c r="Y39" i="123"/>
  <c r="AA39" i="123" s="1"/>
  <c r="X39" i="123"/>
  <c r="U8" i="123"/>
  <c r="W9" i="123"/>
  <c r="X10" i="123"/>
  <c r="Y10" i="123"/>
  <c r="AA10" i="123" s="1"/>
  <c r="X38" i="123"/>
  <c r="Y38" i="123"/>
  <c r="Q14" i="123"/>
  <c r="Q55" i="123" s="1"/>
  <c r="S15" i="123"/>
  <c r="S24" i="123"/>
  <c r="X40" i="123"/>
  <c r="Y40" i="123"/>
  <c r="AA40" i="123" s="1"/>
  <c r="X12" i="123"/>
  <c r="Y12" i="123"/>
  <c r="X27" i="123"/>
  <c r="U9" i="135" l="1"/>
  <c r="S50" i="135"/>
  <c r="AB50" i="123"/>
  <c r="AB39" i="123"/>
  <c r="AA28" i="123"/>
  <c r="AA27" i="123" s="1"/>
  <c r="AB15" i="133"/>
  <c r="S18" i="133"/>
  <c r="U11" i="133"/>
  <c r="AB10" i="121"/>
  <c r="X34" i="121"/>
  <c r="AA35" i="121"/>
  <c r="AA34" i="121" s="1"/>
  <c r="Y34" i="121"/>
  <c r="AB13" i="121"/>
  <c r="U9" i="121"/>
  <c r="S40" i="121"/>
  <c r="U26" i="120"/>
  <c r="S38" i="120"/>
  <c r="AB28" i="123"/>
  <c r="AB27" i="123" s="1"/>
  <c r="AA23" i="123"/>
  <c r="AA14" i="123" s="1"/>
  <c r="Y14" i="123"/>
  <c r="AA12" i="123"/>
  <c r="AA11" i="123" s="1"/>
  <c r="Y11" i="123"/>
  <c r="AB12" i="123"/>
  <c r="AB11" i="123" s="1"/>
  <c r="X11" i="123"/>
  <c r="AB40" i="123"/>
  <c r="U24" i="123"/>
  <c r="AA38" i="123"/>
  <c r="AA37" i="123" s="1"/>
  <c r="Y37" i="123"/>
  <c r="Y9" i="123"/>
  <c r="X9" i="123"/>
  <c r="W8" i="123"/>
  <c r="S14" i="123"/>
  <c r="S55" i="123" s="1"/>
  <c r="U15" i="123"/>
  <c r="X37" i="123"/>
  <c r="AB10" i="123"/>
  <c r="U50" i="135" l="1"/>
  <c r="W9" i="135"/>
  <c r="AB38" i="123"/>
  <c r="AB37" i="123" s="1"/>
  <c r="U18" i="133"/>
  <c r="W11" i="133"/>
  <c r="AB35" i="121"/>
  <c r="AB34" i="121" s="1"/>
  <c r="U40" i="121"/>
  <c r="W9" i="121"/>
  <c r="U38" i="120"/>
  <c r="W26" i="120"/>
  <c r="AB23" i="123"/>
  <c r="X8" i="123"/>
  <c r="W15" i="123"/>
  <c r="U14" i="123"/>
  <c r="U55" i="123" s="1"/>
  <c r="Y8" i="123"/>
  <c r="AA9" i="123"/>
  <c r="AA8" i="123" s="1"/>
  <c r="W24" i="123"/>
  <c r="W50" i="135" l="1"/>
  <c r="Y9" i="135"/>
  <c r="X9" i="135"/>
  <c r="X11" i="133"/>
  <c r="Y11" i="133"/>
  <c r="W18" i="133"/>
  <c r="Y9" i="121"/>
  <c r="W40" i="121"/>
  <c r="X9" i="121"/>
  <c r="X26" i="120"/>
  <c r="Y26" i="120"/>
  <c r="W38" i="120"/>
  <c r="X24" i="123"/>
  <c r="Y24" i="123"/>
  <c r="AA24" i="123"/>
  <c r="X15" i="123"/>
  <c r="W14" i="123"/>
  <c r="W55" i="123" s="1"/>
  <c r="AB9" i="123"/>
  <c r="AB8" i="123" s="1"/>
  <c r="X50" i="135" l="1"/>
  <c r="AB9" i="135"/>
  <c r="AB50" i="135" s="1"/>
  <c r="AA9" i="135"/>
  <c r="AA50" i="135" s="1"/>
  <c r="Y50" i="135"/>
  <c r="Y18" i="133"/>
  <c r="AA11" i="133"/>
  <c r="AA18" i="133" s="1"/>
  <c r="X18" i="133"/>
  <c r="AB11" i="133"/>
  <c r="AB18" i="133" s="1"/>
  <c r="X8" i="121"/>
  <c r="X40" i="121" s="1"/>
  <c r="Y8" i="121"/>
  <c r="Y40" i="121" s="1"/>
  <c r="AA9" i="121"/>
  <c r="AA8" i="121" s="1"/>
  <c r="AA40" i="121" s="1"/>
  <c r="Y38" i="120"/>
  <c r="AA26" i="120"/>
  <c r="AA38" i="120" s="1"/>
  <c r="X38" i="120"/>
  <c r="X14" i="123"/>
  <c r="AB15" i="123"/>
  <c r="AB14" i="123" s="1"/>
  <c r="AB24" i="123"/>
  <c r="AB9" i="121" l="1"/>
  <c r="AB8" i="121" s="1"/>
  <c r="AB40" i="121" s="1"/>
  <c r="AB26" i="120"/>
  <c r="AB38" i="120" s="1"/>
</calcChain>
</file>

<file path=xl/sharedStrings.xml><?xml version="1.0" encoding="utf-8"?>
<sst xmlns="http://schemas.openxmlformats.org/spreadsheetml/2006/main" count="1593" uniqueCount="676">
  <si>
    <t>TOTAL</t>
  </si>
  <si>
    <t>P E R C E P C I O N E S</t>
  </si>
  <si>
    <t xml:space="preserve">D E D U C C I O N E S </t>
  </si>
  <si>
    <t xml:space="preserve">A </t>
  </si>
  <si>
    <t>PAGAR</t>
  </si>
  <si>
    <t>Sueldo</t>
  </si>
  <si>
    <t>Total</t>
  </si>
  <si>
    <t xml:space="preserve">  %</t>
  </si>
  <si>
    <t>TARIFA</t>
  </si>
  <si>
    <t>I.S.R.</t>
  </si>
  <si>
    <t>T A R I F A</t>
  </si>
  <si>
    <t>Limite</t>
  </si>
  <si>
    <t>Inferior</t>
  </si>
  <si>
    <t>Cuota</t>
  </si>
  <si>
    <t>Fija</t>
  </si>
  <si>
    <t>S/Excedente</t>
  </si>
  <si>
    <t>De.......A</t>
  </si>
  <si>
    <t>Credito al</t>
  </si>
  <si>
    <t>Salario</t>
  </si>
  <si>
    <t>NOTA:</t>
  </si>
  <si>
    <t>Num.</t>
  </si>
  <si>
    <t>Nombre</t>
  </si>
  <si>
    <t>Dias</t>
  </si>
  <si>
    <t>Trab.</t>
  </si>
  <si>
    <t>diario</t>
  </si>
  <si>
    <t>Horas</t>
  </si>
  <si>
    <t>Extras</t>
  </si>
  <si>
    <t>total</t>
  </si>
  <si>
    <t>Percepcion</t>
  </si>
  <si>
    <t>Credito</t>
  </si>
  <si>
    <t>Al</t>
  </si>
  <si>
    <t>Base</t>
  </si>
  <si>
    <t>Gravable</t>
  </si>
  <si>
    <t>Excedente</t>
  </si>
  <si>
    <t>Limite Inf.</t>
  </si>
  <si>
    <t>%/S exced.</t>
  </si>
  <si>
    <t>Impuesto</t>
  </si>
  <si>
    <t>Marginal</t>
  </si>
  <si>
    <t>Bruto</t>
  </si>
  <si>
    <t xml:space="preserve">Al </t>
  </si>
  <si>
    <t>a Cargo</t>
  </si>
  <si>
    <r>
      <t>o</t>
    </r>
    <r>
      <rPr>
        <b/>
        <sz val="8"/>
        <color indexed="10"/>
        <rFont val="Arial"/>
        <family val="2"/>
      </rPr>
      <t xml:space="preserve"> (A Favor)</t>
    </r>
  </si>
  <si>
    <t>Gravadas</t>
  </si>
  <si>
    <t>Deduc.</t>
  </si>
  <si>
    <t>T O T A L E S</t>
  </si>
  <si>
    <t>CONVERSION DE TABLAS A QUINCENALES</t>
  </si>
  <si>
    <t>Quincenal</t>
  </si>
  <si>
    <t>TABLAS DE TARIFA Y CREDITO AL SALARIO PARA CALCULO DE I.S.P.T.</t>
  </si>
  <si>
    <t>SUBSIDO AL EMPLEO</t>
  </si>
  <si>
    <t>MENSUAL</t>
  </si>
  <si>
    <t>Subsidio al</t>
  </si>
  <si>
    <t>Empleo</t>
  </si>
  <si>
    <t>Subsidio</t>
  </si>
  <si>
    <t>SUBSIDIO AL</t>
  </si>
  <si>
    <t>EMPLEO</t>
  </si>
  <si>
    <t>NOMBRE DE LA EMPRESA</t>
  </si>
  <si>
    <t>Prestamo</t>
  </si>
  <si>
    <t>F   I   R   M   A</t>
  </si>
  <si>
    <t>TIEMPO</t>
  </si>
  <si>
    <t>EXTRA</t>
  </si>
  <si>
    <t>SALA DE REGIDORES</t>
  </si>
  <si>
    <t>PUESTO</t>
  </si>
  <si>
    <t>PRESIDENCIA</t>
  </si>
  <si>
    <t>SECRETARIA</t>
  </si>
  <si>
    <t>RFC MSC 850101 FR1</t>
  </si>
  <si>
    <t>MARIA GUADALUPE PEREZ LLAMAS</t>
  </si>
  <si>
    <t>DIRECTOR</t>
  </si>
  <si>
    <t>CHOFER CAMION VOLTEO</t>
  </si>
  <si>
    <t>OBRAS PUBLICAS</t>
  </si>
  <si>
    <t>SERVICIOS PUBLICOS</t>
  </si>
  <si>
    <t>EVERARDO RODRIGUEZ ARTEAGA</t>
  </si>
  <si>
    <t>ELECTRICISTA</t>
  </si>
  <si>
    <t>ISIDRA PÈREZ CASTRO</t>
  </si>
  <si>
    <t>SINDICATURA</t>
  </si>
  <si>
    <t>R E G I D O R</t>
  </si>
  <si>
    <t>JURIDICO</t>
  </si>
  <si>
    <t>MUNICIPIO DE : SAN CRISTÒBAL DE LA BARRANCA, JALISCO</t>
  </si>
  <si>
    <t>MUNICIPIO DE : SAN CRISTÒBAL DE LA BARRANCA,JALISCO</t>
  </si>
  <si>
    <t>COMANDANTE</t>
  </si>
  <si>
    <t>POLICIA DE LINEA</t>
  </si>
  <si>
    <t>GUADALUPE DE LOS ANGELES CASTRO CASTRO</t>
  </si>
  <si>
    <t>DIRECTOR DE CATASTRO</t>
  </si>
  <si>
    <t>LORENZO FLORES VAZQUEZ</t>
  </si>
  <si>
    <t>1</t>
  </si>
  <si>
    <t>2</t>
  </si>
  <si>
    <t>3</t>
  </si>
  <si>
    <t>4</t>
  </si>
  <si>
    <t>5</t>
  </si>
  <si>
    <t>6</t>
  </si>
  <si>
    <t>7</t>
  </si>
  <si>
    <t>8</t>
  </si>
  <si>
    <t>9</t>
  </si>
  <si>
    <t>JULIAN URZUA AVILA</t>
  </si>
  <si>
    <t>DIRECTOR DE PROTECCIÓN CIVIL</t>
  </si>
  <si>
    <t>SOFIA CASTRO AVELAR</t>
  </si>
  <si>
    <t>CESAR JESUS LANDEROS MORA</t>
  </si>
  <si>
    <t>DIRECTORA DEL INSTITUTO MUNICIPAL DE LA MUJER</t>
  </si>
  <si>
    <t>Núm de Empleado</t>
  </si>
  <si>
    <t>RFC</t>
  </si>
  <si>
    <t>AFANADOR PARQUE LA ISLA</t>
  </si>
  <si>
    <t>052</t>
  </si>
  <si>
    <t>002</t>
  </si>
  <si>
    <t>ROAE8305268D9</t>
  </si>
  <si>
    <t>088</t>
  </si>
  <si>
    <t>N°</t>
  </si>
  <si>
    <t>007</t>
  </si>
  <si>
    <t>PELG8902233V7</t>
  </si>
  <si>
    <t>CACG8412204R1</t>
  </si>
  <si>
    <t>102</t>
  </si>
  <si>
    <t>LAMC910610LB9</t>
  </si>
  <si>
    <t>PECI880515LKA</t>
  </si>
  <si>
    <t>105</t>
  </si>
  <si>
    <t>CAAS900829JN3</t>
  </si>
  <si>
    <t>HACIENDA PÚBLICA MPAL</t>
  </si>
  <si>
    <t>111</t>
  </si>
  <si>
    <t>UUAJ620306516</t>
  </si>
  <si>
    <t>FOVL7103088Q9</t>
  </si>
  <si>
    <t>SEGURIDAD PÚLICA</t>
  </si>
  <si>
    <t>03</t>
  </si>
  <si>
    <t>FORMA DE PAGO</t>
  </si>
  <si>
    <t xml:space="preserve">CHOFER </t>
  </si>
  <si>
    <t>REGISTRO CIVIL</t>
  </si>
  <si>
    <t>CATASTRO MUNICIPAL</t>
  </si>
  <si>
    <t>AGUA POTABLE</t>
  </si>
  <si>
    <t>Forma de Pago</t>
  </si>
  <si>
    <r>
      <t>o</t>
    </r>
    <r>
      <rPr>
        <b/>
        <sz val="9"/>
        <color indexed="10"/>
        <rFont val="Arial"/>
        <family val="2"/>
      </rPr>
      <t xml:space="preserve"> (A Favor)</t>
    </r>
  </si>
  <si>
    <t>PROTECCIÓN CIVIL</t>
  </si>
  <si>
    <t>INSTITUTO MUNICIPAL DE LA MUJER</t>
  </si>
  <si>
    <r>
      <t>o</t>
    </r>
    <r>
      <rPr>
        <sz val="10"/>
        <color indexed="10"/>
        <rFont val="Arial"/>
        <family val="2"/>
      </rPr>
      <t xml:space="preserve"> (A Favor)</t>
    </r>
  </si>
  <si>
    <t>MARCO ANTONIO IBARRA RODRIGUEZ</t>
  </si>
  <si>
    <t>141</t>
  </si>
  <si>
    <t>IARM881208T31</t>
  </si>
  <si>
    <t>SAUL CASTRO CASTAÑEDA</t>
  </si>
  <si>
    <t>PARAMÉDICO</t>
  </si>
  <si>
    <t>CHOFER AMBULANCIA</t>
  </si>
  <si>
    <t>SERVICIOS MÉDICOS MUNICIPALES</t>
  </si>
  <si>
    <t>153</t>
  </si>
  <si>
    <t>CACS7103203Q9</t>
  </si>
  <si>
    <t>FRED DE JESUS VILLALOBOS CASTILLO</t>
  </si>
  <si>
    <t>AUXILIAR DISTRIBUCIÓN DE AGUA POTABLE</t>
  </si>
  <si>
    <t>JOSE MAGDALENO CASTRO AVELAR</t>
  </si>
  <si>
    <t>SECRETARIA DESARROLLO SOCIAL</t>
  </si>
  <si>
    <t>RASTRO</t>
  </si>
  <si>
    <t>PROYECTOS PRODUCTIVOS</t>
  </si>
  <si>
    <t>EDUARDO CASILLAS SOLIS</t>
  </si>
  <si>
    <t>INSPECTOR DE GANADERÍA</t>
  </si>
  <si>
    <t>EDUARDO ROBLES CORONA</t>
  </si>
  <si>
    <t xml:space="preserve">                   L.C.P. CESAR JÉSUS LANDEROS MORA</t>
  </si>
  <si>
    <t xml:space="preserve">                               L.C.P. CESAR JÉSUS LANDEROS MORA</t>
  </si>
  <si>
    <t xml:space="preserve">                              L.C.P. CESAR JÉSUS LANDEROS MORA</t>
  </si>
  <si>
    <t xml:space="preserve">                         L.C.P. CESAR JÉSUS LANDEROS MORA</t>
  </si>
  <si>
    <t xml:space="preserve">                      L.C.P. CESAR JÉSUS LANDEROS MORA</t>
  </si>
  <si>
    <t xml:space="preserve">                          L.C.P. CESAR JÉSUS LANDEROS MORA</t>
  </si>
  <si>
    <t xml:space="preserve">                        L.C.P. CESAR JÉSUS LANDEROS MORA</t>
  </si>
  <si>
    <t>VICF940917FW7</t>
  </si>
  <si>
    <t>CAAM750115HV3</t>
  </si>
  <si>
    <t>CASE8710163P8</t>
  </si>
  <si>
    <t>ROCE781126IN0</t>
  </si>
  <si>
    <t>158</t>
  </si>
  <si>
    <t>168</t>
  </si>
  <si>
    <t>173</t>
  </si>
  <si>
    <t>184</t>
  </si>
  <si>
    <t>MARCOS NUÑEZ SILVA</t>
  </si>
  <si>
    <t>NUSM8008193D2</t>
  </si>
  <si>
    <t>JORGE CASTRO SANDOVAL</t>
  </si>
  <si>
    <t>DAVID CASTRO RAMIREZ</t>
  </si>
  <si>
    <t>AXILIAR DE ELECTRICISTA</t>
  </si>
  <si>
    <t>CHOFER DE ASEO PUBLICO</t>
  </si>
  <si>
    <t>SANTIAGO SOLIS CASILLAS</t>
  </si>
  <si>
    <t>CASJ6506143H0</t>
  </si>
  <si>
    <t>CARD630626GL5</t>
  </si>
  <si>
    <t>SOCS710314EB3</t>
  </si>
  <si>
    <t>195</t>
  </si>
  <si>
    <t>198</t>
  </si>
  <si>
    <t>SERGIO ARCINIEGA PERESCHICA</t>
  </si>
  <si>
    <t>AIPS720724KB4</t>
  </si>
  <si>
    <t>210</t>
  </si>
  <si>
    <t>ENCARGADA DEL COMEDOR ESCOLAR</t>
  </si>
  <si>
    <t>MARIO AVILA AVILA</t>
  </si>
  <si>
    <t>AIAM870428GG7</t>
  </si>
  <si>
    <t>220</t>
  </si>
  <si>
    <t>226</t>
  </si>
  <si>
    <t>HERIBERTA AVILA VEGA</t>
  </si>
  <si>
    <t>AIVH7703037R6</t>
  </si>
  <si>
    <t>SUELDO  DEL 16 AL 31 DE OCTUBRE DE 2019</t>
  </si>
  <si>
    <t>PEDRO CESILIO GALLARDO</t>
  </si>
  <si>
    <t>CEGP800806JI4</t>
  </si>
  <si>
    <t>236</t>
  </si>
  <si>
    <t>015</t>
  </si>
  <si>
    <t>248</t>
  </si>
  <si>
    <t>GILBERTO CASTRO BALTIERRA</t>
  </si>
  <si>
    <t>CABG900204C29</t>
  </si>
  <si>
    <t>EMILIA RAMIREZ CASTRO</t>
  </si>
  <si>
    <t>RACE731012RZ4</t>
  </si>
  <si>
    <t>251</t>
  </si>
  <si>
    <t xml:space="preserve">SALARIO MINIMO GENERAL </t>
  </si>
  <si>
    <t>UMA</t>
  </si>
  <si>
    <t>DIAS</t>
  </si>
  <si>
    <t xml:space="preserve"> Descuentos</t>
  </si>
  <si>
    <t>PRESIDENTE MUNICIPAL</t>
  </si>
  <si>
    <t xml:space="preserve">SECRETARIO GENERAL </t>
  </si>
  <si>
    <t>170</t>
  </si>
  <si>
    <t>CARLOS ADRIAN AVILA LLAMAS</t>
  </si>
  <si>
    <t>AILC9808299Q6</t>
  </si>
  <si>
    <r>
      <t>o</t>
    </r>
    <r>
      <rPr>
        <b/>
        <sz val="12"/>
        <color indexed="10"/>
        <rFont val="Arial"/>
        <family val="2"/>
      </rPr>
      <t xml:space="preserve"> (A Favor)</t>
    </r>
  </si>
  <si>
    <t>ENCARGADO DE LA HACIENDA MUNICIPAL</t>
  </si>
  <si>
    <t>SECRETARIA HACIENDA MUNICIPAL</t>
  </si>
  <si>
    <t>270</t>
  </si>
  <si>
    <t>271</t>
  </si>
  <si>
    <t>ROSA ESMERALDA SANDOVAL MACHUCA</t>
  </si>
  <si>
    <t>SAMR9804042T6</t>
  </si>
  <si>
    <t>MARGARITA SOLIS CASILLAS</t>
  </si>
  <si>
    <t>SOCM780618J44</t>
  </si>
  <si>
    <t>VICTORIANO SANDOVAL FLORES</t>
  </si>
  <si>
    <t>SAFV890702G75</t>
  </si>
  <si>
    <t>194</t>
  </si>
  <si>
    <t>EFRAIN SILVA NUÑEZ</t>
  </si>
  <si>
    <t>SINE910215840</t>
  </si>
  <si>
    <t xml:space="preserve">                              TESORERO ENC. DE LA HACIENDA MPAL.</t>
  </si>
  <si>
    <t xml:space="preserve">                  TESORERO ENC. DE LA HACIENDA MPAL.</t>
  </si>
  <si>
    <t xml:space="preserve">                    TESORERO ENC. DE LA HACIENDA MPAL.</t>
  </si>
  <si>
    <t>AFANADORA PRESIDENCIA MUNICIPAL</t>
  </si>
  <si>
    <t xml:space="preserve">                       TESORERO ENC. DE LA HACIENDA MPAL.</t>
  </si>
  <si>
    <t xml:space="preserve">                           TESORERO ENC. DE LA HACIENDA MPAL.</t>
  </si>
  <si>
    <t xml:space="preserve">              TESORERO ENC. DE LA HACIENDA MPAL.</t>
  </si>
  <si>
    <t>136</t>
  </si>
  <si>
    <t xml:space="preserve">                          TESORERO ENC. DE LA HACIENDA MPAL.</t>
  </si>
  <si>
    <t>SINDICO MUNICIPAL</t>
  </si>
  <si>
    <t>CHOFER DE AUTOBUS</t>
  </si>
  <si>
    <t>CURP</t>
  </si>
  <si>
    <t>PECI880515MJCRSS02</t>
  </si>
  <si>
    <t>PELG890223MJCRLD06</t>
  </si>
  <si>
    <t>CACG841220MJCSSD03</t>
  </si>
  <si>
    <t>ROAE830526HJCDRV07</t>
  </si>
  <si>
    <t>FOVL710308HHGLZR08</t>
  </si>
  <si>
    <t>LAMC910610HJCNRS00</t>
  </si>
  <si>
    <t>CAAS900829MJCSVF05</t>
  </si>
  <si>
    <t>UUAJ620306HJCRVL01</t>
  </si>
  <si>
    <t>SOCM780618MJCLSR05</t>
  </si>
  <si>
    <t>IARM881208HZSBDR03</t>
  </si>
  <si>
    <t>CACS710320HJCSSL08</t>
  </si>
  <si>
    <t>VICF940917HJCLSR05</t>
  </si>
  <si>
    <t>CAAM750115HJCSVG03</t>
  </si>
  <si>
    <t>AILC980829HJCVLR00</t>
  </si>
  <si>
    <t>CASE871016HJCSLD02</t>
  </si>
  <si>
    <t>ROCE781126HJCBRD03</t>
  </si>
  <si>
    <t>NUSM800819HJCXLR05</t>
  </si>
  <si>
    <t>CASJ650614HJCSNR02</t>
  </si>
  <si>
    <t>SINE910215HJCLXF01</t>
  </si>
  <si>
    <t>SOCS710314HJCLSN05</t>
  </si>
  <si>
    <t>CARD630626HJCSMV08</t>
  </si>
  <si>
    <t>AIPS720724HJCRRR09</t>
  </si>
  <si>
    <t>AIAM870428HJCVVR02</t>
  </si>
  <si>
    <t>AIVH770303MJCVGR09</t>
  </si>
  <si>
    <t>CEGP800806HJCSLD07</t>
  </si>
  <si>
    <t>CABG900204HJCSLL01</t>
  </si>
  <si>
    <t>RACE731012MJCMSM04</t>
  </si>
  <si>
    <t>SAMR980404MJCNCS05</t>
  </si>
  <si>
    <t>SAFV890702HJCNLC08</t>
  </si>
  <si>
    <t xml:space="preserve">                             TESORERO ENC. DE LA HACIENDA MPAL.</t>
  </si>
  <si>
    <t>291</t>
  </si>
  <si>
    <t>ERNESTO MERCADO CHAMORRO</t>
  </si>
  <si>
    <t>MECE941107CB8</t>
  </si>
  <si>
    <t>MECE941107HNTRHR01</t>
  </si>
  <si>
    <t>SUPERVISOR DE TURNO</t>
  </si>
  <si>
    <t>296</t>
  </si>
  <si>
    <t>RAMIRO CASTRO HORTA</t>
  </si>
  <si>
    <t>CAHR900320NQ0</t>
  </si>
  <si>
    <t>CAHR900320HJCSRN09</t>
  </si>
  <si>
    <t>BAFJ64022457A</t>
  </si>
  <si>
    <t>BAFJ640224HJCLRS16</t>
  </si>
  <si>
    <t>JOSE BLANCO FRIAS</t>
  </si>
  <si>
    <t>MECANICO MUNICIPAL</t>
  </si>
  <si>
    <t>032</t>
  </si>
  <si>
    <t>298</t>
  </si>
  <si>
    <t>SECRETARIA DE PROYECTOS PRODUCTIVOS</t>
  </si>
  <si>
    <t>AUXILIAR DEL REGISTRO CIVIL</t>
  </si>
  <si>
    <t>ANGELBERTO CASILLAS SOLIS</t>
  </si>
  <si>
    <t>CASA730128UJ7</t>
  </si>
  <si>
    <t>CASA730128HJCSLN01</t>
  </si>
  <si>
    <t>CULTURA</t>
  </si>
  <si>
    <t>ISR Salarios</t>
  </si>
  <si>
    <t>ALICIA CASTRO CASTRO</t>
  </si>
  <si>
    <t>CACX031118NV2</t>
  </si>
  <si>
    <t>CXCA031118MJCSSLA</t>
  </si>
  <si>
    <t>307</t>
  </si>
  <si>
    <t>309</t>
  </si>
  <si>
    <t>TANIA LIZBETH ALVAREZ HERNANDEZ</t>
  </si>
  <si>
    <t>AAHT990809FI1</t>
  </si>
  <si>
    <t>AAHT990809MDFLRN03</t>
  </si>
  <si>
    <t>FEHA DE INGRESO</t>
  </si>
  <si>
    <t>FECHA DE INGRESO</t>
  </si>
  <si>
    <t>CARG920319CA1</t>
  </si>
  <si>
    <t>113</t>
  </si>
  <si>
    <t>MA. GUADALUPE CASTRO RAMIREZ</t>
  </si>
  <si>
    <t>CARG920319MJCSMD07</t>
  </si>
  <si>
    <t>CESAR ALBERTO GUZMAN LOPEZ</t>
  </si>
  <si>
    <t>GULC030602HJCZPSA4</t>
  </si>
  <si>
    <t>315</t>
  </si>
  <si>
    <t>GULC030602IR2</t>
  </si>
  <si>
    <t>316</t>
  </si>
  <si>
    <t>JAIME BALTIERRA SILVA</t>
  </si>
  <si>
    <t>BASJ750313467</t>
  </si>
  <si>
    <t>BASJ750313HJCLLM04</t>
  </si>
  <si>
    <t>AGUSTIN ROBLES LUNA</t>
  </si>
  <si>
    <t>ROLA7708063DA</t>
  </si>
  <si>
    <t>ROLA770806HJCBNG08</t>
  </si>
  <si>
    <t>318</t>
  </si>
  <si>
    <t>PEDRO RAMIREZ CONTRERAS</t>
  </si>
  <si>
    <t>RACP571107NX8</t>
  </si>
  <si>
    <t>RACP571107HJCMNS05</t>
  </si>
  <si>
    <t>323</t>
  </si>
  <si>
    <t>PATSY JANETH GARCIA CONTRERAS</t>
  </si>
  <si>
    <t>GACP870318ECA</t>
  </si>
  <si>
    <t>GACP870318MVZRNT04</t>
  </si>
  <si>
    <t>326</t>
  </si>
  <si>
    <t>TURISMO</t>
  </si>
  <si>
    <t>LUZ MARIA GARCIA LOPEZ</t>
  </si>
  <si>
    <t>GALL760906NQ1</t>
  </si>
  <si>
    <t>GALL760906MJCRPZ09</t>
  </si>
  <si>
    <t>DIRECTORA MEDIOS AUDIOVISUALES</t>
  </si>
  <si>
    <t>AFANADOR UNIDAD DEPORTIVA</t>
  </si>
  <si>
    <t>J JESUS PEREZ RODRIGUEZ</t>
  </si>
  <si>
    <t>027</t>
  </si>
  <si>
    <t>PERJ580103KC6</t>
  </si>
  <si>
    <t>PERJ580103HJCRDS17</t>
  </si>
  <si>
    <t>HORTENCIA SANDOVAL GONZALEZ</t>
  </si>
  <si>
    <t>SAGH920520275</t>
  </si>
  <si>
    <t>SECRETARIA DE OBRAS PÚBLICAS</t>
  </si>
  <si>
    <t>SAGH920520MJCNNR08</t>
  </si>
  <si>
    <t>327</t>
  </si>
  <si>
    <t>335</t>
  </si>
  <si>
    <t>LUIS ENRIQUE GARCIA PEREZ</t>
  </si>
  <si>
    <t>GAPL911031163</t>
  </si>
  <si>
    <t>GAPL911031HHGRRS01</t>
  </si>
  <si>
    <t>336</t>
  </si>
  <si>
    <t>LAURA AZUCENA AVILA ORTEGA</t>
  </si>
  <si>
    <t>AIOL8510192M4</t>
  </si>
  <si>
    <t>AIOL851019MCVRR02</t>
  </si>
  <si>
    <t>AFANADORA CASA CULTURA</t>
  </si>
  <si>
    <t>341</t>
  </si>
  <si>
    <t>342</t>
  </si>
  <si>
    <t>ELPIDIA VEGA RENTERIA</t>
  </si>
  <si>
    <t>VERE950508M25GNL03</t>
  </si>
  <si>
    <t>GUSTAVO GUTIERREZ LANDEROS</t>
  </si>
  <si>
    <t>GULG020220BF6</t>
  </si>
  <si>
    <t>GULG020220HJCTNSA1</t>
  </si>
  <si>
    <t>AUXILIAR MEDIOS AUDIOVISUALES</t>
  </si>
  <si>
    <t>DIRECTORA DE PROYECTOS PRODUCTIVOS</t>
  </si>
  <si>
    <t>SUELDO  DEL 01 AL 15 DE OCTUBRE DE 2023</t>
  </si>
  <si>
    <t>VERE950508GB2</t>
  </si>
  <si>
    <t>245</t>
  </si>
  <si>
    <t>DAVID CASTRO AVILA</t>
  </si>
  <si>
    <t>CAAD880427EC1</t>
  </si>
  <si>
    <t>CAAD880427HZSSVV05</t>
  </si>
  <si>
    <t>344</t>
  </si>
  <si>
    <t>MECA970101512</t>
  </si>
  <si>
    <t>MECA970101HNTRHN03</t>
  </si>
  <si>
    <t>JOSE ANTONIO MERCADO CHAMORRO</t>
  </si>
  <si>
    <t xml:space="preserve"> </t>
  </si>
  <si>
    <t>346</t>
  </si>
  <si>
    <t>JUAN PABLO MEZA PEREDIA</t>
  </si>
  <si>
    <t>MEPJ9301235T6</t>
  </si>
  <si>
    <t>MEPJ930123HJCZRN00</t>
  </si>
  <si>
    <t>347</t>
  </si>
  <si>
    <t>LUIS RICARDO ALVAREZ CARRILLO</t>
  </si>
  <si>
    <t>AACL880412AB8</t>
  </si>
  <si>
    <t>AACL880412HJCLRS00</t>
  </si>
  <si>
    <t>348</t>
  </si>
  <si>
    <t>MARCO DAMIAN ORTIZ ALVAREZ</t>
  </si>
  <si>
    <t>OIAM010904JQ7</t>
  </si>
  <si>
    <t>OIAM010904HJCRLRA7</t>
  </si>
  <si>
    <t>349</t>
  </si>
  <si>
    <t>PAVM920430D21</t>
  </si>
  <si>
    <t>PAVM920430HJCLLG06</t>
  </si>
  <si>
    <t>350</t>
  </si>
  <si>
    <t>PAVK981111IE6</t>
  </si>
  <si>
    <t>PAVK981111MJCLLR04</t>
  </si>
  <si>
    <t>351</t>
  </si>
  <si>
    <t>AACS920605825</t>
  </si>
  <si>
    <t>AACS920605MZSLRN02</t>
  </si>
  <si>
    <t>MARIA VIRGINIA ESPARZA REYNOSO</t>
  </si>
  <si>
    <t>EARV8111118S8</t>
  </si>
  <si>
    <t>EARV811111MJCSYR03</t>
  </si>
  <si>
    <t>355</t>
  </si>
  <si>
    <t>ABEL TORRES CARRILLO</t>
  </si>
  <si>
    <t>TOCA910376GZA</t>
  </si>
  <si>
    <t>TOCA910316HJCRRB01</t>
  </si>
  <si>
    <t>SE APLICARON CAMBIOS EN SUBSIDIO AL EMPLEO POR DECRETO PRESIDENCIAL DEL 01 MAY 2024</t>
  </si>
  <si>
    <t>356</t>
  </si>
  <si>
    <t>LEONARDO HERNANDEZ HERNADEZ</t>
  </si>
  <si>
    <t>HEHL7708068N9</t>
  </si>
  <si>
    <t>HEHL770806HSPRRN02</t>
  </si>
  <si>
    <t>MUNICIPIO DE: SAN CRISTÓBAL DE LA BARRANCA, JALISCO</t>
  </si>
  <si>
    <t>RFC MSC850101FR1</t>
  </si>
  <si>
    <t>357</t>
  </si>
  <si>
    <t>MARVIN ALEXIS AVILA LLAMAS</t>
  </si>
  <si>
    <t>AILM030822SJ0</t>
  </si>
  <si>
    <t>AVLLMR03082214H000</t>
  </si>
  <si>
    <t>359</t>
  </si>
  <si>
    <t>FRANCISCO DANIEL DE LEON BAÑUELOS</t>
  </si>
  <si>
    <t>LEBF000322HJCNXRA6</t>
  </si>
  <si>
    <t>COMPUTO E INFÓRMATICA</t>
  </si>
  <si>
    <t>OOVL880419UZ9</t>
  </si>
  <si>
    <t>OOVL880419MJCRLD03</t>
  </si>
  <si>
    <t>AUXILIAR DE COMPUTACION</t>
  </si>
  <si>
    <t>LEBF000322B94</t>
  </si>
  <si>
    <t>360</t>
  </si>
  <si>
    <t>ENRIQUE CASTRO CASTRO</t>
  </si>
  <si>
    <t>CACE181220RTA</t>
  </si>
  <si>
    <t>CACE001218HJCSSNA5</t>
  </si>
  <si>
    <t>361</t>
  </si>
  <si>
    <t>ISAIAS AGUILAR CASTRO</t>
  </si>
  <si>
    <t>AUXILIAR</t>
  </si>
  <si>
    <t>AUCI040709841</t>
  </si>
  <si>
    <t>AUCI040709HJCGSSA7</t>
  </si>
  <si>
    <t>362</t>
  </si>
  <si>
    <t>363</t>
  </si>
  <si>
    <t>FERNANDO PLASCENCIA VILLEGAS</t>
  </si>
  <si>
    <t>PAVF9409062QA</t>
  </si>
  <si>
    <t>PAVF940906HJCLLR00</t>
  </si>
  <si>
    <t>JUAN ANTONIO CASTRO MERCADO</t>
  </si>
  <si>
    <t>CAMJ020716TC4</t>
  </si>
  <si>
    <t>CAMJ020716HNTSRNA7</t>
  </si>
  <si>
    <t>366</t>
  </si>
  <si>
    <t>06</t>
  </si>
  <si>
    <t>HECTOR ALEJANDRO VILLALOBOS GARCIA</t>
  </si>
  <si>
    <t>VIGH0107213X9</t>
  </si>
  <si>
    <t>VIGH010721HJCLRCA4</t>
  </si>
  <si>
    <t>ALONSO CASILLAS GARCIA</t>
  </si>
  <si>
    <t>CXGA891206QB4</t>
  </si>
  <si>
    <t>CXGA891206HJCSRL02</t>
  </si>
  <si>
    <t>367</t>
  </si>
  <si>
    <t>GERMAN FLORES VEGA</t>
  </si>
  <si>
    <t>FOVG991130U73</t>
  </si>
  <si>
    <t>FOVG991130HJCLGR03</t>
  </si>
  <si>
    <t>KARINA GUZMAN CARDONA</t>
  </si>
  <si>
    <t>GUCK940424FP5</t>
  </si>
  <si>
    <t>378</t>
  </si>
  <si>
    <t>GUCK940424MJCZRR08</t>
  </si>
  <si>
    <t>013</t>
  </si>
  <si>
    <t>YADIRA SARAY OROZCO VILLALOBOS</t>
  </si>
  <si>
    <t>OOVY861212GH1</t>
  </si>
  <si>
    <t>OOVY861212MJCRLD02</t>
  </si>
  <si>
    <t>IORI MANUEL CASTILLO ALVAREZ</t>
  </si>
  <si>
    <t>CAAI971103HJCSLR03</t>
  </si>
  <si>
    <t>384</t>
  </si>
  <si>
    <t>AUXILIAR  DE BIBLIOTECA MUNICIPAL</t>
  </si>
  <si>
    <t>YULISSA MAGALLANES CASTRO</t>
  </si>
  <si>
    <t>MACY010216LV3</t>
  </si>
  <si>
    <t>MACY010216MJCGSLAB</t>
  </si>
  <si>
    <t>TATIANA ESTEPHANY GONZALEZ CASTRO</t>
  </si>
  <si>
    <t>GOCT960620MJCNST03</t>
  </si>
  <si>
    <t>379</t>
  </si>
  <si>
    <t>AFANADORA DE LA PLAZA PRINCIPAL</t>
  </si>
  <si>
    <t>J GUADALUPE IBARRA RODRIGUEZ</t>
  </si>
  <si>
    <t>DIRECTOR DEL RASTRO</t>
  </si>
  <si>
    <t>GABRIELA CASTRO RAMIREZ</t>
  </si>
  <si>
    <t>CARG9002271P5</t>
  </si>
  <si>
    <t>CARG900227MJCSMB16</t>
  </si>
  <si>
    <t>375</t>
  </si>
  <si>
    <t>MAURICIO CASTRO CASTRO</t>
  </si>
  <si>
    <t>370</t>
  </si>
  <si>
    <t>CACM851016JW3</t>
  </si>
  <si>
    <t>CACM851016HJCSSR03</t>
  </si>
  <si>
    <t>369</t>
  </si>
  <si>
    <t>IARG6001143M1</t>
  </si>
  <si>
    <t>IARG600114HJCBDD00</t>
  </si>
  <si>
    <t>DEPORTE</t>
  </si>
  <si>
    <t>299</t>
  </si>
  <si>
    <t>JORGE ALBERTO CASTRO RODRIGUEZ</t>
  </si>
  <si>
    <t>CARJ880410LP2</t>
  </si>
  <si>
    <t>CARJ880410HJCSDR09</t>
  </si>
  <si>
    <t>DIRECTOR DE DEPORTE</t>
  </si>
  <si>
    <t>PAULO CASTRO SANDOVAL</t>
  </si>
  <si>
    <t>CASP770615UA7</t>
  </si>
  <si>
    <t>386</t>
  </si>
  <si>
    <t>EFRAIN RAMIREZ CASTRO</t>
  </si>
  <si>
    <t>RACE671101261</t>
  </si>
  <si>
    <t>RACE671101HJCMSF05</t>
  </si>
  <si>
    <t>MARÍA DE LOURDES ALVARADO CONTRERAS</t>
  </si>
  <si>
    <t>JUAN JOSÉ MARIZCAL FLORES</t>
  </si>
  <si>
    <t xml:space="preserve">FIDEL FLORES RODRÍGUEZ </t>
  </si>
  <si>
    <t>LOIDA MARÍA OROZCO VILLALOBOS</t>
  </si>
  <si>
    <t>FORF900218HR9</t>
  </si>
  <si>
    <t>FORF900218HJCLDD05</t>
  </si>
  <si>
    <t>MAFJ820903QI2</t>
  </si>
  <si>
    <t>MAFJ820903HJCRLN01</t>
  </si>
  <si>
    <t>MARIA DE JESUS FLORES CASTRO</t>
  </si>
  <si>
    <t>046</t>
  </si>
  <si>
    <t>FOCJ85091119A</t>
  </si>
  <si>
    <t>FOCJ850911MJCLSS04</t>
  </si>
  <si>
    <t>147</t>
  </si>
  <si>
    <t>JOSÉ DE JESÚS VALENCIA CERROS</t>
  </si>
  <si>
    <t>374</t>
  </si>
  <si>
    <t>ALDO JOSUE RUIZ GONZALEZ</t>
  </si>
  <si>
    <t>RUGA920901MA1</t>
  </si>
  <si>
    <t>RUGA920901HJCZNL07</t>
  </si>
  <si>
    <t>MARIA ABRIL SANCHEZ CHAVEZ</t>
  </si>
  <si>
    <t>JOSÉ LÓPEZ CASTRO</t>
  </si>
  <si>
    <t>VACJ89121139A</t>
  </si>
  <si>
    <t>VACJ891211HJCLRS00</t>
  </si>
  <si>
    <t>MARÍA GUADALUPE RODRÍGUEZ AVELAR</t>
  </si>
  <si>
    <t>381</t>
  </si>
  <si>
    <t>372</t>
  </si>
  <si>
    <t>380</t>
  </si>
  <si>
    <t>385</t>
  </si>
  <si>
    <t>AACL931230CDA</t>
  </si>
  <si>
    <t>AACL931230MJCLNR02</t>
  </si>
  <si>
    <t>096</t>
  </si>
  <si>
    <t>CASP770615HJCSNL09</t>
  </si>
  <si>
    <t>ROAG890304MJCDVD00</t>
  </si>
  <si>
    <t>387</t>
  </si>
  <si>
    <t>388</t>
  </si>
  <si>
    <t>SACA810413MJCNHB03</t>
  </si>
  <si>
    <t>LOCJ781215QJ3</t>
  </si>
  <si>
    <t>LOCJ781215HJCPSS05</t>
  </si>
  <si>
    <t>ROAG890304HN1</t>
  </si>
  <si>
    <t>389</t>
  </si>
  <si>
    <t>02</t>
  </si>
  <si>
    <t>GOCT960620IJ3</t>
  </si>
  <si>
    <t xml:space="preserve">                                          LIC. KARINA GUZMAN CARDONA</t>
  </si>
  <si>
    <t>CAAI971103IV1</t>
  </si>
  <si>
    <t>JUZGADO MUNICIPAL</t>
  </si>
  <si>
    <t xml:space="preserve">JUEZ MUNICIPAL </t>
  </si>
  <si>
    <t>PCH941018MU7</t>
  </si>
  <si>
    <t>PECH941018HJCRRR08</t>
  </si>
  <si>
    <t>VICTOR MANUEL TELLO RAMIREZ</t>
  </si>
  <si>
    <t>TERV940429P3A</t>
  </si>
  <si>
    <t>TERV940429HJCLMC01</t>
  </si>
  <si>
    <t>MÉDICO MUNICIPAL</t>
  </si>
  <si>
    <t>RODRIGO SALAZAR ALVAREZ DEL CASTILLO</t>
  </si>
  <si>
    <t>SAAR850404NI0</t>
  </si>
  <si>
    <t>SAAR850404HJCLLD02</t>
  </si>
  <si>
    <t>190</t>
  </si>
  <si>
    <t>ABRAHAM ANCO GARCIA</t>
  </si>
  <si>
    <t>AOGA8509167A4</t>
  </si>
  <si>
    <t>AOGA850916HJCNRB08</t>
  </si>
  <si>
    <t>SANDRA MARYEL ALVAREZ CARRILLO</t>
  </si>
  <si>
    <t>MIGUEL ANGEL PLASCENCIA VILLEGAS</t>
  </si>
  <si>
    <t>KARINA PLASCENCIA VILLEGAS</t>
  </si>
  <si>
    <t>393</t>
  </si>
  <si>
    <t xml:space="preserve">                                                PRESIDENTA MUNICIPAL </t>
  </si>
  <si>
    <t xml:space="preserve">                                                PRESIDENTA MUNICIPAL</t>
  </si>
  <si>
    <t>261</t>
  </si>
  <si>
    <t>ERIDANI OROZCO VILLALOBOS</t>
  </si>
  <si>
    <t>OOVE840411MK4</t>
  </si>
  <si>
    <t>OOVE840411MJCRLR07</t>
  </si>
  <si>
    <t>JOSE RIVERA FLORES</t>
  </si>
  <si>
    <t>RIFJ771230D57</t>
  </si>
  <si>
    <t>RIFJ771230HJCVLS00</t>
  </si>
  <si>
    <t>395</t>
  </si>
  <si>
    <t>JOSE AVELAR FRIAS</t>
  </si>
  <si>
    <t>AEFJ640826BG5</t>
  </si>
  <si>
    <t>AEFJ640826HJCVRS09</t>
  </si>
  <si>
    <t>396</t>
  </si>
  <si>
    <t>397</t>
  </si>
  <si>
    <t>DAYANA ASTUDILLO RAMIREZ</t>
  </si>
  <si>
    <t>JENNIFER NATALI GALLEGOS PEREZ</t>
  </si>
  <si>
    <t>AURD031109I90</t>
  </si>
  <si>
    <t>AURD031109MGRSMYA3</t>
  </si>
  <si>
    <t>GAPJ040617P15</t>
  </si>
  <si>
    <t>GAPJ040617MJCLRNA3</t>
  </si>
  <si>
    <t>SACA8104131B5</t>
  </si>
  <si>
    <t>ARACELI AVELAR VALDEZ</t>
  </si>
  <si>
    <t>AEVA930930QJ2</t>
  </si>
  <si>
    <t>AEVA930930MJCVLR07</t>
  </si>
  <si>
    <t>EDUCACIÓN</t>
  </si>
  <si>
    <t>HERIBERTO PEREZ CRUZ</t>
  </si>
  <si>
    <t>DIRECTOR GENERAL DE INFRAESTRUCTURA Y DESARROLLO SOCIAL</t>
  </si>
  <si>
    <t>DIRECTOR DE MAQUINARIA Y ALMACENES MUNICIPALES</t>
  </si>
  <si>
    <t>OPERADOR MOTOCONFORMADORA</t>
  </si>
  <si>
    <t>OPERADOR EXCAVADORA</t>
  </si>
  <si>
    <t>SUB-DIRECTOR GENERAL DE INFRAESTRUCTURA Y DESARROLLO SOCIAL</t>
  </si>
  <si>
    <t>AUXILIAR DE OPERADOR</t>
  </si>
  <si>
    <t>AUXILIAR OBRAS PÚBLICAS</t>
  </si>
  <si>
    <t>AUXILIAR DE ASEO PUBLICO</t>
  </si>
  <si>
    <t>AFANADOR PANTEÓN MUNICIPAL</t>
  </si>
  <si>
    <t>BODEGUERO</t>
  </si>
  <si>
    <t xml:space="preserve">ALBAÑIL Y FONTANERO </t>
  </si>
  <si>
    <t>EJERCICIO 2025</t>
  </si>
  <si>
    <t>VIGENTES PARA 2025</t>
  </si>
  <si>
    <t>TABLAS PUBLICADAS En DICIEMBRE DE 2024</t>
  </si>
  <si>
    <t>SANDRA IBAÑEZ BENITES</t>
  </si>
  <si>
    <t>IABS8806152F3</t>
  </si>
  <si>
    <t>IABS880615MJCBNN01</t>
  </si>
  <si>
    <t>191</t>
  </si>
  <si>
    <t>401</t>
  </si>
  <si>
    <t>402</t>
  </si>
  <si>
    <t>403</t>
  </si>
  <si>
    <t>MARIO ERNESTO AVILA HERRERA</t>
  </si>
  <si>
    <t>AIHM9301091E4</t>
  </si>
  <si>
    <t>AIHM930109HJCVRR08</t>
  </si>
  <si>
    <t>ALEJANDRO RAMIREZ AVILA</t>
  </si>
  <si>
    <t>RAAA060412HJCMVLA4</t>
  </si>
  <si>
    <t>RAAA060412RD2</t>
  </si>
  <si>
    <t>IMELDA AVELAR GARCIA</t>
  </si>
  <si>
    <t>AEIG730513K85</t>
  </si>
  <si>
    <t>AEGI730513MJCVRM08</t>
  </si>
  <si>
    <t>AFANADORA</t>
  </si>
  <si>
    <t>TRANSPARENCIA</t>
  </si>
  <si>
    <t>JOSE FRANCISCO CHAVEZ NEVAREZ</t>
  </si>
  <si>
    <t>CANF001004UK1</t>
  </si>
  <si>
    <t>CANF001004HJCHVRA5</t>
  </si>
  <si>
    <t xml:space="preserve">DIRECTOR DE TRANSPARENCIA </t>
  </si>
  <si>
    <t>JUAN JOSE GONZALEZ GONZALEZ</t>
  </si>
  <si>
    <t>GOGJ950930TI9</t>
  </si>
  <si>
    <t>GOGJ950930HJCNNN09</t>
  </si>
  <si>
    <t>CIPRIANO JOSE DE JESUS BALADRAN ALVARADO</t>
  </si>
  <si>
    <t>BAAC950909HZSLLP10</t>
  </si>
  <si>
    <t>ALEJANDRO LOPEZ AVILA</t>
  </si>
  <si>
    <t>LOAA8106039Y4</t>
  </si>
  <si>
    <t>LOAA810603HJCPVL15</t>
  </si>
  <si>
    <t>JESUS ALBERTO LOPEZ CAMPOS</t>
  </si>
  <si>
    <t>LOCJ880316841</t>
  </si>
  <si>
    <t>LOCJ880316HJCPMS01</t>
  </si>
  <si>
    <t>404</t>
  </si>
  <si>
    <t>405</t>
  </si>
  <si>
    <t>407</t>
  </si>
  <si>
    <t>408</t>
  </si>
  <si>
    <t>409</t>
  </si>
  <si>
    <t xml:space="preserve">SECRETARIA HACIENDA MUNICIPAL </t>
  </si>
  <si>
    <t>JAIME HERNANDEZ PEREZ</t>
  </si>
  <si>
    <t>HEPJ681011T78</t>
  </si>
  <si>
    <t>HEPJ681011HJCRRM07</t>
  </si>
  <si>
    <t>OPERADOR MOTOCONFORAMDORA</t>
  </si>
  <si>
    <t>MECG030503QW9</t>
  </si>
  <si>
    <t>MECG030503HJCNRLA2</t>
  </si>
  <si>
    <t>410</t>
  </si>
  <si>
    <t>GUILLEN DE LAMPORT MENDOZA CRUZ</t>
  </si>
  <si>
    <t>BAAC95090985A</t>
  </si>
  <si>
    <t>411</t>
  </si>
  <si>
    <t>412</t>
  </si>
  <si>
    <t>413</t>
  </si>
  <si>
    <t>MARIA LETICIA SANDOVAL SOTO</t>
  </si>
  <si>
    <t>SASL921030NT2</t>
  </si>
  <si>
    <t>SASL921030MJCNTT09</t>
  </si>
  <si>
    <t>ESTEBAN AGUAYO CASTRO</t>
  </si>
  <si>
    <t>AUCE9304272R9</t>
  </si>
  <si>
    <t>AUCE930427HJCGSS05</t>
  </si>
  <si>
    <t>DAVID GALVEZ MORA</t>
  </si>
  <si>
    <t>GAMD030905MB5</t>
  </si>
  <si>
    <t>GAMD030905HJCLRVA8</t>
  </si>
  <si>
    <t>414</t>
  </si>
  <si>
    <t>CONTRALOR MUNICIPAL</t>
  </si>
  <si>
    <t>MATANCEREOS</t>
  </si>
  <si>
    <t>415</t>
  </si>
  <si>
    <t>PRUDENCIO BALTIERRA ESPINOZA</t>
  </si>
  <si>
    <t>BAEP730428LL0</t>
  </si>
  <si>
    <t>BAEP730428HJCLSR09</t>
  </si>
  <si>
    <t>416</t>
  </si>
  <si>
    <t>DAVID GALVEZ ALVARADO</t>
  </si>
  <si>
    <t>GAAD7002191Y2</t>
  </si>
  <si>
    <t>GAAD700219HJCLLV00</t>
  </si>
  <si>
    <t>417</t>
  </si>
  <si>
    <t>418</t>
  </si>
  <si>
    <t>419</t>
  </si>
  <si>
    <t>ALENJANDRO CASTRO PEREZ</t>
  </si>
  <si>
    <t>CAPA890501LI7</t>
  </si>
  <si>
    <t>CAPA890501HJCSRL04</t>
  </si>
  <si>
    <t>LUIS GERARDO GONZALEZ JIMENEZ</t>
  </si>
  <si>
    <t>GOJL960401MD1</t>
  </si>
  <si>
    <t>GOJL960401HJCNMS00</t>
  </si>
  <si>
    <t>CARLOS ANTONIO CASTRO PEREZ</t>
  </si>
  <si>
    <t>CAPC981029TP1</t>
  </si>
  <si>
    <t>CAPC981029HJCSRR03</t>
  </si>
  <si>
    <t>420</t>
  </si>
  <si>
    <t>FELIPE IBARRA CASTRO</t>
  </si>
  <si>
    <t>IACF7405269Q4</t>
  </si>
  <si>
    <t>IACF740526HJCBSL05</t>
  </si>
  <si>
    <t>272</t>
  </si>
  <si>
    <t>EFRAIN ROBLES FLORES</t>
  </si>
  <si>
    <t>ROFE870509J60</t>
  </si>
  <si>
    <t>ROFE870509HDGBLF05</t>
  </si>
  <si>
    <t>SUELDO  DEL 16 AL 30 DE ABRIL DE 2025</t>
  </si>
  <si>
    <t>SUELDO DEL 16 AL 30 DE ABRIL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</si>
</sst>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[$€]* #,##0.00_-;\-[$€]* #,##0.00_-;_-[$€]* &quot;-&quot;??_-;_-@_-"/>
    <numFmt numFmtId="165" formatCode="#,##0.00_ ;[Red]\-#,##0.00\ "/>
    <numFmt numFmtId="166" formatCode="#,##0.00_ ;\-#,##0.00\ "/>
  </numFmts>
  <fonts count="47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0"/>
      <color indexed="10"/>
      <name val="Arial"/>
      <family val="2"/>
    </font>
    <font>
      <b/>
      <sz val="14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2"/>
      <color indexed="10"/>
      <name val="Times New Roman"/>
      <family val="1"/>
    </font>
    <font>
      <sz val="8"/>
      <name val="Arial"/>
      <family val="2"/>
    </font>
    <font>
      <b/>
      <sz val="8"/>
      <color indexed="10"/>
      <name val="Arial"/>
      <family val="2"/>
    </font>
    <font>
      <b/>
      <sz val="14"/>
      <color indexed="18"/>
      <name val="Verdana"/>
      <family val="2"/>
    </font>
    <font>
      <b/>
      <sz val="8"/>
      <color indexed="10"/>
      <name val="Times New Roman"/>
      <family val="1"/>
    </font>
    <font>
      <b/>
      <sz val="12"/>
      <color indexed="18"/>
      <name val="Verdana"/>
      <family val="2"/>
    </font>
    <font>
      <sz val="10"/>
      <name val="MS Sans Serif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color indexed="10"/>
      <name val="Arial"/>
      <family val="2"/>
    </font>
    <font>
      <sz val="10"/>
      <color indexed="10"/>
      <name val="Arial"/>
      <family val="2"/>
    </font>
    <font>
      <sz val="10"/>
      <name val="Arial"/>
      <family val="2"/>
    </font>
    <font>
      <b/>
      <sz val="12"/>
      <color indexed="18"/>
      <name val="Verdana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b/>
      <sz val="12"/>
      <color indexed="10"/>
      <name val="Arial"/>
      <family val="2"/>
    </font>
    <font>
      <b/>
      <sz val="16"/>
      <color indexed="18"/>
      <name val="Verdana"/>
      <family val="2"/>
    </font>
    <font>
      <b/>
      <sz val="14"/>
      <name val="Arial"/>
      <family val="2"/>
    </font>
    <font>
      <sz val="16"/>
      <name val="Arial"/>
      <family val="2"/>
    </font>
    <font>
      <sz val="8"/>
      <name val="Arial"/>
      <family val="2"/>
    </font>
    <font>
      <sz val="14"/>
      <color rgb="FF404041"/>
      <name val="Arial"/>
      <family val="2"/>
    </font>
    <font>
      <b/>
      <sz val="10"/>
      <color theme="6" tint="-0.499984740745262"/>
      <name val="Arial"/>
      <family val="2"/>
    </font>
    <font>
      <b/>
      <sz val="14"/>
      <color rgb="FF000099"/>
      <name val="Arial"/>
      <family val="2"/>
    </font>
    <font>
      <b/>
      <sz val="16"/>
      <color rgb="FF000099"/>
      <name val="Verdana"/>
      <family val="2"/>
    </font>
    <font>
      <b/>
      <sz val="10"/>
      <color rgb="FF000099"/>
      <name val="Arial"/>
      <family val="2"/>
    </font>
    <font>
      <sz val="14"/>
      <color rgb="FF404041"/>
      <name val="Montserrat"/>
    </font>
    <font>
      <sz val="14"/>
      <color rgb="FF606C76"/>
      <name val="Arial"/>
      <family val="2"/>
    </font>
    <font>
      <sz val="18"/>
      <name val="Arial"/>
      <family val="2"/>
    </font>
    <font>
      <b/>
      <sz val="16"/>
      <name val="Arial"/>
      <family val="2"/>
    </font>
    <font>
      <b/>
      <sz val="16"/>
      <color rgb="FF000099"/>
      <name val="Arial"/>
      <family val="2"/>
    </font>
    <font>
      <sz val="13"/>
      <name val="Arial"/>
      <family val="2"/>
    </font>
    <font>
      <b/>
      <sz val="16"/>
      <color theme="3" tint="-0.249977111117893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0.24997711111789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6" fillId="0" borderId="0"/>
  </cellStyleXfs>
  <cellXfs count="522">
    <xf numFmtId="0" fontId="0" fillId="0" borderId="0" xfId="0"/>
    <xf numFmtId="39" fontId="0" fillId="0" borderId="0" xfId="0" applyNumberFormat="1"/>
    <xf numFmtId="0" fontId="0" fillId="0" borderId="0" xfId="0" applyAlignment="1">
      <alignment horizontal="left"/>
    </xf>
    <xf numFmtId="0" fontId="0" fillId="0" borderId="0" xfId="0" applyAlignment="1">
      <alignment horizontal="fill"/>
    </xf>
    <xf numFmtId="0" fontId="1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fill"/>
    </xf>
    <xf numFmtId="0" fontId="8" fillId="0" borderId="0" xfId="0" applyFont="1" applyAlignment="1">
      <alignment horizontal="fill"/>
    </xf>
    <xf numFmtId="39" fontId="8" fillId="0" borderId="1" xfId="0" applyNumberFormat="1" applyFont="1" applyBorder="1"/>
    <xf numFmtId="10" fontId="8" fillId="0" borderId="1" xfId="0" applyNumberFormat="1" applyFont="1" applyBorder="1"/>
    <xf numFmtId="39" fontId="8" fillId="0" borderId="0" xfId="0" applyNumberFormat="1" applyFont="1"/>
    <xf numFmtId="39" fontId="8" fillId="0" borderId="2" xfId="0" applyNumberFormat="1" applyFont="1" applyBorder="1"/>
    <xf numFmtId="10" fontId="8" fillId="0" borderId="2" xfId="0" applyNumberFormat="1" applyFont="1" applyBorder="1"/>
    <xf numFmtId="0" fontId="8" fillId="0" borderId="2" xfId="0" applyFont="1" applyBorder="1"/>
    <xf numFmtId="0" fontId="10" fillId="0" borderId="0" xfId="0" applyFont="1"/>
    <xf numFmtId="0" fontId="9" fillId="0" borderId="0" xfId="0" applyFont="1" applyProtection="1">
      <protection locked="0"/>
    </xf>
    <xf numFmtId="39" fontId="8" fillId="0" borderId="1" xfId="0" applyNumberFormat="1" applyFont="1" applyBorder="1" applyProtection="1">
      <protection locked="0"/>
    </xf>
    <xf numFmtId="10" fontId="8" fillId="0" borderId="1" xfId="0" applyNumberFormat="1" applyFont="1" applyBorder="1" applyProtection="1">
      <protection locked="0"/>
    </xf>
    <xf numFmtId="0" fontId="11" fillId="0" borderId="3" xfId="0" applyFont="1" applyBorder="1"/>
    <xf numFmtId="0" fontId="3" fillId="0" borderId="3" xfId="0" applyFont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43" fontId="3" fillId="0" borderId="1" xfId="2" applyFont="1" applyBorder="1" applyAlignment="1" applyProtection="1">
      <alignment horizontal="center"/>
    </xf>
    <xf numFmtId="0" fontId="3" fillId="2" borderId="1" xfId="0" applyFont="1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14" fillId="0" borderId="0" xfId="0" applyFont="1"/>
    <xf numFmtId="0" fontId="0" fillId="0" borderId="3" xfId="0" applyBorder="1"/>
    <xf numFmtId="0" fontId="0" fillId="0" borderId="2" xfId="0" applyBorder="1"/>
    <xf numFmtId="0" fontId="2" fillId="0" borderId="1" xfId="0" applyFont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0" xfId="0" applyFont="1" applyFill="1" applyAlignment="1">
      <alignment horizontal="center"/>
    </xf>
    <xf numFmtId="0" fontId="0" fillId="4" borderId="2" xfId="0" applyFill="1" applyBorder="1"/>
    <xf numFmtId="0" fontId="15" fillId="0" borderId="0" xfId="0" applyFont="1" applyAlignment="1" applyProtection="1">
      <alignment horizontal="center"/>
      <protection locked="0"/>
    </xf>
    <xf numFmtId="0" fontId="2" fillId="0" borderId="0" xfId="0" applyFont="1"/>
    <xf numFmtId="165" fontId="0" fillId="0" borderId="0" xfId="0" applyNumberFormat="1"/>
    <xf numFmtId="49" fontId="1" fillId="0" borderId="7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49" fontId="4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 wrapText="1"/>
    </xf>
    <xf numFmtId="0" fontId="18" fillId="0" borderId="3" xfId="0" applyFont="1" applyBorder="1"/>
    <xf numFmtId="0" fontId="17" fillId="0" borderId="3" xfId="0" applyFont="1" applyBorder="1" applyAlignment="1">
      <alignment horizontal="center"/>
    </xf>
    <xf numFmtId="0" fontId="17" fillId="2" borderId="3" xfId="0" applyFont="1" applyFill="1" applyBorder="1" applyAlignment="1">
      <alignment horizontal="center"/>
    </xf>
    <xf numFmtId="0" fontId="17" fillId="2" borderId="4" xfId="0" applyFont="1" applyFill="1" applyBorder="1" applyAlignment="1">
      <alignment horizontal="center"/>
    </xf>
    <xf numFmtId="0" fontId="18" fillId="0" borderId="0" xfId="0" applyFont="1"/>
    <xf numFmtId="0" fontId="17" fillId="0" borderId="1" xfId="0" applyFont="1" applyBorder="1" applyAlignment="1">
      <alignment horizontal="center"/>
    </xf>
    <xf numFmtId="43" fontId="17" fillId="0" borderId="1" xfId="2" applyFont="1" applyBorder="1" applyAlignment="1" applyProtection="1">
      <alignment horizontal="center"/>
    </xf>
    <xf numFmtId="0" fontId="17" fillId="2" borderId="1" xfId="0" applyFont="1" applyFill="1" applyBorder="1" applyAlignment="1">
      <alignment horizontal="center"/>
    </xf>
    <xf numFmtId="0" fontId="17" fillId="2" borderId="5" xfId="0" applyFont="1" applyFill="1" applyBorder="1" applyAlignment="1">
      <alignment horizontal="center"/>
    </xf>
    <xf numFmtId="0" fontId="18" fillId="0" borderId="1" xfId="0" applyFont="1" applyBorder="1"/>
    <xf numFmtId="0" fontId="18" fillId="0" borderId="2" xfId="0" applyFont="1" applyBorder="1"/>
    <xf numFmtId="0" fontId="18" fillId="0" borderId="4" xfId="0" applyFont="1" applyBorder="1"/>
    <xf numFmtId="43" fontId="18" fillId="0" borderId="0" xfId="2" applyFont="1" applyProtection="1"/>
    <xf numFmtId="0" fontId="17" fillId="0" borderId="0" xfId="0" applyFont="1"/>
    <xf numFmtId="0" fontId="17" fillId="0" borderId="2" xfId="0" applyFont="1" applyBorder="1" applyAlignment="1">
      <alignment horizontal="center"/>
    </xf>
    <xf numFmtId="0" fontId="17" fillId="2" borderId="2" xfId="0" applyFont="1" applyFill="1" applyBorder="1" applyAlignment="1">
      <alignment horizontal="center"/>
    </xf>
    <xf numFmtId="0" fontId="17" fillId="4" borderId="1" xfId="0" applyFont="1" applyFill="1" applyBorder="1" applyAlignment="1">
      <alignment horizontal="center"/>
    </xf>
    <xf numFmtId="0" fontId="18" fillId="4" borderId="1" xfId="0" applyFont="1" applyFill="1" applyBorder="1"/>
    <xf numFmtId="9" fontId="18" fillId="0" borderId="0" xfId="0" applyNumberFormat="1" applyFont="1"/>
    <xf numFmtId="0" fontId="21" fillId="0" borderId="0" xfId="0" applyFont="1"/>
    <xf numFmtId="0" fontId="23" fillId="0" borderId="3" xfId="0" applyFont="1" applyBorder="1"/>
    <xf numFmtId="0" fontId="24" fillId="0" borderId="3" xfId="0" applyFont="1" applyBorder="1" applyAlignment="1">
      <alignment horizontal="center"/>
    </xf>
    <xf numFmtId="0" fontId="24" fillId="2" borderId="3" xfId="0" applyFont="1" applyFill="1" applyBorder="1" applyAlignment="1">
      <alignment horizontal="center"/>
    </xf>
    <xf numFmtId="0" fontId="24" fillId="2" borderId="4" xfId="0" applyFont="1" applyFill="1" applyBorder="1" applyAlignment="1">
      <alignment horizontal="center"/>
    </xf>
    <xf numFmtId="0" fontId="21" fillId="0" borderId="3" xfId="0" applyFont="1" applyBorder="1"/>
    <xf numFmtId="0" fontId="24" fillId="0" borderId="1" xfId="0" applyFont="1" applyBorder="1" applyAlignment="1">
      <alignment horizontal="center"/>
    </xf>
    <xf numFmtId="0" fontId="24" fillId="0" borderId="1" xfId="0" applyFont="1" applyBorder="1" applyAlignment="1">
      <alignment horizontal="center" wrapText="1"/>
    </xf>
    <xf numFmtId="43" fontId="24" fillId="0" borderId="1" xfId="2" applyFont="1" applyBorder="1" applyAlignment="1" applyProtection="1">
      <alignment horizontal="center"/>
    </xf>
    <xf numFmtId="0" fontId="24" fillId="2" borderId="1" xfId="0" applyFont="1" applyFill="1" applyBorder="1" applyAlignment="1">
      <alignment horizontal="center"/>
    </xf>
    <xf numFmtId="0" fontId="25" fillId="0" borderId="1" xfId="0" applyFont="1" applyBorder="1" applyAlignment="1">
      <alignment horizontal="center"/>
    </xf>
    <xf numFmtId="0" fontId="24" fillId="0" borderId="2" xfId="0" applyFont="1" applyBorder="1" applyAlignment="1">
      <alignment horizontal="center"/>
    </xf>
    <xf numFmtId="0" fontId="24" fillId="2" borderId="5" xfId="0" applyFont="1" applyFill="1" applyBorder="1" applyAlignment="1">
      <alignment horizontal="center"/>
    </xf>
    <xf numFmtId="0" fontId="21" fillId="0" borderId="1" xfId="0" applyFont="1" applyBorder="1"/>
    <xf numFmtId="0" fontId="24" fillId="4" borderId="1" xfId="0" applyFont="1" applyFill="1" applyBorder="1" applyAlignment="1">
      <alignment horizontal="center"/>
    </xf>
    <xf numFmtId="0" fontId="24" fillId="4" borderId="4" xfId="0" applyFont="1" applyFill="1" applyBorder="1" applyAlignment="1">
      <alignment horizontal="center"/>
    </xf>
    <xf numFmtId="0" fontId="26" fillId="4" borderId="4" xfId="0" applyFont="1" applyFill="1" applyBorder="1" applyAlignment="1">
      <alignment horizontal="center"/>
    </xf>
    <xf numFmtId="0" fontId="21" fillId="4" borderId="4" xfId="0" applyFont="1" applyFill="1" applyBorder="1"/>
    <xf numFmtId="0" fontId="25" fillId="0" borderId="0" xfId="0" applyFont="1"/>
    <xf numFmtId="0" fontId="17" fillId="7" borderId="4" xfId="0" applyFont="1" applyFill="1" applyBorder="1" applyAlignment="1">
      <alignment horizontal="center"/>
    </xf>
    <xf numFmtId="0" fontId="17" fillId="7" borderId="3" xfId="0" applyFont="1" applyFill="1" applyBorder="1" applyAlignment="1">
      <alignment horizontal="center"/>
    </xf>
    <xf numFmtId="0" fontId="22" fillId="0" borderId="0" xfId="0" applyFont="1" applyAlignment="1" applyProtection="1">
      <alignment horizontal="center"/>
      <protection locked="0"/>
    </xf>
    <xf numFmtId="0" fontId="5" fillId="4" borderId="3" xfId="0" applyFont="1" applyFill="1" applyBorder="1" applyAlignment="1">
      <alignment horizontal="center"/>
    </xf>
    <xf numFmtId="0" fontId="0" fillId="4" borderId="1" xfId="0" applyFill="1" applyBorder="1"/>
    <xf numFmtId="0" fontId="4" fillId="0" borderId="0" xfId="0" applyFont="1"/>
    <xf numFmtId="165" fontId="4" fillId="0" borderId="0" xfId="0" applyNumberFormat="1" applyFont="1"/>
    <xf numFmtId="43" fontId="4" fillId="0" borderId="0" xfId="2" applyFont="1" applyProtection="1"/>
    <xf numFmtId="0" fontId="5" fillId="0" borderId="0" xfId="0" applyFont="1"/>
    <xf numFmtId="0" fontId="2" fillId="4" borderId="4" xfId="0" applyFont="1" applyFill="1" applyBorder="1" applyAlignment="1">
      <alignment horizontal="center"/>
    </xf>
    <xf numFmtId="0" fontId="1" fillId="4" borderId="4" xfId="0" applyFont="1" applyFill="1" applyBorder="1"/>
    <xf numFmtId="0" fontId="4" fillId="4" borderId="4" xfId="0" applyFont="1" applyFill="1" applyBorder="1"/>
    <xf numFmtId="0" fontId="5" fillId="4" borderId="4" xfId="0" applyFont="1" applyFill="1" applyBorder="1" applyAlignment="1">
      <alignment horizontal="center" wrapText="1"/>
    </xf>
    <xf numFmtId="0" fontId="1" fillId="4" borderId="1" xfId="0" applyFont="1" applyFill="1" applyBorder="1"/>
    <xf numFmtId="0" fontId="3" fillId="4" borderId="4" xfId="0" applyFont="1" applyFill="1" applyBorder="1" applyAlignment="1">
      <alignment horizontal="center"/>
    </xf>
    <xf numFmtId="0" fontId="1" fillId="0" borderId="3" xfId="0" applyFont="1" applyBorder="1"/>
    <xf numFmtId="0" fontId="1" fillId="0" borderId="1" xfId="0" applyFont="1" applyBorder="1"/>
    <xf numFmtId="0" fontId="5" fillId="0" borderId="0" xfId="0" applyFont="1" applyAlignment="1">
      <alignment horizontal="center"/>
    </xf>
    <xf numFmtId="165" fontId="5" fillId="0" borderId="0" xfId="2" applyNumberFormat="1" applyFont="1" applyBorder="1" applyAlignment="1" applyProtection="1">
      <alignment horizontal="right"/>
    </xf>
    <xf numFmtId="165" fontId="5" fillId="2" borderId="0" xfId="2" applyNumberFormat="1" applyFont="1" applyFill="1" applyBorder="1" applyAlignment="1" applyProtection="1">
      <alignment horizontal="right"/>
    </xf>
    <xf numFmtId="49" fontId="27" fillId="0" borderId="7" xfId="0" applyNumberFormat="1" applyFont="1" applyBorder="1" applyAlignment="1">
      <alignment horizontal="center"/>
    </xf>
    <xf numFmtId="0" fontId="29" fillId="0" borderId="4" xfId="0" applyFont="1" applyBorder="1"/>
    <xf numFmtId="0" fontId="29" fillId="0" borderId="0" xfId="0" applyFont="1"/>
    <xf numFmtId="43" fontId="2" fillId="3" borderId="0" xfId="2" applyFont="1" applyFill="1" applyProtection="1"/>
    <xf numFmtId="0" fontId="3" fillId="8" borderId="0" xfId="0" applyFont="1" applyFill="1" applyAlignment="1">
      <alignment horizontal="center" wrapText="1"/>
    </xf>
    <xf numFmtId="0" fontId="28" fillId="6" borderId="4" xfId="0" applyFont="1" applyFill="1" applyBorder="1" applyAlignment="1">
      <alignment horizontal="center" wrapText="1"/>
    </xf>
    <xf numFmtId="0" fontId="28" fillId="4" borderId="4" xfId="0" applyFont="1" applyFill="1" applyBorder="1" applyAlignment="1">
      <alignment horizontal="center"/>
    </xf>
    <xf numFmtId="0" fontId="28" fillId="7" borderId="4" xfId="0" applyFont="1" applyFill="1" applyBorder="1" applyAlignment="1">
      <alignment horizontal="center"/>
    </xf>
    <xf numFmtId="0" fontId="27" fillId="0" borderId="3" xfId="0" applyFont="1" applyBorder="1"/>
    <xf numFmtId="0" fontId="28" fillId="0" borderId="3" xfId="0" applyFont="1" applyBorder="1" applyAlignment="1">
      <alignment horizontal="center"/>
    </xf>
    <xf numFmtId="0" fontId="28" fillId="2" borderId="3" xfId="0" applyFont="1" applyFill="1" applyBorder="1" applyAlignment="1">
      <alignment horizontal="center"/>
    </xf>
    <xf numFmtId="0" fontId="28" fillId="2" borderId="4" xfId="0" applyFont="1" applyFill="1" applyBorder="1" applyAlignment="1">
      <alignment horizontal="center"/>
    </xf>
    <xf numFmtId="0" fontId="28" fillId="0" borderId="1" xfId="0" applyFont="1" applyBorder="1" applyAlignment="1">
      <alignment horizontal="center" wrapText="1"/>
    </xf>
    <xf numFmtId="0" fontId="28" fillId="0" borderId="1" xfId="0" applyFont="1" applyBorder="1" applyAlignment="1">
      <alignment horizontal="center"/>
    </xf>
    <xf numFmtId="0" fontId="28" fillId="2" borderId="1" xfId="0" applyFont="1" applyFill="1" applyBorder="1" applyAlignment="1">
      <alignment horizontal="center"/>
    </xf>
    <xf numFmtId="0" fontId="28" fillId="0" borderId="2" xfId="0" applyFont="1" applyBorder="1" applyAlignment="1">
      <alignment horizontal="center" wrapText="1"/>
    </xf>
    <xf numFmtId="0" fontId="28" fillId="0" borderId="2" xfId="0" applyFont="1" applyBorder="1" applyAlignment="1">
      <alignment horizontal="center"/>
    </xf>
    <xf numFmtId="0" fontId="28" fillId="2" borderId="2" xfId="0" applyFont="1" applyFill="1" applyBorder="1" applyAlignment="1">
      <alignment horizontal="center"/>
    </xf>
    <xf numFmtId="0" fontId="28" fillId="2" borderId="5" xfId="0" applyFont="1" applyFill="1" applyBorder="1" applyAlignment="1">
      <alignment horizontal="center"/>
    </xf>
    <xf numFmtId="0" fontId="28" fillId="4" borderId="1" xfId="0" applyFont="1" applyFill="1" applyBorder="1" applyAlignment="1">
      <alignment horizontal="center" wrapText="1"/>
    </xf>
    <xf numFmtId="0" fontId="28" fillId="4" borderId="3" xfId="0" applyFont="1" applyFill="1" applyBorder="1" applyAlignment="1">
      <alignment horizontal="center"/>
    </xf>
    <xf numFmtId="0" fontId="28" fillId="4" borderId="1" xfId="0" applyFont="1" applyFill="1" applyBorder="1" applyAlignment="1">
      <alignment horizontal="center"/>
    </xf>
    <xf numFmtId="0" fontId="28" fillId="4" borderId="0" xfId="0" applyFont="1" applyFill="1" applyAlignment="1">
      <alignment horizontal="center"/>
    </xf>
    <xf numFmtId="0" fontId="28" fillId="4" borderId="4" xfId="0" applyFont="1" applyFill="1" applyBorder="1" applyAlignment="1">
      <alignment horizontal="center" wrapText="1"/>
    </xf>
    <xf numFmtId="0" fontId="28" fillId="0" borderId="0" xfId="0" applyFont="1" applyAlignment="1">
      <alignment horizontal="center"/>
    </xf>
    <xf numFmtId="165" fontId="28" fillId="0" borderId="0" xfId="2" applyNumberFormat="1" applyFont="1" applyBorder="1" applyAlignment="1" applyProtection="1">
      <alignment horizontal="right"/>
    </xf>
    <xf numFmtId="165" fontId="28" fillId="2" borderId="0" xfId="2" applyNumberFormat="1" applyFont="1" applyFill="1" applyBorder="1" applyAlignment="1" applyProtection="1">
      <alignment horizontal="right"/>
    </xf>
    <xf numFmtId="49" fontId="29" fillId="0" borderId="4" xfId="0" applyNumberFormat="1" applyFont="1" applyBorder="1" applyAlignment="1">
      <alignment horizontal="center"/>
    </xf>
    <xf numFmtId="49" fontId="29" fillId="0" borderId="4" xfId="5" applyNumberFormat="1" applyFont="1" applyBorder="1" applyAlignment="1" applyProtection="1">
      <alignment vertical="center" wrapText="1"/>
      <protection locked="0"/>
    </xf>
    <xf numFmtId="49" fontId="29" fillId="5" borderId="4" xfId="5" applyNumberFormat="1" applyFont="1" applyFill="1" applyBorder="1" applyAlignment="1" applyProtection="1">
      <alignment vertical="center" wrapText="1"/>
      <protection locked="0"/>
    </xf>
    <xf numFmtId="165" fontId="32" fillId="0" borderId="8" xfId="2" applyNumberFormat="1" applyFont="1" applyBorder="1" applyAlignment="1" applyProtection="1">
      <alignment horizontal="right"/>
    </xf>
    <xf numFmtId="165" fontId="32" fillId="2" borderId="8" xfId="2" applyNumberFormat="1" applyFont="1" applyFill="1" applyBorder="1" applyAlignment="1" applyProtection="1">
      <alignment horizontal="right"/>
    </xf>
    <xf numFmtId="0" fontId="29" fillId="0" borderId="0" xfId="0" applyFont="1" applyAlignment="1">
      <alignment horizontal="center"/>
    </xf>
    <xf numFmtId="0" fontId="29" fillId="0" borderId="6" xfId="0" applyFont="1" applyBorder="1" applyAlignment="1">
      <alignment horizontal="center"/>
    </xf>
    <xf numFmtId="1" fontId="32" fillId="0" borderId="6" xfId="2" applyNumberFormat="1" applyFont="1" applyBorder="1" applyAlignment="1" applyProtection="1">
      <alignment horizontal="right"/>
    </xf>
    <xf numFmtId="1" fontId="32" fillId="0" borderId="6" xfId="2" applyNumberFormat="1" applyFont="1" applyFill="1" applyBorder="1" applyAlignment="1" applyProtection="1">
      <alignment horizontal="right"/>
    </xf>
    <xf numFmtId="1" fontId="32" fillId="0" borderId="0" xfId="2" applyNumberFormat="1" applyFont="1" applyFill="1" applyBorder="1" applyAlignment="1" applyProtection="1">
      <alignment horizontal="right"/>
    </xf>
    <xf numFmtId="49" fontId="29" fillId="0" borderId="18" xfId="0" applyNumberFormat="1" applyFont="1" applyBorder="1" applyAlignment="1">
      <alignment horizontal="center"/>
    </xf>
    <xf numFmtId="1" fontId="32" fillId="0" borderId="0" xfId="2" applyNumberFormat="1" applyFont="1" applyBorder="1" applyAlignment="1" applyProtection="1">
      <alignment horizontal="right"/>
    </xf>
    <xf numFmtId="49" fontId="29" fillId="5" borderId="2" xfId="5" applyNumberFormat="1" applyFont="1" applyFill="1" applyBorder="1" applyAlignment="1" applyProtection="1">
      <alignment vertical="center" wrapText="1"/>
      <protection locked="0"/>
    </xf>
    <xf numFmtId="49" fontId="29" fillId="0" borderId="0" xfId="0" applyNumberFormat="1" applyFont="1" applyAlignment="1">
      <alignment horizontal="center"/>
    </xf>
    <xf numFmtId="0" fontId="29" fillId="0" borderId="16" xfId="0" applyFont="1" applyBorder="1" applyAlignment="1" applyProtection="1">
      <alignment horizontal="center"/>
      <protection locked="0"/>
    </xf>
    <xf numFmtId="0" fontId="32" fillId="4" borderId="4" xfId="0" applyFont="1" applyFill="1" applyBorder="1" applyAlignment="1">
      <alignment horizontal="center" wrapText="1"/>
    </xf>
    <xf numFmtId="0" fontId="31" fillId="0" borderId="0" xfId="0" applyFont="1" applyAlignment="1" applyProtection="1">
      <alignment horizontal="center"/>
      <protection locked="0"/>
    </xf>
    <xf numFmtId="0" fontId="29" fillId="0" borderId="0" xfId="0" applyFont="1" applyAlignment="1" applyProtection="1">
      <alignment horizontal="left" wrapText="1"/>
      <protection locked="0"/>
    </xf>
    <xf numFmtId="0" fontId="29" fillId="0" borderId="0" xfId="0" applyFont="1" applyAlignment="1" applyProtection="1">
      <alignment horizontal="center"/>
      <protection locked="0"/>
    </xf>
    <xf numFmtId="2" fontId="29" fillId="0" borderId="0" xfId="0" applyNumberFormat="1" applyFont="1" applyAlignment="1" applyProtection="1">
      <alignment horizontal="right"/>
      <protection locked="0"/>
    </xf>
    <xf numFmtId="165" fontId="29" fillId="0" borderId="0" xfId="2" applyNumberFormat="1" applyFont="1" applyFill="1" applyBorder="1" applyAlignment="1" applyProtection="1">
      <alignment horizontal="right"/>
    </xf>
    <xf numFmtId="165" fontId="29" fillId="0" borderId="0" xfId="2" applyNumberFormat="1" applyFont="1" applyBorder="1" applyAlignment="1" applyProtection="1">
      <alignment horizontal="right"/>
      <protection locked="0"/>
    </xf>
    <xf numFmtId="165" fontId="29" fillId="0" borderId="0" xfId="2" applyNumberFormat="1" applyFont="1" applyBorder="1" applyAlignment="1" applyProtection="1">
      <alignment horizontal="right"/>
    </xf>
    <xf numFmtId="166" fontId="29" fillId="0" borderId="0" xfId="2" applyNumberFormat="1" applyFont="1" applyBorder="1" applyAlignment="1" applyProtection="1">
      <alignment horizontal="right"/>
      <protection locked="0"/>
    </xf>
    <xf numFmtId="49" fontId="4" fillId="0" borderId="15" xfId="0" applyNumberFormat="1" applyFont="1" applyBorder="1" applyAlignment="1">
      <alignment horizontal="center"/>
    </xf>
    <xf numFmtId="165" fontId="32" fillId="0" borderId="4" xfId="2" applyNumberFormat="1" applyFont="1" applyFill="1" applyBorder="1" applyAlignment="1" applyProtection="1">
      <alignment horizontal="right"/>
    </xf>
    <xf numFmtId="0" fontId="2" fillId="0" borderId="3" xfId="0" applyFont="1" applyBorder="1" applyAlignment="1">
      <alignment horizontal="center"/>
    </xf>
    <xf numFmtId="0" fontId="32" fillId="4" borderId="1" xfId="0" applyFont="1" applyFill="1" applyBorder="1" applyAlignment="1">
      <alignment horizontal="center"/>
    </xf>
    <xf numFmtId="14" fontId="29" fillId="5" borderId="4" xfId="5" applyNumberFormat="1" applyFont="1" applyFill="1" applyBorder="1" applyAlignment="1" applyProtection="1">
      <alignment horizontal="center" vertical="center" wrapText="1"/>
      <protection locked="0"/>
    </xf>
    <xf numFmtId="0" fontId="29" fillId="0" borderId="4" xfId="0" applyFont="1" applyBorder="1" applyAlignment="1">
      <alignment horizontal="center"/>
    </xf>
    <xf numFmtId="14" fontId="29" fillId="0" borderId="0" xfId="0" applyNumberFormat="1" applyFont="1" applyAlignment="1">
      <alignment horizontal="center"/>
    </xf>
    <xf numFmtId="0" fontId="32" fillId="4" borderId="3" xfId="0" applyFont="1" applyFill="1" applyBorder="1" applyAlignment="1">
      <alignment horizontal="center"/>
    </xf>
    <xf numFmtId="165" fontId="32" fillId="4" borderId="1" xfId="0" applyNumberFormat="1" applyFont="1" applyFill="1" applyBorder="1" applyAlignment="1">
      <alignment horizontal="center"/>
    </xf>
    <xf numFmtId="0" fontId="32" fillId="4" borderId="0" xfId="0" applyFont="1" applyFill="1" applyAlignment="1">
      <alignment horizontal="center"/>
    </xf>
    <xf numFmtId="0" fontId="32" fillId="7" borderId="1" xfId="0" applyFont="1" applyFill="1" applyBorder="1" applyAlignment="1">
      <alignment horizontal="center"/>
    </xf>
    <xf numFmtId="14" fontId="32" fillId="4" borderId="1" xfId="0" applyNumberFormat="1" applyFont="1" applyFill="1" applyBorder="1" applyAlignment="1">
      <alignment horizontal="center"/>
    </xf>
    <xf numFmtId="49" fontId="29" fillId="0" borderId="15" xfId="0" applyNumberFormat="1" applyFont="1" applyBorder="1" applyAlignment="1">
      <alignment horizontal="center"/>
    </xf>
    <xf numFmtId="49" fontId="29" fillId="0" borderId="16" xfId="0" applyNumberFormat="1" applyFont="1" applyBorder="1" applyAlignment="1">
      <alignment horizontal="center"/>
    </xf>
    <xf numFmtId="0" fontId="29" fillId="0" borderId="16" xfId="0" applyFont="1" applyBorder="1" applyAlignment="1" applyProtection="1">
      <alignment horizontal="left"/>
      <protection locked="0"/>
    </xf>
    <xf numFmtId="2" fontId="29" fillId="0" borderId="17" xfId="0" applyNumberFormat="1" applyFont="1" applyBorder="1" applyAlignment="1" applyProtection="1">
      <alignment horizontal="right"/>
      <protection locked="0"/>
    </xf>
    <xf numFmtId="165" fontId="29" fillId="0" borderId="3" xfId="2" applyNumberFormat="1" applyFont="1" applyFill="1" applyBorder="1" applyAlignment="1" applyProtection="1">
      <alignment horizontal="right"/>
    </xf>
    <xf numFmtId="165" fontId="29" fillId="0" borderId="3" xfId="2" applyNumberFormat="1" applyFont="1" applyBorder="1" applyAlignment="1" applyProtection="1">
      <alignment horizontal="right"/>
      <protection locked="0"/>
    </xf>
    <xf numFmtId="165" fontId="29" fillId="0" borderId="3" xfId="2" applyNumberFormat="1" applyFont="1" applyBorder="1" applyAlignment="1" applyProtection="1">
      <alignment horizontal="right"/>
    </xf>
    <xf numFmtId="165" fontId="29" fillId="2" borderId="3" xfId="2" applyNumberFormat="1" applyFont="1" applyFill="1" applyBorder="1" applyAlignment="1" applyProtection="1">
      <alignment horizontal="right"/>
    </xf>
    <xf numFmtId="10" fontId="29" fillId="2" borderId="3" xfId="3" applyNumberFormat="1" applyFont="1" applyFill="1" applyBorder="1" applyAlignment="1" applyProtection="1">
      <alignment horizontal="right"/>
    </xf>
    <xf numFmtId="166" fontId="29" fillId="0" borderId="3" xfId="2" applyNumberFormat="1" applyFont="1" applyBorder="1" applyAlignment="1" applyProtection="1">
      <alignment horizontal="right"/>
      <protection locked="0"/>
    </xf>
    <xf numFmtId="0" fontId="32" fillId="4" borderId="3" xfId="0" applyFont="1" applyFill="1" applyBorder="1" applyAlignment="1">
      <alignment horizontal="center" wrapText="1"/>
    </xf>
    <xf numFmtId="0" fontId="32" fillId="4" borderId="4" xfId="0" applyFont="1" applyFill="1" applyBorder="1" applyAlignment="1">
      <alignment horizontal="center"/>
    </xf>
    <xf numFmtId="165" fontId="32" fillId="4" borderId="4" xfId="0" applyNumberFormat="1" applyFont="1" applyFill="1" applyBorder="1" applyAlignment="1">
      <alignment horizontal="center"/>
    </xf>
    <xf numFmtId="0" fontId="29" fillId="4" borderId="2" xfId="0" applyFont="1" applyFill="1" applyBorder="1"/>
    <xf numFmtId="0" fontId="32" fillId="7" borderId="4" xfId="0" applyFont="1" applyFill="1" applyBorder="1" applyAlignment="1">
      <alignment horizontal="center"/>
    </xf>
    <xf numFmtId="0" fontId="29" fillId="4" borderId="4" xfId="0" applyFont="1" applyFill="1" applyBorder="1"/>
    <xf numFmtId="1" fontId="32" fillId="0" borderId="4" xfId="2" applyNumberFormat="1" applyFont="1" applyBorder="1" applyAlignment="1" applyProtection="1">
      <alignment horizontal="right"/>
    </xf>
    <xf numFmtId="1" fontId="32" fillId="0" borderId="4" xfId="2" applyNumberFormat="1" applyFont="1" applyFill="1" applyBorder="1" applyAlignment="1" applyProtection="1">
      <alignment horizontal="right"/>
    </xf>
    <xf numFmtId="0" fontId="28" fillId="7" borderId="3" xfId="0" applyFont="1" applyFill="1" applyBorder="1" applyAlignment="1">
      <alignment horizontal="center"/>
    </xf>
    <xf numFmtId="49" fontId="29" fillId="0" borderId="9" xfId="0" applyNumberFormat="1" applyFont="1" applyBorder="1" applyAlignment="1">
      <alignment horizontal="center"/>
    </xf>
    <xf numFmtId="0" fontId="27" fillId="0" borderId="9" xfId="0" applyFont="1" applyBorder="1"/>
    <xf numFmtId="0" fontId="28" fillId="0" borderId="11" xfId="0" applyFont="1" applyBorder="1" applyAlignment="1">
      <alignment horizontal="center"/>
    </xf>
    <xf numFmtId="0" fontId="28" fillId="0" borderId="13" xfId="0" applyFont="1" applyBorder="1" applyAlignment="1">
      <alignment horizontal="center"/>
    </xf>
    <xf numFmtId="0" fontId="28" fillId="0" borderId="10" xfId="0" applyFont="1" applyBorder="1" applyAlignment="1">
      <alignment horizontal="center"/>
    </xf>
    <xf numFmtId="0" fontId="28" fillId="0" borderId="12" xfId="0" applyFont="1" applyBorder="1" applyAlignment="1">
      <alignment horizontal="center"/>
    </xf>
    <xf numFmtId="0" fontId="28" fillId="0" borderId="14" xfId="0" applyFont="1" applyBorder="1" applyAlignment="1">
      <alignment horizontal="center"/>
    </xf>
    <xf numFmtId="43" fontId="28" fillId="0" borderId="1" xfId="2" applyFont="1" applyBorder="1" applyAlignment="1" applyProtection="1">
      <alignment horizontal="center"/>
    </xf>
    <xf numFmtId="0" fontId="5" fillId="4" borderId="1" xfId="0" applyFont="1" applyFill="1" applyBorder="1" applyAlignment="1">
      <alignment horizontal="center" wrapText="1"/>
    </xf>
    <xf numFmtId="0" fontId="0" fillId="3" borderId="0" xfId="0" applyFill="1"/>
    <xf numFmtId="0" fontId="36" fillId="3" borderId="0" xfId="0" applyFont="1" applyFill="1"/>
    <xf numFmtId="49" fontId="33" fillId="5" borderId="0" xfId="0" applyNumberFormat="1" applyFont="1" applyFill="1" applyAlignment="1">
      <alignment wrapText="1"/>
    </xf>
    <xf numFmtId="0" fontId="29" fillId="5" borderId="0" xfId="0" applyFont="1" applyFill="1"/>
    <xf numFmtId="165" fontId="29" fillId="2" borderId="0" xfId="2" applyNumberFormat="1" applyFont="1" applyFill="1" applyBorder="1" applyAlignment="1" applyProtection="1">
      <alignment horizontal="right"/>
    </xf>
    <xf numFmtId="10" fontId="29" fillId="2" borderId="0" xfId="3" applyNumberFormat="1" applyFont="1" applyFill="1" applyBorder="1" applyAlignment="1" applyProtection="1">
      <alignment horizontal="right"/>
    </xf>
    <xf numFmtId="165" fontId="29" fillId="7" borderId="0" xfId="2" applyNumberFormat="1" applyFont="1" applyFill="1" applyBorder="1" applyAlignment="1" applyProtection="1">
      <alignment horizontal="right"/>
    </xf>
    <xf numFmtId="0" fontId="38" fillId="0" borderId="0" xfId="0" applyFont="1" applyAlignment="1" applyProtection="1">
      <alignment horizontal="center"/>
      <protection locked="0"/>
    </xf>
    <xf numFmtId="49" fontId="1" fillId="0" borderId="0" xfId="0" applyNumberFormat="1" applyFont="1" applyAlignment="1">
      <alignment horizontal="center"/>
    </xf>
    <xf numFmtId="0" fontId="32" fillId="4" borderId="2" xfId="0" applyFont="1" applyFill="1" applyBorder="1" applyAlignment="1">
      <alignment horizontal="center" wrapText="1"/>
    </xf>
    <xf numFmtId="0" fontId="33" fillId="0" borderId="0" xfId="0" applyFont="1" applyAlignment="1" applyProtection="1">
      <alignment horizontal="left" wrapText="1"/>
      <protection locked="0"/>
    </xf>
    <xf numFmtId="0" fontId="29" fillId="0" borderId="0" xfId="0" applyFont="1" applyAlignment="1" applyProtection="1">
      <alignment horizontal="left"/>
      <protection locked="0"/>
    </xf>
    <xf numFmtId="165" fontId="43" fillId="0" borderId="8" xfId="2" applyNumberFormat="1" applyFont="1" applyBorder="1" applyAlignment="1" applyProtection="1">
      <alignment horizontal="right"/>
    </xf>
    <xf numFmtId="165" fontId="43" fillId="2" borderId="8" xfId="2" applyNumberFormat="1" applyFont="1" applyFill="1" applyBorder="1" applyAlignment="1" applyProtection="1">
      <alignment horizontal="right"/>
    </xf>
    <xf numFmtId="14" fontId="33" fillId="0" borderId="4" xfId="5" applyNumberFormat="1" applyFont="1" applyBorder="1" applyAlignment="1" applyProtection="1">
      <alignment horizontal="center" vertical="center" wrapText="1"/>
      <protection locked="0"/>
    </xf>
    <xf numFmtId="14" fontId="33" fillId="0" borderId="0" xfId="0" applyNumberFormat="1" applyFont="1" applyAlignment="1">
      <alignment horizontal="center"/>
    </xf>
    <xf numFmtId="0" fontId="43" fillId="0" borderId="0" xfId="0" applyFont="1"/>
    <xf numFmtId="0" fontId="33" fillId="0" borderId="0" xfId="0" applyFont="1"/>
    <xf numFmtId="0" fontId="32" fillId="0" borderId="0" xfId="0" applyFont="1"/>
    <xf numFmtId="49" fontId="33" fillId="0" borderId="0" xfId="0" applyNumberFormat="1" applyFont="1" applyAlignment="1">
      <alignment horizontal="center"/>
    </xf>
    <xf numFmtId="0" fontId="33" fillId="5" borderId="0" xfId="0" applyFont="1" applyFill="1" applyAlignment="1" applyProtection="1">
      <alignment horizontal="left" wrapText="1"/>
      <protection locked="0"/>
    </xf>
    <xf numFmtId="0" fontId="29" fillId="5" borderId="0" xfId="0" applyFont="1" applyFill="1" applyAlignment="1" applyProtection="1">
      <alignment horizontal="left"/>
      <protection locked="0"/>
    </xf>
    <xf numFmtId="14" fontId="33" fillId="5" borderId="0" xfId="0" applyNumberFormat="1" applyFont="1" applyFill="1" applyAlignment="1" applyProtection="1">
      <alignment horizontal="center"/>
      <protection locked="0"/>
    </xf>
    <xf numFmtId="0" fontId="33" fillId="0" borderId="0" xfId="0" applyFont="1" applyAlignment="1" applyProtection="1">
      <alignment horizontal="center"/>
      <protection locked="0"/>
    </xf>
    <xf numFmtId="2" fontId="33" fillId="0" borderId="0" xfId="0" applyNumberFormat="1" applyFont="1" applyAlignment="1" applyProtection="1">
      <alignment horizontal="right"/>
      <protection locked="0"/>
    </xf>
    <xf numFmtId="165" fontId="33" fillId="0" borderId="0" xfId="2" applyNumberFormat="1" applyFont="1" applyFill="1" applyBorder="1" applyAlignment="1" applyProtection="1">
      <alignment horizontal="right"/>
    </xf>
    <xf numFmtId="165" fontId="33" fillId="0" borderId="0" xfId="2" applyNumberFormat="1" applyFont="1" applyBorder="1" applyAlignment="1" applyProtection="1">
      <alignment horizontal="right"/>
      <protection locked="0"/>
    </xf>
    <xf numFmtId="165" fontId="33" fillId="0" borderId="0" xfId="2" applyNumberFormat="1" applyFont="1" applyBorder="1" applyAlignment="1" applyProtection="1">
      <alignment horizontal="right"/>
    </xf>
    <xf numFmtId="165" fontId="33" fillId="2" borderId="0" xfId="2" applyNumberFormat="1" applyFont="1" applyFill="1" applyBorder="1" applyAlignment="1" applyProtection="1">
      <alignment horizontal="right"/>
    </xf>
    <xf numFmtId="10" fontId="33" fillId="2" borderId="0" xfId="3" applyNumberFormat="1" applyFont="1" applyFill="1" applyBorder="1" applyAlignment="1" applyProtection="1">
      <alignment horizontal="right"/>
    </xf>
    <xf numFmtId="165" fontId="33" fillId="7" borderId="0" xfId="2" applyNumberFormat="1" applyFont="1" applyFill="1" applyBorder="1" applyAlignment="1" applyProtection="1">
      <alignment horizontal="right"/>
    </xf>
    <xf numFmtId="166" fontId="33" fillId="0" borderId="0" xfId="2" applyNumberFormat="1" applyFont="1" applyBorder="1" applyAlignment="1" applyProtection="1">
      <alignment horizontal="right"/>
      <protection locked="0"/>
    </xf>
    <xf numFmtId="0" fontId="43" fillId="4" borderId="4" xfId="0" applyFont="1" applyFill="1" applyBorder="1" applyAlignment="1">
      <alignment horizontal="center" wrapText="1"/>
    </xf>
    <xf numFmtId="0" fontId="43" fillId="4" borderId="4" xfId="0" applyFont="1" applyFill="1" applyBorder="1" applyAlignment="1">
      <alignment horizontal="center"/>
    </xf>
    <xf numFmtId="165" fontId="43" fillId="4" borderId="4" xfId="0" applyNumberFormat="1" applyFont="1" applyFill="1" applyBorder="1" applyAlignment="1">
      <alignment horizontal="center"/>
    </xf>
    <xf numFmtId="0" fontId="43" fillId="7" borderId="4" xfId="0" applyFont="1" applyFill="1" applyBorder="1" applyAlignment="1">
      <alignment horizontal="center"/>
    </xf>
    <xf numFmtId="0" fontId="43" fillId="4" borderId="2" xfId="0" applyFont="1" applyFill="1" applyBorder="1" applyAlignment="1">
      <alignment horizontal="center" wrapText="1"/>
    </xf>
    <xf numFmtId="0" fontId="43" fillId="4" borderId="2" xfId="0" applyFont="1" applyFill="1" applyBorder="1" applyAlignment="1">
      <alignment horizontal="center"/>
    </xf>
    <xf numFmtId="165" fontId="43" fillId="4" borderId="2" xfId="0" applyNumberFormat="1" applyFont="1" applyFill="1" applyBorder="1" applyAlignment="1">
      <alignment horizontal="center"/>
    </xf>
    <xf numFmtId="0" fontId="43" fillId="7" borderId="2" xfId="0" applyFont="1" applyFill="1" applyBorder="1" applyAlignment="1">
      <alignment horizontal="center"/>
    </xf>
    <xf numFmtId="165" fontId="43" fillId="0" borderId="4" xfId="2" applyNumberFormat="1" applyFont="1" applyBorder="1" applyAlignment="1" applyProtection="1">
      <alignment horizontal="right"/>
    </xf>
    <xf numFmtId="0" fontId="17" fillId="4" borderId="0" xfId="0" applyFont="1" applyFill="1" applyAlignment="1">
      <alignment horizontal="center"/>
    </xf>
    <xf numFmtId="0" fontId="43" fillId="4" borderId="3" xfId="0" applyFont="1" applyFill="1" applyBorder="1" applyAlignment="1">
      <alignment horizontal="center"/>
    </xf>
    <xf numFmtId="0" fontId="43" fillId="4" borderId="1" xfId="0" applyFont="1" applyFill="1" applyBorder="1" applyAlignment="1">
      <alignment horizontal="center"/>
    </xf>
    <xf numFmtId="0" fontId="43" fillId="4" borderId="1" xfId="0" applyFont="1" applyFill="1" applyBorder="1" applyAlignment="1">
      <alignment horizontal="center" wrapText="1"/>
    </xf>
    <xf numFmtId="0" fontId="43" fillId="4" borderId="9" xfId="0" applyFont="1" applyFill="1" applyBorder="1" applyAlignment="1">
      <alignment horizontal="center"/>
    </xf>
    <xf numFmtId="14" fontId="33" fillId="5" borderId="2" xfId="5" applyNumberFormat="1" applyFont="1" applyFill="1" applyBorder="1" applyAlignment="1" applyProtection="1">
      <alignment horizontal="center" vertical="center" wrapText="1"/>
      <protection locked="0"/>
    </xf>
    <xf numFmtId="2" fontId="29" fillId="0" borderId="0" xfId="0" applyNumberFormat="1" applyFont="1" applyAlignment="1" applyProtection="1">
      <alignment horizontal="left"/>
      <protection locked="0"/>
    </xf>
    <xf numFmtId="14" fontId="29" fillId="5" borderId="0" xfId="0" applyNumberFormat="1" applyFont="1" applyFill="1" applyAlignment="1" applyProtection="1">
      <alignment horizontal="center"/>
      <protection locked="0"/>
    </xf>
    <xf numFmtId="49" fontId="33" fillId="5" borderId="0" xfId="0" applyNumberFormat="1" applyFont="1" applyFill="1" applyAlignment="1">
      <alignment horizontal="center"/>
    </xf>
    <xf numFmtId="0" fontId="29" fillId="5" borderId="0" xfId="0" applyFont="1" applyFill="1" applyAlignment="1" applyProtection="1">
      <alignment horizontal="center"/>
      <protection locked="0"/>
    </xf>
    <xf numFmtId="49" fontId="29" fillId="0" borderId="0" xfId="5" applyNumberFormat="1" applyFont="1" applyAlignment="1" applyProtection="1">
      <alignment vertical="center" wrapText="1"/>
      <protection locked="0"/>
    </xf>
    <xf numFmtId="49" fontId="42" fillId="0" borderId="0" xfId="5" applyNumberFormat="1" applyFont="1" applyAlignment="1" applyProtection="1">
      <alignment wrapText="1"/>
      <protection locked="0"/>
    </xf>
    <xf numFmtId="14" fontId="33" fillId="0" borderId="0" xfId="5" applyNumberFormat="1" applyFont="1" applyAlignment="1" applyProtection="1">
      <alignment horizontal="center" vertical="center" wrapText="1"/>
      <protection locked="0"/>
    </xf>
    <xf numFmtId="49" fontId="1" fillId="0" borderId="18" xfId="0" applyNumberFormat="1" applyFont="1" applyBorder="1" applyAlignment="1">
      <alignment horizontal="center"/>
    </xf>
    <xf numFmtId="0" fontId="32" fillId="4" borderId="2" xfId="0" applyFont="1" applyFill="1" applyBorder="1" applyAlignment="1">
      <alignment horizontal="center"/>
    </xf>
    <xf numFmtId="165" fontId="32" fillId="4" borderId="2" xfId="0" applyNumberFormat="1" applyFont="1" applyFill="1" applyBorder="1" applyAlignment="1">
      <alignment horizontal="center"/>
    </xf>
    <xf numFmtId="0" fontId="32" fillId="7" borderId="2" xfId="0" applyFont="1" applyFill="1" applyBorder="1" applyAlignment="1">
      <alignment horizontal="center"/>
    </xf>
    <xf numFmtId="14" fontId="33" fillId="0" borderId="0" xfId="0" applyNumberFormat="1" applyFont="1" applyAlignment="1" applyProtection="1">
      <alignment horizontal="center"/>
      <protection locked="0"/>
    </xf>
    <xf numFmtId="14" fontId="29" fillId="0" borderId="0" xfId="0" applyNumberFormat="1" applyFont="1" applyAlignment="1" applyProtection="1">
      <alignment horizontal="left"/>
      <protection locked="0"/>
    </xf>
    <xf numFmtId="4" fontId="29" fillId="5" borderId="0" xfId="0" applyNumberFormat="1" applyFont="1" applyFill="1" applyAlignment="1" applyProtection="1">
      <alignment horizontal="right"/>
      <protection locked="0"/>
    </xf>
    <xf numFmtId="0" fontId="33" fillId="5" borderId="0" xfId="0" applyFont="1" applyFill="1" applyAlignment="1">
      <alignment horizontal="center"/>
    </xf>
    <xf numFmtId="49" fontId="33" fillId="5" borderId="0" xfId="5" applyNumberFormat="1" applyFont="1" applyFill="1" applyAlignment="1" applyProtection="1">
      <alignment vertical="center" wrapText="1"/>
      <protection locked="0"/>
    </xf>
    <xf numFmtId="49" fontId="29" fillId="5" borderId="0" xfId="5" applyNumberFormat="1" applyFont="1" applyFill="1" applyAlignment="1" applyProtection="1">
      <alignment vertical="center" wrapText="1"/>
      <protection locked="0"/>
    </xf>
    <xf numFmtId="14" fontId="33" fillId="5" borderId="0" xfId="5" applyNumberFormat="1" applyFont="1" applyFill="1" applyAlignment="1" applyProtection="1">
      <alignment horizontal="center" vertical="center" wrapText="1"/>
      <protection locked="0"/>
    </xf>
    <xf numFmtId="0" fontId="33" fillId="0" borderId="0" xfId="0" applyFont="1" applyAlignment="1" applyProtection="1">
      <alignment horizontal="left"/>
      <protection locked="0"/>
    </xf>
    <xf numFmtId="14" fontId="33" fillId="5" borderId="4" xfId="5" applyNumberFormat="1" applyFont="1" applyFill="1" applyBorder="1" applyAlignment="1" applyProtection="1">
      <alignment horizontal="center" vertical="center" wrapText="1"/>
      <protection locked="0"/>
    </xf>
    <xf numFmtId="49" fontId="42" fillId="5" borderId="2" xfId="5" applyNumberFormat="1" applyFont="1" applyFill="1" applyBorder="1" applyAlignment="1" applyProtection="1">
      <alignment vertical="center" wrapText="1"/>
      <protection locked="0"/>
    </xf>
    <xf numFmtId="49" fontId="42" fillId="5" borderId="14" xfId="5" applyNumberFormat="1" applyFont="1" applyFill="1" applyBorder="1" applyAlignment="1" applyProtection="1">
      <alignment vertical="center" wrapText="1"/>
      <protection locked="0"/>
    </xf>
    <xf numFmtId="49" fontId="42" fillId="5" borderId="4" xfId="5" applyNumberFormat="1" applyFont="1" applyFill="1" applyBorder="1" applyAlignment="1" applyProtection="1">
      <alignment vertical="center" wrapText="1"/>
      <protection locked="0"/>
    </xf>
    <xf numFmtId="49" fontId="29" fillId="0" borderId="7" xfId="0" applyNumberFormat="1" applyFont="1" applyBorder="1" applyAlignment="1">
      <alignment horizontal="center" vertical="center"/>
    </xf>
    <xf numFmtId="49" fontId="29" fillId="5" borderId="4" xfId="0" applyNumberFormat="1" applyFont="1" applyFill="1" applyBorder="1" applyAlignment="1">
      <alignment horizontal="center" vertical="center"/>
    </xf>
    <xf numFmtId="49" fontId="29" fillId="0" borderId="4" xfId="0" applyNumberFormat="1" applyFont="1" applyBorder="1" applyAlignment="1">
      <alignment horizontal="center" vertical="center"/>
    </xf>
    <xf numFmtId="0" fontId="42" fillId="0" borderId="4" xfId="0" applyFont="1" applyBorder="1" applyAlignment="1" applyProtection="1">
      <alignment horizontal="left" vertical="center" wrapText="1"/>
      <protection locked="0"/>
    </xf>
    <xf numFmtId="0" fontId="29" fillId="0" borderId="4" xfId="0" applyFont="1" applyBorder="1" applyAlignment="1" applyProtection="1">
      <alignment horizontal="left" vertical="center"/>
      <protection locked="0"/>
    </xf>
    <xf numFmtId="14" fontId="33" fillId="0" borderId="4" xfId="0" applyNumberFormat="1" applyFont="1" applyBorder="1" applyAlignment="1" applyProtection="1">
      <alignment horizontal="center" vertical="center"/>
      <protection locked="0"/>
    </xf>
    <xf numFmtId="0" fontId="33" fillId="0" borderId="4" xfId="0" applyFont="1" applyBorder="1" applyAlignment="1" applyProtection="1">
      <alignment horizontal="left" vertical="center" wrapText="1"/>
      <protection locked="0"/>
    </xf>
    <xf numFmtId="0" fontId="33" fillId="0" borderId="4" xfId="0" applyFont="1" applyBorder="1" applyAlignment="1" applyProtection="1">
      <alignment horizontal="center" vertical="center"/>
      <protection locked="0"/>
    </xf>
    <xf numFmtId="2" fontId="33" fillId="0" borderId="4" xfId="0" applyNumberFormat="1" applyFont="1" applyBorder="1" applyAlignment="1" applyProtection="1">
      <alignment horizontal="right" vertical="center"/>
      <protection locked="0"/>
    </xf>
    <xf numFmtId="165" fontId="33" fillId="0" borderId="4" xfId="2" applyNumberFormat="1" applyFont="1" applyFill="1" applyBorder="1" applyAlignment="1" applyProtection="1">
      <alignment horizontal="right" vertical="center"/>
    </xf>
    <xf numFmtId="165" fontId="33" fillId="0" borderId="4" xfId="2" applyNumberFormat="1" applyFont="1" applyBorder="1" applyAlignment="1" applyProtection="1">
      <alignment horizontal="right" vertical="center"/>
      <protection locked="0"/>
    </xf>
    <xf numFmtId="165" fontId="33" fillId="0" borderId="4" xfId="2" applyNumberFormat="1" applyFont="1" applyBorder="1" applyAlignment="1" applyProtection="1">
      <alignment horizontal="right" vertical="center"/>
    </xf>
    <xf numFmtId="166" fontId="33" fillId="0" borderId="4" xfId="2" applyNumberFormat="1" applyFont="1" applyBorder="1" applyAlignment="1" applyProtection="1">
      <alignment horizontal="right" vertical="center"/>
      <protection locked="0"/>
    </xf>
    <xf numFmtId="0" fontId="29" fillId="0" borderId="4" xfId="0" applyFont="1" applyBorder="1" applyAlignment="1">
      <alignment vertical="center"/>
    </xf>
    <xf numFmtId="165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43" fontId="4" fillId="0" borderId="0" xfId="2" applyFont="1" applyAlignment="1" applyProtection="1">
      <alignment vertical="center"/>
    </xf>
    <xf numFmtId="0" fontId="33" fillId="5" borderId="2" xfId="0" applyFont="1" applyFill="1" applyBorder="1" applyAlignment="1">
      <alignment horizontal="center" vertical="center"/>
    </xf>
    <xf numFmtId="49" fontId="33" fillId="0" borderId="4" xfId="0" applyNumberFormat="1" applyFont="1" applyBorder="1" applyAlignment="1">
      <alignment horizontal="center" vertical="center"/>
    </xf>
    <xf numFmtId="0" fontId="42" fillId="0" borderId="2" xfId="0" applyFont="1" applyBorder="1" applyAlignment="1">
      <alignment vertical="center" wrapText="1"/>
    </xf>
    <xf numFmtId="0" fontId="29" fillId="0" borderId="2" xfId="0" applyFont="1" applyBorder="1" applyAlignment="1">
      <alignment vertical="center"/>
    </xf>
    <xf numFmtId="0" fontId="29" fillId="0" borderId="4" xfId="0" applyFont="1" applyBorder="1" applyAlignment="1" applyProtection="1">
      <alignment horizontal="left" vertical="center" wrapText="1"/>
      <protection locked="0"/>
    </xf>
    <xf numFmtId="0" fontId="29" fillId="0" borderId="4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>
      <alignment vertical="center"/>
    </xf>
    <xf numFmtId="49" fontId="33" fillId="5" borderId="4" xfId="0" applyNumberFormat="1" applyFont="1" applyFill="1" applyBorder="1" applyAlignment="1">
      <alignment horizontal="center" vertical="center"/>
    </xf>
    <xf numFmtId="0" fontId="42" fillId="5" borderId="4" xfId="0" applyFont="1" applyFill="1" applyBorder="1" applyAlignment="1" applyProtection="1">
      <alignment horizontal="left" vertical="center" wrapText="1"/>
      <protection locked="0"/>
    </xf>
    <xf numFmtId="0" fontId="29" fillId="5" borderId="4" xfId="0" applyFont="1" applyFill="1" applyBorder="1" applyAlignment="1" applyProtection="1">
      <alignment horizontal="left" vertical="center"/>
      <protection locked="0"/>
    </xf>
    <xf numFmtId="14" fontId="29" fillId="5" borderId="4" xfId="0" applyNumberFormat="1" applyFont="1" applyFill="1" applyBorder="1" applyAlignment="1" applyProtection="1">
      <alignment horizontal="center" vertical="center"/>
      <protection locked="0"/>
    </xf>
    <xf numFmtId="2" fontId="29" fillId="0" borderId="4" xfId="0" applyNumberFormat="1" applyFont="1" applyBorder="1" applyAlignment="1" applyProtection="1">
      <alignment horizontal="left" vertical="center"/>
      <protection locked="0"/>
    </xf>
    <xf numFmtId="14" fontId="29" fillId="0" borderId="4" xfId="0" applyNumberFormat="1" applyFont="1" applyBorder="1" applyAlignment="1" applyProtection="1">
      <alignment horizontal="center" vertical="center"/>
      <protection locked="0"/>
    </xf>
    <xf numFmtId="165" fontId="29" fillId="0" borderId="4" xfId="2" applyNumberFormat="1" applyFont="1" applyFill="1" applyBorder="1" applyAlignment="1" applyProtection="1">
      <alignment horizontal="right" vertical="center"/>
    </xf>
    <xf numFmtId="165" fontId="29" fillId="0" borderId="4" xfId="2" applyNumberFormat="1" applyFont="1" applyBorder="1" applyAlignment="1" applyProtection="1">
      <alignment horizontal="right" vertical="center"/>
      <protection locked="0"/>
    </xf>
    <xf numFmtId="165" fontId="29" fillId="0" borderId="4" xfId="2" applyNumberFormat="1" applyFont="1" applyBorder="1" applyAlignment="1" applyProtection="1">
      <alignment horizontal="right" vertical="center"/>
    </xf>
    <xf numFmtId="165" fontId="29" fillId="2" borderId="4" xfId="2" applyNumberFormat="1" applyFont="1" applyFill="1" applyBorder="1" applyAlignment="1" applyProtection="1">
      <alignment horizontal="right" vertical="center"/>
    </xf>
    <xf numFmtId="10" fontId="29" fillId="2" borderId="4" xfId="3" applyNumberFormat="1" applyFont="1" applyFill="1" applyBorder="1" applyAlignment="1" applyProtection="1">
      <alignment horizontal="right" vertical="center"/>
    </xf>
    <xf numFmtId="165" fontId="29" fillId="7" borderId="4" xfId="2" applyNumberFormat="1" applyFont="1" applyFill="1" applyBorder="1" applyAlignment="1" applyProtection="1">
      <alignment horizontal="right" vertical="center"/>
    </xf>
    <xf numFmtId="166" fontId="29" fillId="0" borderId="4" xfId="2" applyNumberFormat="1" applyFont="1" applyBorder="1" applyAlignment="1" applyProtection="1">
      <alignment horizontal="right" vertical="center"/>
      <protection locked="0"/>
    </xf>
    <xf numFmtId="0" fontId="18" fillId="0" borderId="4" xfId="0" applyFont="1" applyBorder="1" applyAlignment="1">
      <alignment vertical="center"/>
    </xf>
    <xf numFmtId="0" fontId="18" fillId="0" borderId="0" xfId="0" applyFont="1" applyAlignment="1">
      <alignment vertical="center"/>
    </xf>
    <xf numFmtId="2" fontId="27" fillId="0" borderId="4" xfId="0" applyNumberFormat="1" applyFont="1" applyBorder="1" applyAlignment="1" applyProtection="1">
      <alignment horizontal="right" vertical="center"/>
      <protection locked="0"/>
    </xf>
    <xf numFmtId="49" fontId="29" fillId="0" borderId="9" xfId="0" applyNumberFormat="1" applyFont="1" applyBorder="1" applyAlignment="1">
      <alignment horizontal="center" vertical="center"/>
    </xf>
    <xf numFmtId="49" fontId="29" fillId="5" borderId="1" xfId="0" applyNumberFormat="1" applyFont="1" applyFill="1" applyBorder="1" applyAlignment="1">
      <alignment horizontal="center" vertical="center"/>
    </xf>
    <xf numFmtId="49" fontId="29" fillId="0" borderId="1" xfId="0" applyNumberFormat="1" applyFont="1" applyBorder="1" applyAlignment="1">
      <alignment horizontal="center" vertical="center"/>
    </xf>
    <xf numFmtId="0" fontId="42" fillId="0" borderId="3" xfId="0" applyFont="1" applyBorder="1" applyAlignment="1" applyProtection="1">
      <alignment horizontal="left" vertical="center" wrapText="1"/>
      <protection locked="0"/>
    </xf>
    <xf numFmtId="0" fontId="29" fillId="0" borderId="1" xfId="0" applyFont="1" applyBorder="1" applyAlignment="1" applyProtection="1">
      <alignment horizontal="left" vertical="center"/>
      <protection locked="0"/>
    </xf>
    <xf numFmtId="2" fontId="29" fillId="0" borderId="1" xfId="0" applyNumberFormat="1" applyFont="1" applyBorder="1" applyAlignment="1" applyProtection="1">
      <alignment horizontal="left" vertical="center"/>
      <protection locked="0"/>
    </xf>
    <xf numFmtId="14" fontId="29" fillId="0" borderId="1" xfId="0" applyNumberFormat="1" applyFont="1" applyBorder="1" applyAlignment="1" applyProtection="1">
      <alignment horizontal="center" vertical="center"/>
      <protection locked="0"/>
    </xf>
    <xf numFmtId="0" fontId="29" fillId="0" borderId="1" xfId="0" applyFont="1" applyBorder="1" applyAlignment="1" applyProtection="1">
      <alignment horizontal="left" vertical="center" wrapText="1"/>
      <protection locked="0"/>
    </xf>
    <xf numFmtId="0" fontId="29" fillId="0" borderId="1" xfId="0" applyFont="1" applyBorder="1" applyAlignment="1" applyProtection="1">
      <alignment horizontal="center" vertical="center"/>
      <protection locked="0"/>
    </xf>
    <xf numFmtId="0" fontId="18" fillId="0" borderId="1" xfId="0" applyFont="1" applyBorder="1" applyAlignment="1">
      <alignment vertical="center"/>
    </xf>
    <xf numFmtId="0" fontId="29" fillId="5" borderId="4" xfId="0" applyFont="1" applyFill="1" applyBorder="1" applyAlignment="1" applyProtection="1">
      <alignment horizontal="left" vertical="center" wrapText="1"/>
      <protection locked="0"/>
    </xf>
    <xf numFmtId="0" fontId="29" fillId="5" borderId="4" xfId="0" applyFont="1" applyFill="1" applyBorder="1" applyAlignment="1" applyProtection="1">
      <alignment horizontal="center" vertical="center"/>
      <protection locked="0"/>
    </xf>
    <xf numFmtId="165" fontId="29" fillId="5" borderId="4" xfId="2" applyNumberFormat="1" applyFont="1" applyFill="1" applyBorder="1" applyAlignment="1" applyProtection="1">
      <alignment horizontal="right" vertical="center"/>
    </xf>
    <xf numFmtId="0" fontId="18" fillId="5" borderId="4" xfId="0" applyFont="1" applyFill="1" applyBorder="1" applyAlignment="1">
      <alignment vertical="center"/>
    </xf>
    <xf numFmtId="165" fontId="27" fillId="2" borderId="4" xfId="2" applyNumberFormat="1" applyFont="1" applyFill="1" applyBorder="1" applyAlignment="1" applyProtection="1">
      <alignment horizontal="right" vertical="center"/>
    </xf>
    <xf numFmtId="0" fontId="29" fillId="0" borderId="0" xfId="0" applyFont="1" applyAlignment="1">
      <alignment horizontal="center" vertical="center"/>
    </xf>
    <xf numFmtId="0" fontId="29" fillId="0" borderId="7" xfId="0" applyFont="1" applyBorder="1" applyAlignment="1" applyProtection="1">
      <alignment horizontal="center" vertical="center"/>
      <protection locked="0"/>
    </xf>
    <xf numFmtId="2" fontId="4" fillId="0" borderId="7" xfId="0" applyNumberFormat="1" applyFont="1" applyBorder="1" applyAlignment="1" applyProtection="1">
      <alignment horizontal="right" vertical="center"/>
      <protection locked="0"/>
    </xf>
    <xf numFmtId="0" fontId="0" fillId="0" borderId="0" xfId="0" applyAlignment="1">
      <alignment vertical="center"/>
    </xf>
    <xf numFmtId="0" fontId="33" fillId="5" borderId="4" xfId="0" applyFont="1" applyFill="1" applyBorder="1" applyAlignment="1">
      <alignment horizontal="center" vertical="center"/>
    </xf>
    <xf numFmtId="0" fontId="33" fillId="0" borderId="4" xfId="0" applyFont="1" applyBorder="1" applyAlignment="1" applyProtection="1">
      <alignment horizontal="left" vertical="center"/>
      <protection locked="0"/>
    </xf>
    <xf numFmtId="165" fontId="29" fillId="0" borderId="7" xfId="2" applyNumberFormat="1" applyFont="1" applyFill="1" applyBorder="1" applyAlignment="1" applyProtection="1">
      <alignment horizontal="right" vertical="center"/>
    </xf>
    <xf numFmtId="165" fontId="29" fillId="0" borderId="7" xfId="2" applyNumberFormat="1" applyFont="1" applyBorder="1" applyAlignment="1" applyProtection="1">
      <alignment horizontal="right" vertical="center"/>
      <protection locked="0"/>
    </xf>
    <xf numFmtId="165" fontId="29" fillId="0" borderId="7" xfId="2" applyNumberFormat="1" applyFont="1" applyBorder="1" applyAlignment="1" applyProtection="1">
      <alignment horizontal="right" vertical="center"/>
    </xf>
    <xf numFmtId="14" fontId="33" fillId="0" borderId="4" xfId="0" applyNumberFormat="1" applyFont="1" applyBorder="1" applyAlignment="1">
      <alignment horizontal="center" vertical="center"/>
    </xf>
    <xf numFmtId="0" fontId="29" fillId="0" borderId="4" xfId="0" applyFont="1" applyBorder="1" applyAlignment="1">
      <alignment vertical="center" wrapText="1"/>
    </xf>
    <xf numFmtId="0" fontId="29" fillId="0" borderId="4" xfId="0" applyFont="1" applyBorder="1" applyAlignment="1">
      <alignment horizontal="left" vertical="center" wrapText="1"/>
    </xf>
    <xf numFmtId="49" fontId="29" fillId="0" borderId="18" xfId="0" applyNumberFormat="1" applyFont="1" applyBorder="1" applyAlignment="1">
      <alignment horizontal="center" vertical="center"/>
    </xf>
    <xf numFmtId="49" fontId="42" fillId="0" borderId="4" xfId="5" applyNumberFormat="1" applyFont="1" applyBorder="1" applyAlignment="1" applyProtection="1">
      <alignment vertical="center" wrapText="1"/>
      <protection locked="0"/>
    </xf>
    <xf numFmtId="0" fontId="31" fillId="0" borderId="0" xfId="0" applyFont="1" applyAlignment="1" applyProtection="1">
      <alignment horizontal="center" vertical="center"/>
      <protection locked="0"/>
    </xf>
    <xf numFmtId="14" fontId="33" fillId="0" borderId="4" xfId="0" applyNumberFormat="1" applyFont="1" applyBorder="1" applyAlignment="1" applyProtection="1">
      <alignment horizontal="left" vertical="center" wrapText="1"/>
      <protection locked="0"/>
    </xf>
    <xf numFmtId="14" fontId="33" fillId="5" borderId="4" xfId="0" applyNumberFormat="1" applyFont="1" applyFill="1" applyBorder="1" applyAlignment="1" applyProtection="1">
      <alignment horizontal="center" vertical="center"/>
      <protection locked="0"/>
    </xf>
    <xf numFmtId="49" fontId="1" fillId="0" borderId="7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vertical="center"/>
    </xf>
    <xf numFmtId="0" fontId="1" fillId="0" borderId="0" xfId="0" applyFont="1" applyAlignment="1">
      <alignment vertical="center"/>
    </xf>
    <xf numFmtId="49" fontId="1" fillId="0" borderId="0" xfId="0" applyNumberFormat="1" applyFont="1" applyAlignment="1">
      <alignment horizontal="center" vertical="center"/>
    </xf>
    <xf numFmtId="49" fontId="33" fillId="0" borderId="3" xfId="0" applyNumberFormat="1" applyFont="1" applyBorder="1" applyAlignment="1">
      <alignment horizontal="center" vertical="center"/>
    </xf>
    <xf numFmtId="0" fontId="42" fillId="5" borderId="3" xfId="0" applyFont="1" applyFill="1" applyBorder="1" applyAlignment="1" applyProtection="1">
      <alignment horizontal="left" vertical="center" wrapText="1"/>
      <protection locked="0"/>
    </xf>
    <xf numFmtId="0" fontId="29" fillId="5" borderId="3" xfId="0" applyFont="1" applyFill="1" applyBorder="1" applyAlignment="1" applyProtection="1">
      <alignment horizontal="left" vertical="center"/>
      <protection locked="0"/>
    </xf>
    <xf numFmtId="14" fontId="33" fillId="5" borderId="3" xfId="0" applyNumberFormat="1" applyFont="1" applyFill="1" applyBorder="1" applyAlignment="1" applyProtection="1">
      <alignment horizontal="center" vertical="center"/>
      <protection locked="0"/>
    </xf>
    <xf numFmtId="0" fontId="33" fillId="0" borderId="3" xfId="0" applyFont="1" applyBorder="1" applyAlignment="1" applyProtection="1">
      <alignment horizontal="left" vertical="center" wrapText="1"/>
      <protection locked="0"/>
    </xf>
    <xf numFmtId="165" fontId="33" fillId="0" borderId="3" xfId="2" applyNumberFormat="1" applyFont="1" applyFill="1" applyBorder="1" applyAlignment="1" applyProtection="1">
      <alignment horizontal="right" vertical="center"/>
    </xf>
    <xf numFmtId="165" fontId="33" fillId="0" borderId="3" xfId="2" applyNumberFormat="1" applyFont="1" applyBorder="1" applyAlignment="1" applyProtection="1">
      <alignment horizontal="right" vertical="center"/>
      <protection locked="0"/>
    </xf>
    <xf numFmtId="165" fontId="33" fillId="0" borderId="3" xfId="2" applyNumberFormat="1" applyFont="1" applyBorder="1" applyAlignment="1" applyProtection="1">
      <alignment horizontal="right" vertical="center"/>
    </xf>
    <xf numFmtId="166" fontId="33" fillId="0" borderId="3" xfId="2" applyNumberFormat="1" applyFont="1" applyBorder="1" applyAlignment="1" applyProtection="1">
      <alignment horizontal="right" vertical="center"/>
      <protection locked="0"/>
    </xf>
    <xf numFmtId="0" fontId="1" fillId="0" borderId="3" xfId="0" applyFont="1" applyBorder="1" applyAlignment="1">
      <alignment vertical="center"/>
    </xf>
    <xf numFmtId="43" fontId="1" fillId="0" borderId="0" xfId="2" applyFont="1" applyAlignment="1" applyProtection="1">
      <alignment vertical="center"/>
    </xf>
    <xf numFmtId="0" fontId="5" fillId="4" borderId="4" xfId="0" applyFont="1" applyFill="1" applyBorder="1" applyAlignment="1">
      <alignment horizontal="center" vertical="center"/>
    </xf>
    <xf numFmtId="0" fontId="33" fillId="5" borderId="4" xfId="0" applyFont="1" applyFill="1" applyBorder="1" applyAlignment="1">
      <alignment horizontal="center" vertical="center" wrapText="1"/>
    </xf>
    <xf numFmtId="49" fontId="33" fillId="5" borderId="4" xfId="0" applyNumberFormat="1" applyFont="1" applyFill="1" applyBorder="1" applyAlignment="1">
      <alignment horizontal="center" vertical="center" wrapText="1"/>
    </xf>
    <xf numFmtId="0" fontId="42" fillId="5" borderId="4" xfId="0" applyFont="1" applyFill="1" applyBorder="1" applyAlignment="1">
      <alignment horizontal="left" vertical="center" wrapText="1"/>
    </xf>
    <xf numFmtId="0" fontId="29" fillId="5" borderId="4" xfId="0" applyFont="1" applyFill="1" applyBorder="1" applyAlignment="1">
      <alignment horizontal="left" vertical="center"/>
    </xf>
    <xf numFmtId="14" fontId="33" fillId="5" borderId="4" xfId="0" applyNumberFormat="1" applyFont="1" applyFill="1" applyBorder="1" applyAlignment="1">
      <alignment horizontal="center" vertical="center"/>
    </xf>
    <xf numFmtId="0" fontId="33" fillId="5" borderId="4" xfId="0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vertical="center"/>
    </xf>
    <xf numFmtId="49" fontId="4" fillId="0" borderId="4" xfId="0" applyNumberFormat="1" applyFont="1" applyBorder="1" applyAlignment="1">
      <alignment horizontal="center" vertical="center"/>
    </xf>
    <xf numFmtId="9" fontId="18" fillId="0" borderId="0" xfId="0" applyNumberFormat="1" applyFont="1" applyAlignment="1">
      <alignment vertical="center"/>
    </xf>
    <xf numFmtId="0" fontId="40" fillId="0" borderId="0" xfId="0" applyFont="1" applyAlignment="1">
      <alignment vertical="center"/>
    </xf>
    <xf numFmtId="49" fontId="4" fillId="0" borderId="15" xfId="0" applyNumberFormat="1" applyFont="1" applyBorder="1" applyAlignment="1">
      <alignment horizontal="center" vertical="center"/>
    </xf>
    <xf numFmtId="0" fontId="29" fillId="0" borderId="0" xfId="0" applyFont="1" applyAlignment="1">
      <alignment vertical="center"/>
    </xf>
    <xf numFmtId="0" fontId="29" fillId="0" borderId="4" xfId="0" applyFont="1" applyBorder="1" applyAlignment="1">
      <alignment horizontal="center" vertical="center"/>
    </xf>
    <xf numFmtId="0" fontId="29" fillId="5" borderId="4" xfId="0" applyFont="1" applyFill="1" applyBorder="1" applyAlignment="1">
      <alignment vertical="center"/>
    </xf>
    <xf numFmtId="14" fontId="33" fillId="0" borderId="4" xfId="0" applyNumberFormat="1" applyFont="1" applyBorder="1" applyAlignment="1" applyProtection="1">
      <alignment horizontal="left" vertical="center"/>
      <protection locked="0"/>
    </xf>
    <xf numFmtId="0" fontId="35" fillId="0" borderId="0" xfId="0" applyFont="1" applyAlignment="1">
      <alignment vertical="center"/>
    </xf>
    <xf numFmtId="14" fontId="29" fillId="0" borderId="4" xfId="0" applyNumberFormat="1" applyFont="1" applyBorder="1" applyAlignment="1" applyProtection="1">
      <alignment horizontal="left" vertical="center"/>
      <protection locked="0"/>
    </xf>
    <xf numFmtId="4" fontId="29" fillId="0" borderId="4" xfId="0" applyNumberFormat="1" applyFont="1" applyBorder="1" applyAlignment="1" applyProtection="1">
      <alignment horizontal="right" vertical="center"/>
      <protection locked="0"/>
    </xf>
    <xf numFmtId="0" fontId="0" fillId="0" borderId="4" xfId="0" applyBorder="1" applyAlignment="1">
      <alignment vertical="center"/>
    </xf>
    <xf numFmtId="0" fontId="41" fillId="0" borderId="4" xfId="0" applyFont="1" applyBorder="1" applyAlignment="1">
      <alignment vertical="center"/>
    </xf>
    <xf numFmtId="165" fontId="18" fillId="2" borderId="4" xfId="2" applyNumberFormat="1" applyFont="1" applyFill="1" applyBorder="1" applyAlignment="1" applyProtection="1">
      <alignment horizontal="right" vertical="center"/>
    </xf>
    <xf numFmtId="0" fontId="35" fillId="0" borderId="4" xfId="0" applyFont="1" applyBorder="1" applyAlignment="1">
      <alignment vertical="center"/>
    </xf>
    <xf numFmtId="0" fontId="33" fillId="0" borderId="4" xfId="0" applyFont="1" applyBorder="1" applyAlignment="1">
      <alignment vertical="center"/>
    </xf>
    <xf numFmtId="49" fontId="33" fillId="0" borderId="2" xfId="0" applyNumberFormat="1" applyFont="1" applyBorder="1" applyAlignment="1">
      <alignment horizontal="center" vertical="center"/>
    </xf>
    <xf numFmtId="14" fontId="33" fillId="0" borderId="2" xfId="0" applyNumberFormat="1" applyFont="1" applyBorder="1" applyAlignment="1">
      <alignment horizontal="center" vertical="center"/>
    </xf>
    <xf numFmtId="49" fontId="29" fillId="0" borderId="0" xfId="0" applyNumberFormat="1" applyFont="1" applyAlignment="1">
      <alignment horizontal="center" vertical="center"/>
    </xf>
    <xf numFmtId="0" fontId="3" fillId="0" borderId="9" xfId="0" applyFont="1" applyBorder="1" applyAlignment="1">
      <alignment horizontal="center"/>
    </xf>
    <xf numFmtId="0" fontId="32" fillId="0" borderId="6" xfId="0" applyFont="1" applyBorder="1" applyAlignment="1">
      <alignment horizontal="center"/>
    </xf>
    <xf numFmtId="0" fontId="42" fillId="0" borderId="4" xfId="0" applyFont="1" applyBorder="1" applyAlignment="1">
      <alignment vertical="center" wrapText="1"/>
    </xf>
    <xf numFmtId="0" fontId="1" fillId="0" borderId="4" xfId="0" applyFont="1" applyBorder="1" applyAlignment="1" applyProtection="1">
      <alignment horizontal="left" vertical="center"/>
      <protection locked="0"/>
    </xf>
    <xf numFmtId="0" fontId="21" fillId="0" borderId="0" xfId="0" applyFont="1" applyAlignment="1">
      <alignment vertical="center"/>
    </xf>
    <xf numFmtId="49" fontId="42" fillId="5" borderId="4" xfId="0" applyNumberFormat="1" applyFont="1" applyFill="1" applyBorder="1" applyAlignment="1">
      <alignment vertical="center" wrapText="1"/>
    </xf>
    <xf numFmtId="49" fontId="42" fillId="0" borderId="4" xfId="0" applyNumberFormat="1" applyFont="1" applyBorder="1" applyAlignment="1">
      <alignment vertical="center" wrapText="1"/>
    </xf>
    <xf numFmtId="49" fontId="42" fillId="5" borderId="3" xfId="0" applyNumberFormat="1" applyFont="1" applyFill="1" applyBorder="1" applyAlignment="1">
      <alignment vertical="center" wrapText="1"/>
    </xf>
    <xf numFmtId="0" fontId="29" fillId="5" borderId="3" xfId="0" applyFont="1" applyFill="1" applyBorder="1" applyAlignment="1">
      <alignment vertical="center"/>
    </xf>
    <xf numFmtId="0" fontId="29" fillId="0" borderId="3" xfId="0" applyFont="1" applyBorder="1" applyAlignment="1">
      <alignment vertical="center"/>
    </xf>
    <xf numFmtId="14" fontId="33" fillId="0" borderId="3" xfId="0" applyNumberFormat="1" applyFont="1" applyBorder="1" applyAlignment="1">
      <alignment horizontal="center" vertical="center"/>
    </xf>
    <xf numFmtId="0" fontId="24" fillId="4" borderId="1" xfId="0" applyFont="1" applyFill="1" applyBorder="1" applyAlignment="1">
      <alignment horizontal="center" vertical="center"/>
    </xf>
    <xf numFmtId="0" fontId="29" fillId="5" borderId="4" xfId="0" applyFont="1" applyFill="1" applyBorder="1" applyAlignment="1">
      <alignment horizontal="center" vertical="center"/>
    </xf>
    <xf numFmtId="14" fontId="29" fillId="5" borderId="4" xfId="0" applyNumberFormat="1" applyFont="1" applyFill="1" applyBorder="1" applyAlignment="1">
      <alignment horizontal="left" vertical="center" wrapText="1"/>
    </xf>
    <xf numFmtId="0" fontId="29" fillId="5" borderId="4" xfId="0" applyFont="1" applyFill="1" applyBorder="1" applyAlignment="1">
      <alignment horizontal="left" vertical="center" wrapText="1"/>
    </xf>
    <xf numFmtId="14" fontId="29" fillId="5" borderId="4" xfId="0" applyNumberFormat="1" applyFont="1" applyFill="1" applyBorder="1" applyAlignment="1">
      <alignment horizontal="center" vertical="center"/>
    </xf>
    <xf numFmtId="0" fontId="29" fillId="5" borderId="2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wrapText="1"/>
    </xf>
    <xf numFmtId="0" fontId="2" fillId="4" borderId="4" xfId="0" applyFont="1" applyFill="1" applyBorder="1" applyAlignment="1">
      <alignment horizontal="center" wrapText="1"/>
    </xf>
    <xf numFmtId="0" fontId="42" fillId="0" borderId="0" xfId="0" applyFont="1" applyAlignment="1" applyProtection="1">
      <alignment horizontal="left" vertical="center" wrapText="1"/>
      <protection locked="0"/>
    </xf>
    <xf numFmtId="165" fontId="29" fillId="2" borderId="0" xfId="2" applyNumberFormat="1" applyFont="1" applyFill="1" applyBorder="1" applyAlignment="1" applyProtection="1">
      <alignment horizontal="right" vertical="center"/>
    </xf>
    <xf numFmtId="165" fontId="27" fillId="2" borderId="0" xfId="2" applyNumberFormat="1" applyFont="1" applyFill="1" applyBorder="1" applyAlignment="1" applyProtection="1">
      <alignment horizontal="right" vertical="center"/>
    </xf>
    <xf numFmtId="10" fontId="29" fillId="2" borderId="0" xfId="3" applyNumberFormat="1" applyFont="1" applyFill="1" applyBorder="1" applyAlignment="1" applyProtection="1">
      <alignment horizontal="right" vertical="center"/>
    </xf>
    <xf numFmtId="165" fontId="29" fillId="7" borderId="0" xfId="2" applyNumberFormat="1" applyFont="1" applyFill="1" applyBorder="1" applyAlignment="1" applyProtection="1">
      <alignment horizontal="right" vertical="center"/>
    </xf>
    <xf numFmtId="49" fontId="29" fillId="0" borderId="15" xfId="0" applyNumberFormat="1" applyFont="1" applyBorder="1" applyAlignment="1">
      <alignment horizontal="center" vertical="center"/>
    </xf>
    <xf numFmtId="0" fontId="29" fillId="5" borderId="0" xfId="0" applyFont="1" applyFill="1" applyAlignment="1" applyProtection="1">
      <alignment horizontal="left" vertical="center"/>
      <protection locked="0"/>
    </xf>
    <xf numFmtId="2" fontId="29" fillId="0" borderId="0" xfId="0" applyNumberFormat="1" applyFont="1" applyAlignment="1" applyProtection="1">
      <alignment horizontal="left" vertical="center"/>
      <protection locked="0"/>
    </xf>
    <xf numFmtId="14" fontId="29" fillId="0" borderId="0" xfId="0" applyNumberFormat="1" applyFont="1" applyAlignment="1" applyProtection="1">
      <alignment horizontal="center" vertical="center"/>
      <protection locked="0"/>
    </xf>
    <xf numFmtId="0" fontId="29" fillId="0" borderId="0" xfId="0" applyFont="1" applyAlignment="1" applyProtection="1">
      <alignment horizontal="left" vertical="center" wrapText="1"/>
      <protection locked="0"/>
    </xf>
    <xf numFmtId="0" fontId="29" fillId="0" borderId="0" xfId="0" applyFont="1" applyAlignment="1" applyProtection="1">
      <alignment horizontal="center" vertical="center"/>
      <protection locked="0"/>
    </xf>
    <xf numFmtId="2" fontId="27" fillId="0" borderId="0" xfId="0" applyNumberFormat="1" applyFont="1" applyAlignment="1" applyProtection="1">
      <alignment horizontal="right" vertical="center"/>
      <protection locked="0"/>
    </xf>
    <xf numFmtId="165" fontId="29" fillId="0" borderId="0" xfId="2" applyNumberFormat="1" applyFont="1" applyFill="1" applyBorder="1" applyAlignment="1" applyProtection="1">
      <alignment horizontal="right" vertical="center"/>
    </xf>
    <xf numFmtId="165" fontId="29" fillId="0" borderId="0" xfId="2" applyNumberFormat="1" applyFont="1" applyBorder="1" applyAlignment="1" applyProtection="1">
      <alignment horizontal="right" vertical="center"/>
      <protection locked="0"/>
    </xf>
    <xf numFmtId="165" fontId="29" fillId="0" borderId="0" xfId="2" applyNumberFormat="1" applyFont="1" applyBorder="1" applyAlignment="1" applyProtection="1">
      <alignment horizontal="right" vertical="center"/>
    </xf>
    <xf numFmtId="166" fontId="29" fillId="0" borderId="0" xfId="2" applyNumberFormat="1" applyFont="1" applyBorder="1" applyAlignment="1" applyProtection="1">
      <alignment horizontal="right" vertical="center"/>
      <protection locked="0"/>
    </xf>
    <xf numFmtId="0" fontId="18" fillId="4" borderId="4" xfId="0" applyFont="1" applyFill="1" applyBorder="1"/>
    <xf numFmtId="165" fontId="33" fillId="2" borderId="4" xfId="2" applyNumberFormat="1" applyFont="1" applyFill="1" applyBorder="1" applyAlignment="1" applyProtection="1">
      <alignment horizontal="right" vertical="center"/>
    </xf>
    <xf numFmtId="10" fontId="33" fillId="2" borderId="4" xfId="3" applyNumberFormat="1" applyFont="1" applyFill="1" applyBorder="1" applyAlignment="1" applyProtection="1">
      <alignment horizontal="right" vertical="center"/>
    </xf>
    <xf numFmtId="165" fontId="33" fillId="7" borderId="4" xfId="2" applyNumberFormat="1" applyFont="1" applyFill="1" applyBorder="1" applyAlignment="1" applyProtection="1">
      <alignment horizontal="right" vertical="center"/>
    </xf>
    <xf numFmtId="0" fontId="4" fillId="0" borderId="4" xfId="0" applyFont="1" applyBorder="1"/>
    <xf numFmtId="49" fontId="33" fillId="5" borderId="0" xfId="0" applyNumberFormat="1" applyFont="1" applyFill="1" applyBorder="1" applyAlignment="1">
      <alignment horizontal="center" vertical="center"/>
    </xf>
    <xf numFmtId="49" fontId="33" fillId="0" borderId="0" xfId="0" applyNumberFormat="1" applyFont="1" applyBorder="1" applyAlignment="1">
      <alignment horizontal="center" vertical="center"/>
    </xf>
    <xf numFmtId="0" fontId="42" fillId="0" borderId="0" xfId="0" applyFont="1" applyBorder="1" applyAlignment="1" applyProtection="1">
      <alignment horizontal="left" vertical="center" wrapText="1"/>
      <protection locked="0"/>
    </xf>
    <xf numFmtId="0" fontId="29" fillId="0" borderId="0" xfId="0" applyFont="1" applyBorder="1" applyAlignment="1" applyProtection="1">
      <alignment horizontal="left" vertical="center"/>
      <protection locked="0"/>
    </xf>
    <xf numFmtId="14" fontId="33" fillId="0" borderId="0" xfId="0" applyNumberFormat="1" applyFont="1" applyBorder="1" applyAlignment="1" applyProtection="1">
      <alignment horizontal="center" vertical="center"/>
      <protection locked="0"/>
    </xf>
    <xf numFmtId="0" fontId="33" fillId="0" borderId="0" xfId="0" applyFont="1" applyBorder="1" applyAlignment="1" applyProtection="1">
      <alignment horizontal="left" vertical="center" wrapText="1"/>
      <protection locked="0"/>
    </xf>
    <xf numFmtId="0" fontId="33" fillId="0" borderId="0" xfId="0" applyFont="1" applyBorder="1" applyAlignment="1" applyProtection="1">
      <alignment horizontal="center" vertical="center"/>
      <protection locked="0"/>
    </xf>
    <xf numFmtId="2" fontId="33" fillId="0" borderId="0" xfId="0" applyNumberFormat="1" applyFont="1" applyBorder="1" applyAlignment="1" applyProtection="1">
      <alignment horizontal="right" vertical="center"/>
      <protection locked="0"/>
    </xf>
    <xf numFmtId="165" fontId="33" fillId="0" borderId="0" xfId="2" applyNumberFormat="1" applyFont="1" applyFill="1" applyBorder="1" applyAlignment="1" applyProtection="1">
      <alignment horizontal="right" vertical="center"/>
    </xf>
    <xf numFmtId="165" fontId="33" fillId="0" borderId="0" xfId="2" applyNumberFormat="1" applyFont="1" applyBorder="1" applyAlignment="1" applyProtection="1">
      <alignment horizontal="right" vertical="center"/>
      <protection locked="0"/>
    </xf>
    <xf numFmtId="165" fontId="33" fillId="0" borderId="0" xfId="2" applyNumberFormat="1" applyFont="1" applyBorder="1" applyAlignment="1" applyProtection="1">
      <alignment horizontal="right" vertical="center"/>
    </xf>
    <xf numFmtId="166" fontId="33" fillId="0" borderId="0" xfId="2" applyNumberFormat="1" applyFont="1" applyBorder="1" applyAlignment="1" applyProtection="1">
      <alignment horizontal="right" vertical="center"/>
      <protection locked="0"/>
    </xf>
    <xf numFmtId="0" fontId="29" fillId="0" borderId="0" xfId="0" applyFont="1" applyBorder="1" applyAlignment="1">
      <alignment vertical="center"/>
    </xf>
    <xf numFmtId="49" fontId="1" fillId="0" borderId="18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45" fillId="0" borderId="0" xfId="0" applyFont="1"/>
    <xf numFmtId="0" fontId="3" fillId="0" borderId="0" xfId="0" applyFont="1" applyBorder="1" applyAlignment="1">
      <alignment horizontal="center"/>
    </xf>
    <xf numFmtId="0" fontId="29" fillId="0" borderId="15" xfId="0" applyFont="1" applyBorder="1" applyAlignment="1">
      <alignment horizontal="center" vertical="center"/>
    </xf>
    <xf numFmtId="0" fontId="29" fillId="5" borderId="0" xfId="0" applyFont="1" applyFill="1" applyBorder="1" applyAlignment="1" applyProtection="1">
      <alignment horizontal="left" vertical="center"/>
      <protection locked="0"/>
    </xf>
    <xf numFmtId="14" fontId="33" fillId="5" borderId="0" xfId="0" applyNumberFormat="1" applyFont="1" applyFill="1" applyBorder="1" applyAlignment="1" applyProtection="1">
      <alignment horizontal="center" vertical="center"/>
      <protection locked="0"/>
    </xf>
    <xf numFmtId="0" fontId="29" fillId="0" borderId="0" xfId="0" applyFont="1" applyBorder="1" applyAlignment="1" applyProtection="1">
      <alignment horizontal="left" vertical="center" wrapText="1"/>
      <protection locked="0"/>
    </xf>
    <xf numFmtId="0" fontId="29" fillId="5" borderId="0" xfId="0" applyFont="1" applyFill="1" applyBorder="1" applyAlignment="1">
      <alignment vertical="center"/>
    </xf>
    <xf numFmtId="0" fontId="9" fillId="0" borderId="9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32" fillId="0" borderId="15" xfId="0" applyFont="1" applyBorder="1" applyAlignment="1">
      <alignment horizontal="center"/>
    </xf>
    <xf numFmtId="0" fontId="32" fillId="0" borderId="16" xfId="0" applyFont="1" applyBorder="1" applyAlignment="1">
      <alignment horizontal="center"/>
    </xf>
    <xf numFmtId="0" fontId="32" fillId="0" borderId="17" xfId="0" applyFont="1" applyBorder="1" applyAlignment="1">
      <alignment horizontal="center"/>
    </xf>
    <xf numFmtId="0" fontId="31" fillId="0" borderId="0" xfId="0" applyFont="1" applyAlignment="1">
      <alignment horizontal="center"/>
    </xf>
    <xf numFmtId="0" fontId="31" fillId="0" borderId="0" xfId="0" applyFont="1" applyAlignment="1" applyProtection="1">
      <alignment horizontal="center"/>
      <protection locked="0"/>
    </xf>
    <xf numFmtId="0" fontId="28" fillId="3" borderId="15" xfId="0" applyFont="1" applyFill="1" applyBorder="1" applyAlignment="1">
      <alignment horizontal="center"/>
    </xf>
    <xf numFmtId="0" fontId="28" fillId="3" borderId="16" xfId="0" applyFont="1" applyFill="1" applyBorder="1" applyAlignment="1">
      <alignment horizontal="center"/>
    </xf>
    <xf numFmtId="0" fontId="28" fillId="3" borderId="17" xfId="0" applyFont="1" applyFill="1" applyBorder="1" applyAlignment="1">
      <alignment horizontal="center"/>
    </xf>
    <xf numFmtId="0" fontId="28" fillId="2" borderId="15" xfId="0" applyFont="1" applyFill="1" applyBorder="1" applyAlignment="1">
      <alignment horizontal="center"/>
    </xf>
    <xf numFmtId="0" fontId="28" fillId="2" borderId="16" xfId="0" applyFont="1" applyFill="1" applyBorder="1" applyAlignment="1">
      <alignment horizontal="center"/>
    </xf>
    <xf numFmtId="0" fontId="28" fillId="2" borderId="17" xfId="0" applyFont="1" applyFill="1" applyBorder="1" applyAlignment="1">
      <alignment horizontal="center"/>
    </xf>
    <xf numFmtId="0" fontId="28" fillId="0" borderId="15" xfId="0" applyFont="1" applyBorder="1" applyAlignment="1">
      <alignment horizontal="center"/>
    </xf>
    <xf numFmtId="0" fontId="28" fillId="0" borderId="16" xfId="0" applyFont="1" applyBorder="1" applyAlignment="1">
      <alignment horizontal="center"/>
    </xf>
    <xf numFmtId="0" fontId="28" fillId="0" borderId="17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3" fillId="3" borderId="15" xfId="0" applyFont="1" applyFill="1" applyBorder="1" applyAlignment="1">
      <alignment horizontal="center"/>
    </xf>
    <xf numFmtId="0" fontId="3" fillId="3" borderId="16" xfId="0" applyFont="1" applyFill="1" applyBorder="1" applyAlignment="1">
      <alignment horizontal="center"/>
    </xf>
    <xf numFmtId="0" fontId="3" fillId="3" borderId="17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3" fillId="2" borderId="17" xfId="0" applyFont="1" applyFill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165" fontId="44" fillId="0" borderId="0" xfId="2" applyNumberFormat="1" applyFont="1" applyFill="1" applyBorder="1" applyAlignment="1" applyProtection="1">
      <alignment horizontal="center"/>
    </xf>
    <xf numFmtId="165" fontId="44" fillId="0" borderId="0" xfId="2" applyNumberFormat="1" applyFont="1" applyBorder="1" applyAlignment="1" applyProtection="1">
      <alignment horizontal="center"/>
      <protection locked="0"/>
    </xf>
    <xf numFmtId="0" fontId="17" fillId="0" borderId="3" xfId="0" applyFont="1" applyBorder="1" applyAlignment="1">
      <alignment horizontal="center" wrapText="1"/>
    </xf>
    <xf numFmtId="0" fontId="17" fillId="0" borderId="1" xfId="0" applyFont="1" applyBorder="1" applyAlignment="1">
      <alignment horizontal="center" wrapText="1"/>
    </xf>
    <xf numFmtId="0" fontId="17" fillId="0" borderId="2" xfId="0" applyFont="1" applyBorder="1" applyAlignment="1">
      <alignment horizontal="center" wrapText="1"/>
    </xf>
    <xf numFmtId="0" fontId="17" fillId="3" borderId="15" xfId="0" applyFont="1" applyFill="1" applyBorder="1" applyAlignment="1">
      <alignment horizontal="center"/>
    </xf>
    <xf numFmtId="0" fontId="17" fillId="3" borderId="16" xfId="0" applyFont="1" applyFill="1" applyBorder="1" applyAlignment="1">
      <alignment horizontal="center"/>
    </xf>
    <xf numFmtId="0" fontId="17" fillId="3" borderId="17" xfId="0" applyFont="1" applyFill="1" applyBorder="1" applyAlignment="1">
      <alignment horizontal="center"/>
    </xf>
    <xf numFmtId="0" fontId="17" fillId="2" borderId="15" xfId="0" applyFont="1" applyFill="1" applyBorder="1" applyAlignment="1">
      <alignment horizontal="center"/>
    </xf>
    <xf numFmtId="0" fontId="17" fillId="2" borderId="16" xfId="0" applyFont="1" applyFill="1" applyBorder="1" applyAlignment="1">
      <alignment horizontal="center"/>
    </xf>
    <xf numFmtId="0" fontId="17" fillId="2" borderId="17" xfId="0" applyFont="1" applyFill="1" applyBorder="1" applyAlignment="1">
      <alignment horizontal="center"/>
    </xf>
    <xf numFmtId="0" fontId="17" fillId="0" borderId="15" xfId="0" applyFont="1" applyBorder="1" applyAlignment="1">
      <alignment horizontal="center"/>
    </xf>
    <xf numFmtId="0" fontId="17" fillId="0" borderId="16" xfId="0" applyFont="1" applyBorder="1" applyAlignment="1">
      <alignment horizontal="center"/>
    </xf>
    <xf numFmtId="0" fontId="17" fillId="0" borderId="17" xfId="0" applyFont="1" applyBorder="1" applyAlignment="1">
      <alignment horizontal="center"/>
    </xf>
    <xf numFmtId="0" fontId="44" fillId="0" borderId="0" xfId="0" applyFont="1" applyAlignment="1" applyProtection="1">
      <alignment horizontal="center" wrapText="1"/>
      <protection locked="0"/>
    </xf>
    <xf numFmtId="0" fontId="28" fillId="0" borderId="3" xfId="0" applyFont="1" applyBorder="1" applyAlignment="1">
      <alignment horizontal="center" wrapText="1"/>
    </xf>
    <xf numFmtId="0" fontId="28" fillId="0" borderId="1" xfId="0" applyFont="1" applyBorder="1" applyAlignment="1">
      <alignment horizontal="center" wrapText="1"/>
    </xf>
    <xf numFmtId="0" fontId="28" fillId="0" borderId="2" xfId="0" applyFont="1" applyBorder="1" applyAlignment="1">
      <alignment horizontal="center" wrapText="1"/>
    </xf>
    <xf numFmtId="0" fontId="31" fillId="0" borderId="11" xfId="0" applyFont="1" applyBorder="1" applyAlignment="1" applyProtection="1">
      <alignment horizontal="center"/>
      <protection locked="0"/>
    </xf>
    <xf numFmtId="0" fontId="32" fillId="0" borderId="4" xfId="0" applyFont="1" applyBorder="1" applyAlignment="1">
      <alignment horizontal="center"/>
    </xf>
    <xf numFmtId="165" fontId="46" fillId="0" borderId="0" xfId="2" applyNumberFormat="1" applyFont="1" applyFill="1" applyBorder="1" applyAlignment="1" applyProtection="1">
      <alignment horizontal="center" vertical="center"/>
    </xf>
    <xf numFmtId="0" fontId="28" fillId="4" borderId="15" xfId="0" applyFont="1" applyFill="1" applyBorder="1" applyAlignment="1">
      <alignment horizontal="center"/>
    </xf>
    <xf numFmtId="0" fontId="28" fillId="4" borderId="16" xfId="0" applyFont="1" applyFill="1" applyBorder="1" applyAlignment="1">
      <alignment horizontal="center"/>
    </xf>
    <xf numFmtId="0" fontId="28" fillId="4" borderId="17" xfId="0" applyFont="1" applyFill="1" applyBorder="1" applyAlignment="1">
      <alignment horizontal="center"/>
    </xf>
    <xf numFmtId="0" fontId="13" fillId="0" borderId="0" xfId="0" applyFont="1" applyAlignment="1" applyProtection="1">
      <alignment horizontal="center"/>
      <protection locked="0"/>
    </xf>
    <xf numFmtId="0" fontId="1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3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49" fontId="37" fillId="0" borderId="0" xfId="0" applyNumberFormat="1" applyFont="1" applyAlignment="1">
      <alignment horizontal="center" wrapText="1"/>
    </xf>
    <xf numFmtId="0" fontId="39" fillId="0" borderId="0" xfId="0" applyFont="1" applyAlignment="1">
      <alignment wrapText="1"/>
    </xf>
    <xf numFmtId="49" fontId="29" fillId="0" borderId="0" xfId="0" applyNumberFormat="1" applyFont="1" applyAlignment="1">
      <alignment horizontal="center" wrapText="1"/>
    </xf>
    <xf numFmtId="0" fontId="0" fillId="0" borderId="0" xfId="0" applyAlignment="1">
      <alignment wrapText="1"/>
    </xf>
    <xf numFmtId="0" fontId="43" fillId="4" borderId="15" xfId="0" applyFont="1" applyFill="1" applyBorder="1" applyAlignment="1">
      <alignment horizontal="center"/>
    </xf>
    <xf numFmtId="0" fontId="43" fillId="4" borderId="16" xfId="0" applyFont="1" applyFill="1" applyBorder="1" applyAlignment="1">
      <alignment horizontal="center"/>
    </xf>
    <xf numFmtId="0" fontId="43" fillId="4" borderId="17" xfId="0" applyFont="1" applyFill="1" applyBorder="1" applyAlignment="1">
      <alignment horizontal="center"/>
    </xf>
    <xf numFmtId="0" fontId="24" fillId="3" borderId="15" xfId="0" applyFont="1" applyFill="1" applyBorder="1" applyAlignment="1">
      <alignment horizontal="center"/>
    </xf>
    <xf numFmtId="0" fontId="24" fillId="3" borderId="16" xfId="0" applyFont="1" applyFill="1" applyBorder="1" applyAlignment="1">
      <alignment horizontal="center"/>
    </xf>
    <xf numFmtId="0" fontId="24" fillId="3" borderId="17" xfId="0" applyFont="1" applyFill="1" applyBorder="1" applyAlignment="1">
      <alignment horizontal="center"/>
    </xf>
    <xf numFmtId="0" fontId="24" fillId="2" borderId="15" xfId="0" applyFont="1" applyFill="1" applyBorder="1" applyAlignment="1">
      <alignment horizontal="center"/>
    </xf>
    <xf numFmtId="0" fontId="24" fillId="2" borderId="16" xfId="0" applyFont="1" applyFill="1" applyBorder="1" applyAlignment="1">
      <alignment horizontal="center"/>
    </xf>
    <xf numFmtId="0" fontId="24" fillId="2" borderId="17" xfId="0" applyFont="1" applyFill="1" applyBorder="1" applyAlignment="1">
      <alignment horizontal="center"/>
    </xf>
    <xf numFmtId="0" fontId="24" fillId="0" borderId="15" xfId="0" applyFont="1" applyBorder="1" applyAlignment="1">
      <alignment horizontal="center"/>
    </xf>
    <xf numFmtId="0" fontId="24" fillId="0" borderId="16" xfId="0" applyFont="1" applyBorder="1" applyAlignment="1">
      <alignment horizontal="center"/>
    </xf>
    <xf numFmtId="0" fontId="24" fillId="0" borderId="17" xfId="0" applyFont="1" applyBorder="1" applyAlignment="1">
      <alignment horizontal="center"/>
    </xf>
  </cellXfs>
  <cellStyles count="6">
    <cellStyle name="Euro" xfId="1" xr:uid="{00000000-0005-0000-0000-000000000000}"/>
    <cellStyle name="Millares" xfId="2" builtinId="3"/>
    <cellStyle name="Normal" xfId="0" builtinId="0"/>
    <cellStyle name="Normal 2" xfId="4" xr:uid="{00000000-0005-0000-0000-000003000000}"/>
    <cellStyle name="Normal_~9885111" xfId="5" xr:uid="{00000000-0005-0000-0000-000004000000}"/>
    <cellStyle name="Porcentaje" xfId="3" builtinId="5"/>
  </cellStyles>
  <dxfs count="0"/>
  <tableStyles count="0" defaultTableStyle="TableStyleMedium9" defaultPivotStyle="PivotStyleLight16"/>
  <colors>
    <mruColors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664029</xdr:colOff>
      <xdr:row>0</xdr:row>
      <xdr:rowOff>0</xdr:rowOff>
    </xdr:from>
    <xdr:to>
      <xdr:col>3</xdr:col>
      <xdr:colOff>1143000</xdr:colOff>
      <xdr:row>3</xdr:row>
      <xdr:rowOff>81643</xdr:rowOff>
    </xdr:to>
    <xdr:pic>
      <xdr:nvPicPr>
        <xdr:cNvPr id="4" name="2 Imagen" descr="14071">
          <a:extLst>
            <a:ext uri="{FF2B5EF4-FFF2-40B4-BE49-F238E27FC236}">
              <a16:creationId xmlns:a16="http://schemas.microsoft.com/office/drawing/2014/main" id="{0D23DF88-52B2-4855-9535-482329DD8544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0458" y="0"/>
          <a:ext cx="1145721" cy="8164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658345</xdr:colOff>
      <xdr:row>20</xdr:row>
      <xdr:rowOff>70039</xdr:rowOff>
    </xdr:from>
    <xdr:to>
      <xdr:col>3</xdr:col>
      <xdr:colOff>1804066</xdr:colOff>
      <xdr:row>23</xdr:row>
      <xdr:rowOff>64268</xdr:rowOff>
    </xdr:to>
    <xdr:pic>
      <xdr:nvPicPr>
        <xdr:cNvPr id="2" name="2 Imagen" descr="14071">
          <a:extLst>
            <a:ext uri="{FF2B5EF4-FFF2-40B4-BE49-F238E27FC236}">
              <a16:creationId xmlns:a16="http://schemas.microsoft.com/office/drawing/2014/main" id="{942159E2-9274-4B3B-8716-120FA1EE8689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61029" y="21319193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252132</xdr:colOff>
      <xdr:row>0</xdr:row>
      <xdr:rowOff>0</xdr:rowOff>
    </xdr:from>
    <xdr:to>
      <xdr:col>3</xdr:col>
      <xdr:colOff>1397853</xdr:colOff>
      <xdr:row>4</xdr:row>
      <xdr:rowOff>64266</xdr:rowOff>
    </xdr:to>
    <xdr:pic>
      <xdr:nvPicPr>
        <xdr:cNvPr id="5" name="2 Imagen" descr="14071">
          <a:extLst>
            <a:ext uri="{FF2B5EF4-FFF2-40B4-BE49-F238E27FC236}">
              <a16:creationId xmlns:a16="http://schemas.microsoft.com/office/drawing/2014/main" id="{71BA8397-073E-449D-BEDF-6741F3F5034A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54816" y="0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504264</xdr:colOff>
      <xdr:row>37</xdr:row>
      <xdr:rowOff>70036</xdr:rowOff>
    </xdr:from>
    <xdr:to>
      <xdr:col>3</xdr:col>
      <xdr:colOff>1649985</xdr:colOff>
      <xdr:row>39</xdr:row>
      <xdr:rowOff>330405</xdr:rowOff>
    </xdr:to>
    <xdr:pic>
      <xdr:nvPicPr>
        <xdr:cNvPr id="3" name="2 Imagen" descr="14071">
          <a:extLst>
            <a:ext uri="{FF2B5EF4-FFF2-40B4-BE49-F238E27FC236}">
              <a16:creationId xmlns:a16="http://schemas.microsoft.com/office/drawing/2014/main" id="{2242ECC0-A1C2-4D4A-BC57-EB26CD523CAD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06948" y="42862499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391439</xdr:colOff>
      <xdr:row>0</xdr:row>
      <xdr:rowOff>13048</xdr:rowOff>
    </xdr:from>
    <xdr:to>
      <xdr:col>3</xdr:col>
      <xdr:colOff>1537160</xdr:colOff>
      <xdr:row>4</xdr:row>
      <xdr:rowOff>4399</xdr:rowOff>
    </xdr:to>
    <xdr:pic>
      <xdr:nvPicPr>
        <xdr:cNvPr id="4" name="2 Imagen" descr="14071">
          <a:extLst>
            <a:ext uri="{FF2B5EF4-FFF2-40B4-BE49-F238E27FC236}">
              <a16:creationId xmlns:a16="http://schemas.microsoft.com/office/drawing/2014/main" id="{476DE00F-5B70-4E31-B490-75D6EC2956E9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26610" y="13048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358775</xdr:colOff>
      <xdr:row>0</xdr:row>
      <xdr:rowOff>28575</xdr:rowOff>
    </xdr:from>
    <xdr:to>
      <xdr:col>3</xdr:col>
      <xdr:colOff>1504496</xdr:colOff>
      <xdr:row>4</xdr:row>
      <xdr:rowOff>31582</xdr:rowOff>
    </xdr:to>
    <xdr:pic>
      <xdr:nvPicPr>
        <xdr:cNvPr id="3" name="2 Imagen" descr="14071">
          <a:extLst>
            <a:ext uri="{FF2B5EF4-FFF2-40B4-BE49-F238E27FC236}">
              <a16:creationId xmlns:a16="http://schemas.microsoft.com/office/drawing/2014/main" id="{DB33F908-AB02-4EB3-8FB8-C7893CB33979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7875" y="28575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360795</xdr:colOff>
      <xdr:row>0</xdr:row>
      <xdr:rowOff>0</xdr:rowOff>
    </xdr:from>
    <xdr:to>
      <xdr:col>3</xdr:col>
      <xdr:colOff>1506516</xdr:colOff>
      <xdr:row>3</xdr:row>
      <xdr:rowOff>168684</xdr:rowOff>
    </xdr:to>
    <xdr:pic>
      <xdr:nvPicPr>
        <xdr:cNvPr id="4" name="2 Imagen" descr="14071">
          <a:extLst>
            <a:ext uri="{FF2B5EF4-FFF2-40B4-BE49-F238E27FC236}">
              <a16:creationId xmlns:a16="http://schemas.microsoft.com/office/drawing/2014/main" id="{B47055A7-9597-4BCD-8EA9-E2DA08BF4F64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746250" y="0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3</xdr:col>
      <xdr:colOff>721590</xdr:colOff>
      <xdr:row>16</xdr:row>
      <xdr:rowOff>28863</xdr:rowOff>
    </xdr:from>
    <xdr:ext cx="1145721" cy="904707"/>
    <xdr:pic>
      <xdr:nvPicPr>
        <xdr:cNvPr id="2" name="2 Imagen" descr="14071">
          <a:extLst>
            <a:ext uri="{FF2B5EF4-FFF2-40B4-BE49-F238E27FC236}">
              <a16:creationId xmlns:a16="http://schemas.microsoft.com/office/drawing/2014/main" id="{4F471F24-8008-4F5B-B79E-DC97D522610A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7045" y="30494431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173182</xdr:colOff>
      <xdr:row>28</xdr:row>
      <xdr:rowOff>72159</xdr:rowOff>
    </xdr:from>
    <xdr:ext cx="1601931" cy="1284432"/>
    <xdr:pic>
      <xdr:nvPicPr>
        <xdr:cNvPr id="6" name="2 Imagen" descr="14071">
          <a:extLst>
            <a:ext uri="{FF2B5EF4-FFF2-40B4-BE49-F238E27FC236}">
              <a16:creationId xmlns:a16="http://schemas.microsoft.com/office/drawing/2014/main" id="{2BB8AEC6-0F0F-41EB-9D76-F58AA3349D24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58637" y="58217954"/>
          <a:ext cx="1601931" cy="12844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538370</xdr:colOff>
      <xdr:row>0</xdr:row>
      <xdr:rowOff>0</xdr:rowOff>
    </xdr:from>
    <xdr:to>
      <xdr:col>3</xdr:col>
      <xdr:colOff>1684091</xdr:colOff>
      <xdr:row>3</xdr:row>
      <xdr:rowOff>186881</xdr:rowOff>
    </xdr:to>
    <xdr:pic>
      <xdr:nvPicPr>
        <xdr:cNvPr id="5" name="2 Imagen" descr="14071">
          <a:extLst>
            <a:ext uri="{FF2B5EF4-FFF2-40B4-BE49-F238E27FC236}">
              <a16:creationId xmlns:a16="http://schemas.microsoft.com/office/drawing/2014/main" id="{2DD8ABD7-99D1-4F8F-A5EE-D86925D22A12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15435" y="0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289891</xdr:colOff>
      <xdr:row>15</xdr:row>
      <xdr:rowOff>317501</xdr:rowOff>
    </xdr:from>
    <xdr:to>
      <xdr:col>3</xdr:col>
      <xdr:colOff>1435612</xdr:colOff>
      <xdr:row>18</xdr:row>
      <xdr:rowOff>186882</xdr:rowOff>
    </xdr:to>
    <xdr:pic>
      <xdr:nvPicPr>
        <xdr:cNvPr id="2" name="2 Imagen" descr="14071">
          <a:extLst>
            <a:ext uri="{FF2B5EF4-FFF2-40B4-BE49-F238E27FC236}">
              <a16:creationId xmlns:a16="http://schemas.microsoft.com/office/drawing/2014/main" id="{DA6A873F-2BE8-4FDA-9840-0C3A42B9B2BE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22174" y="15888805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3</xdr:col>
      <xdr:colOff>262283</xdr:colOff>
      <xdr:row>27</xdr:row>
      <xdr:rowOff>124241</xdr:rowOff>
    </xdr:from>
    <xdr:ext cx="1145721" cy="959924"/>
    <xdr:pic>
      <xdr:nvPicPr>
        <xdr:cNvPr id="4" name="2 Imagen" descr="14071">
          <a:extLst>
            <a:ext uri="{FF2B5EF4-FFF2-40B4-BE49-F238E27FC236}">
              <a16:creationId xmlns:a16="http://schemas.microsoft.com/office/drawing/2014/main" id="{4F78BE8B-C1F3-40D8-B43A-B5B83F247E8C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794566" y="40653806"/>
          <a:ext cx="1145721" cy="9599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311727</xdr:colOff>
      <xdr:row>0</xdr:row>
      <xdr:rowOff>1</xdr:rowOff>
    </xdr:from>
    <xdr:to>
      <xdr:col>3</xdr:col>
      <xdr:colOff>1457448</xdr:colOff>
      <xdr:row>4</xdr:row>
      <xdr:rowOff>21481</xdr:rowOff>
    </xdr:to>
    <xdr:pic>
      <xdr:nvPicPr>
        <xdr:cNvPr id="5" name="2 Imagen" descr="14071">
          <a:extLst>
            <a:ext uri="{FF2B5EF4-FFF2-40B4-BE49-F238E27FC236}">
              <a16:creationId xmlns:a16="http://schemas.microsoft.com/office/drawing/2014/main" id="{2CDC97BE-DEAF-4C42-A420-CB8A8E9523FA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82091" y="1"/>
          <a:ext cx="1145721" cy="9393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502228</xdr:colOff>
      <xdr:row>18</xdr:row>
      <xdr:rowOff>242454</xdr:rowOff>
    </xdr:from>
    <xdr:to>
      <xdr:col>3</xdr:col>
      <xdr:colOff>851312</xdr:colOff>
      <xdr:row>20</xdr:row>
      <xdr:rowOff>281253</xdr:rowOff>
    </xdr:to>
    <xdr:pic>
      <xdr:nvPicPr>
        <xdr:cNvPr id="2" name="2 Imagen" descr="14071">
          <a:extLst>
            <a:ext uri="{FF2B5EF4-FFF2-40B4-BE49-F238E27FC236}">
              <a16:creationId xmlns:a16="http://schemas.microsoft.com/office/drawing/2014/main" id="{B48F73C0-C0A6-498C-924B-E85738A6A7EC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75955" y="19742727"/>
          <a:ext cx="1145721" cy="9393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3</xdr:col>
      <xdr:colOff>346363</xdr:colOff>
      <xdr:row>32</xdr:row>
      <xdr:rowOff>190500</xdr:rowOff>
    </xdr:from>
    <xdr:ext cx="1541318" cy="1489364"/>
    <xdr:pic>
      <xdr:nvPicPr>
        <xdr:cNvPr id="8" name="2 Imagen" descr="14071">
          <a:extLst>
            <a:ext uri="{FF2B5EF4-FFF2-40B4-BE49-F238E27FC236}">
              <a16:creationId xmlns:a16="http://schemas.microsoft.com/office/drawing/2014/main" id="{339CBAE4-9C52-4CCE-9DE0-EE76C849C30A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16727" y="39191045"/>
          <a:ext cx="1541318" cy="14893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623455</xdr:colOff>
      <xdr:row>44</xdr:row>
      <xdr:rowOff>121227</xdr:rowOff>
    </xdr:from>
    <xdr:ext cx="1541318" cy="1489364"/>
    <xdr:pic>
      <xdr:nvPicPr>
        <xdr:cNvPr id="7" name="2 Imagen" descr="14071">
          <a:extLst>
            <a:ext uri="{FF2B5EF4-FFF2-40B4-BE49-F238E27FC236}">
              <a16:creationId xmlns:a16="http://schemas.microsoft.com/office/drawing/2014/main" id="{3E13C997-5623-43AD-A157-A77D5A19E37B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7182" y="61011954"/>
          <a:ext cx="1541318" cy="14893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434474</xdr:colOff>
      <xdr:row>0</xdr:row>
      <xdr:rowOff>100264</xdr:rowOff>
    </xdr:from>
    <xdr:to>
      <xdr:col>3</xdr:col>
      <xdr:colOff>1580195</xdr:colOff>
      <xdr:row>4</xdr:row>
      <xdr:rowOff>102603</xdr:rowOff>
    </xdr:to>
    <xdr:pic>
      <xdr:nvPicPr>
        <xdr:cNvPr id="3" name="2 Imagen" descr="14071">
          <a:extLst>
            <a:ext uri="{FF2B5EF4-FFF2-40B4-BE49-F238E27FC236}">
              <a16:creationId xmlns:a16="http://schemas.microsoft.com/office/drawing/2014/main" id="{C198BC4F-77D6-4531-815C-B4074261EE55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87500" y="100264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416035</xdr:colOff>
      <xdr:row>0</xdr:row>
      <xdr:rowOff>76639</xdr:rowOff>
    </xdr:from>
    <xdr:to>
      <xdr:col>3</xdr:col>
      <xdr:colOff>1561756</xdr:colOff>
      <xdr:row>4</xdr:row>
      <xdr:rowOff>105484</xdr:rowOff>
    </xdr:to>
    <xdr:pic>
      <xdr:nvPicPr>
        <xdr:cNvPr id="3" name="2 Imagen" descr="14071">
          <a:extLst>
            <a:ext uri="{FF2B5EF4-FFF2-40B4-BE49-F238E27FC236}">
              <a16:creationId xmlns:a16="http://schemas.microsoft.com/office/drawing/2014/main" id="{19A53EC1-A4F3-4570-8B57-4CB9F8EDA4AA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8966" y="76639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21897</xdr:colOff>
      <xdr:row>15</xdr:row>
      <xdr:rowOff>131379</xdr:rowOff>
    </xdr:from>
    <xdr:to>
      <xdr:col>3</xdr:col>
      <xdr:colOff>1226207</xdr:colOff>
      <xdr:row>18</xdr:row>
      <xdr:rowOff>284655</xdr:rowOff>
    </xdr:to>
    <xdr:pic>
      <xdr:nvPicPr>
        <xdr:cNvPr id="2" name="2 Imagen" descr="14071">
          <a:extLst>
            <a:ext uri="{FF2B5EF4-FFF2-40B4-BE49-F238E27FC236}">
              <a16:creationId xmlns:a16="http://schemas.microsoft.com/office/drawing/2014/main" id="{FDFD991E-5A76-4A10-A907-347AD923915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94828" y="16718017"/>
          <a:ext cx="1204310" cy="10400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285750</xdr:colOff>
      <xdr:row>0</xdr:row>
      <xdr:rowOff>104775</xdr:rowOff>
    </xdr:from>
    <xdr:to>
      <xdr:col>2</xdr:col>
      <xdr:colOff>1431471</xdr:colOff>
      <xdr:row>4</xdr:row>
      <xdr:rowOff>114132</xdr:rowOff>
    </xdr:to>
    <xdr:pic>
      <xdr:nvPicPr>
        <xdr:cNvPr id="3" name="2 Imagen" descr="14071">
          <a:extLst>
            <a:ext uri="{FF2B5EF4-FFF2-40B4-BE49-F238E27FC236}">
              <a16:creationId xmlns:a16="http://schemas.microsoft.com/office/drawing/2014/main" id="{A8081897-A522-4E72-A4FB-1B2B199FF56B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14475" y="104775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508870</xdr:colOff>
      <xdr:row>0</xdr:row>
      <xdr:rowOff>39144</xdr:rowOff>
    </xdr:from>
    <xdr:to>
      <xdr:col>3</xdr:col>
      <xdr:colOff>1654591</xdr:colOff>
      <xdr:row>4</xdr:row>
      <xdr:rowOff>30495</xdr:rowOff>
    </xdr:to>
    <xdr:pic>
      <xdr:nvPicPr>
        <xdr:cNvPr id="3" name="2 Imagen" descr="14071">
          <a:extLst>
            <a:ext uri="{FF2B5EF4-FFF2-40B4-BE49-F238E27FC236}">
              <a16:creationId xmlns:a16="http://schemas.microsoft.com/office/drawing/2014/main" id="{B453AB8B-A8E0-45AD-B70D-1E54C22057B9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00617" y="39144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534965</xdr:colOff>
      <xdr:row>15</xdr:row>
      <xdr:rowOff>169624</xdr:rowOff>
    </xdr:from>
    <xdr:to>
      <xdr:col>3</xdr:col>
      <xdr:colOff>1774520</xdr:colOff>
      <xdr:row>18</xdr:row>
      <xdr:rowOff>143527</xdr:rowOff>
    </xdr:to>
    <xdr:pic>
      <xdr:nvPicPr>
        <xdr:cNvPr id="2" name="2 Imagen" descr="14071">
          <a:extLst>
            <a:ext uri="{FF2B5EF4-FFF2-40B4-BE49-F238E27FC236}">
              <a16:creationId xmlns:a16="http://schemas.microsoft.com/office/drawing/2014/main" id="{E241E56D-25BD-4B18-98AA-D37D9F8EB4AD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26712" y="16583939"/>
          <a:ext cx="1239555" cy="10699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55"/>
  <sheetViews>
    <sheetView showGridLines="0" workbookViewId="0">
      <selection activeCell="F13" sqref="F13:G23"/>
    </sheetView>
  </sheetViews>
  <sheetFormatPr baseColWidth="10" defaultColWidth="11.42578125" defaultRowHeight="12.75" x14ac:dyDescent="0.2"/>
  <cols>
    <col min="2" max="4" width="13.7109375" customWidth="1"/>
    <col min="6" max="7" width="13.7109375" customWidth="1"/>
    <col min="9" max="9" width="11" customWidth="1"/>
  </cols>
  <sheetData>
    <row r="2" spans="1:9" ht="35.25" x14ac:dyDescent="0.3">
      <c r="B2" s="6" t="s">
        <v>55</v>
      </c>
      <c r="C2" s="7"/>
      <c r="D2" s="7"/>
      <c r="E2" s="7"/>
      <c r="F2" s="7"/>
      <c r="G2" s="7"/>
      <c r="I2" s="110" t="s">
        <v>195</v>
      </c>
    </row>
    <row r="3" spans="1:9" x14ac:dyDescent="0.2">
      <c r="B3" s="8" t="s">
        <v>47</v>
      </c>
      <c r="C3" s="7"/>
      <c r="D3" s="7"/>
      <c r="E3" s="7"/>
      <c r="F3" s="7"/>
      <c r="G3" s="7"/>
      <c r="I3" s="109">
        <v>278.8</v>
      </c>
    </row>
    <row r="4" spans="1:9" x14ac:dyDescent="0.2">
      <c r="B4" s="19" t="s">
        <v>580</v>
      </c>
      <c r="C4" s="7"/>
      <c r="D4" s="7"/>
      <c r="E4" s="7"/>
      <c r="F4" s="7"/>
      <c r="G4" s="7"/>
    </row>
    <row r="5" spans="1:9" x14ac:dyDescent="0.2">
      <c r="B5" s="7"/>
      <c r="C5" s="7"/>
      <c r="D5" s="7"/>
      <c r="E5" s="7"/>
      <c r="F5" s="7"/>
      <c r="G5" s="7"/>
    </row>
    <row r="6" spans="1:9" x14ac:dyDescent="0.2">
      <c r="B6" s="7"/>
      <c r="C6" s="7"/>
      <c r="D6" s="7"/>
      <c r="E6" s="7"/>
      <c r="F6" s="7"/>
      <c r="G6" s="7"/>
    </row>
    <row r="7" spans="1:9" ht="18.75" customHeight="1" x14ac:dyDescent="0.2">
      <c r="B7" s="450" t="s">
        <v>10</v>
      </c>
      <c r="C7" s="450"/>
      <c r="D7" s="450"/>
      <c r="E7" s="7"/>
      <c r="F7" s="443" t="s">
        <v>48</v>
      </c>
      <c r="G7" s="444"/>
      <c r="I7" s="110" t="s">
        <v>196</v>
      </c>
    </row>
    <row r="8" spans="1:9" ht="14.25" customHeight="1" x14ac:dyDescent="0.2">
      <c r="B8" s="447" t="s">
        <v>9</v>
      </c>
      <c r="C8" s="447"/>
      <c r="D8" s="447"/>
      <c r="E8" s="7"/>
      <c r="F8" s="448" t="s">
        <v>49</v>
      </c>
      <c r="G8" s="449"/>
      <c r="I8" s="109">
        <v>113.14</v>
      </c>
    </row>
    <row r="9" spans="1:9" ht="8.25" customHeight="1" x14ac:dyDescent="0.2">
      <c r="B9" s="451"/>
      <c r="C9" s="451"/>
      <c r="D9" s="451"/>
      <c r="E9" s="7"/>
      <c r="F9" s="445"/>
      <c r="G9" s="446"/>
    </row>
    <row r="10" spans="1:9" ht="16.5" customHeight="1" x14ac:dyDescent="0.2">
      <c r="B10" s="9" t="s">
        <v>11</v>
      </c>
      <c r="C10" s="9" t="s">
        <v>13</v>
      </c>
      <c r="D10" s="9" t="s">
        <v>7</v>
      </c>
      <c r="E10" s="7"/>
      <c r="F10" s="9" t="s">
        <v>16</v>
      </c>
      <c r="G10" s="9" t="s">
        <v>50</v>
      </c>
    </row>
    <row r="11" spans="1:9" x14ac:dyDescent="0.2">
      <c r="A11" s="2"/>
      <c r="B11" s="9" t="s">
        <v>12</v>
      </c>
      <c r="C11" s="9" t="s">
        <v>14</v>
      </c>
      <c r="D11" s="9" t="s">
        <v>15</v>
      </c>
      <c r="E11" s="7"/>
      <c r="F11" s="9"/>
      <c r="G11" s="9" t="s">
        <v>51</v>
      </c>
    </row>
    <row r="12" spans="1:9" x14ac:dyDescent="0.2">
      <c r="A12" s="3"/>
      <c r="B12" s="10"/>
      <c r="C12" s="10"/>
      <c r="D12" s="10"/>
      <c r="E12" s="11"/>
      <c r="F12" s="10"/>
      <c r="G12" s="10"/>
    </row>
    <row r="13" spans="1:9" ht="15.95" customHeight="1" x14ac:dyDescent="0.2">
      <c r="A13" s="1"/>
      <c r="B13" s="20">
        <v>0.01</v>
      </c>
      <c r="C13" s="20">
        <v>0</v>
      </c>
      <c r="D13" s="21">
        <v>1.9199999999999998E-2</v>
      </c>
      <c r="E13" s="14"/>
      <c r="F13" s="20">
        <v>0.01</v>
      </c>
      <c r="G13" s="20">
        <v>475</v>
      </c>
    </row>
    <row r="14" spans="1:9" ht="15.95" customHeight="1" x14ac:dyDescent="0.2">
      <c r="A14" s="1"/>
      <c r="B14" s="20">
        <v>746.05</v>
      </c>
      <c r="C14" s="20">
        <v>14.32</v>
      </c>
      <c r="D14" s="21">
        <v>6.4000000000000001E-2</v>
      </c>
      <c r="E14" s="14"/>
      <c r="F14" s="20">
        <v>10171.01</v>
      </c>
      <c r="G14" s="20">
        <v>0</v>
      </c>
    </row>
    <row r="15" spans="1:9" ht="15.95" customHeight="1" x14ac:dyDescent="0.2">
      <c r="A15" s="1"/>
      <c r="B15" s="20">
        <v>6332.06</v>
      </c>
      <c r="C15" s="20">
        <v>371.83</v>
      </c>
      <c r="D15" s="21">
        <v>0.10879999999999999</v>
      </c>
      <c r="E15" s="14"/>
      <c r="F15" s="20">
        <v>10171.01</v>
      </c>
      <c r="G15" s="20">
        <v>0</v>
      </c>
    </row>
    <row r="16" spans="1:9" ht="15.95" customHeight="1" x14ac:dyDescent="0.2">
      <c r="A16" s="1"/>
      <c r="B16" s="20">
        <v>11128.02</v>
      </c>
      <c r="C16" s="20">
        <v>893.63</v>
      </c>
      <c r="D16" s="21">
        <v>0.16</v>
      </c>
      <c r="E16" s="14"/>
      <c r="F16" s="20">
        <v>10171.01</v>
      </c>
      <c r="G16" s="20">
        <v>0</v>
      </c>
    </row>
    <row r="17" spans="1:8" ht="15.95" customHeight="1" x14ac:dyDescent="0.2">
      <c r="A17" s="1"/>
      <c r="B17" s="20">
        <v>12935.83</v>
      </c>
      <c r="C17" s="20">
        <v>1182.8800000000001</v>
      </c>
      <c r="D17" s="21">
        <v>0.1792</v>
      </c>
      <c r="E17" s="14"/>
      <c r="F17" s="20">
        <v>10171.01</v>
      </c>
      <c r="G17" s="20">
        <v>0</v>
      </c>
    </row>
    <row r="18" spans="1:8" ht="15.95" customHeight="1" x14ac:dyDescent="0.2">
      <c r="A18" s="1"/>
      <c r="B18" s="20">
        <v>15487.72</v>
      </c>
      <c r="C18" s="20">
        <v>1640.18</v>
      </c>
      <c r="D18" s="21">
        <v>0.21360000000000001</v>
      </c>
      <c r="E18" s="14"/>
      <c r="F18" s="20">
        <v>10171.01</v>
      </c>
      <c r="G18" s="20">
        <v>0</v>
      </c>
    </row>
    <row r="19" spans="1:8" ht="15.95" customHeight="1" x14ac:dyDescent="0.2">
      <c r="A19" s="1"/>
      <c r="B19" s="20">
        <v>31236.5</v>
      </c>
      <c r="C19" s="20">
        <v>5004.12</v>
      </c>
      <c r="D19" s="21">
        <v>0.23519999999999999</v>
      </c>
      <c r="E19" s="7"/>
      <c r="F19" s="20">
        <v>10171.01</v>
      </c>
      <c r="G19" s="20">
        <v>0</v>
      </c>
    </row>
    <row r="20" spans="1:8" ht="15.95" customHeight="1" x14ac:dyDescent="0.2">
      <c r="A20" s="1"/>
      <c r="B20" s="20">
        <v>49233.01</v>
      </c>
      <c r="C20" s="20">
        <v>9236.89</v>
      </c>
      <c r="D20" s="21">
        <v>0.3</v>
      </c>
      <c r="E20" s="7"/>
      <c r="F20" s="20">
        <v>10171.01</v>
      </c>
      <c r="G20" s="20">
        <v>0</v>
      </c>
    </row>
    <row r="21" spans="1:8" x14ac:dyDescent="0.2">
      <c r="A21" s="1"/>
      <c r="B21" s="20">
        <v>93993.91</v>
      </c>
      <c r="C21" s="20">
        <v>22665.17</v>
      </c>
      <c r="D21" s="21">
        <v>0.32</v>
      </c>
      <c r="E21" s="7"/>
      <c r="F21" s="20">
        <v>10171.01</v>
      </c>
      <c r="G21" s="20">
        <v>0</v>
      </c>
    </row>
    <row r="22" spans="1:8" ht="14.25" customHeight="1" x14ac:dyDescent="0.2">
      <c r="A22" s="1"/>
      <c r="B22" s="20">
        <v>125325.21</v>
      </c>
      <c r="C22" s="20">
        <v>32691.18</v>
      </c>
      <c r="D22" s="21">
        <v>0.34</v>
      </c>
      <c r="E22" s="7"/>
      <c r="F22" s="20">
        <v>10171.01</v>
      </c>
      <c r="G22" s="20">
        <v>0</v>
      </c>
    </row>
    <row r="23" spans="1:8" x14ac:dyDescent="0.2">
      <c r="B23" s="20">
        <v>375975.62</v>
      </c>
      <c r="C23" s="20">
        <v>117912.32000000001</v>
      </c>
      <c r="D23" s="21">
        <v>0.35</v>
      </c>
      <c r="E23" s="7"/>
      <c r="F23" s="20">
        <v>10171.01</v>
      </c>
      <c r="G23" s="20">
        <v>0</v>
      </c>
    </row>
    <row r="24" spans="1:8" x14ac:dyDescent="0.2">
      <c r="B24" s="15"/>
      <c r="C24" s="15"/>
      <c r="D24" s="16"/>
      <c r="E24" s="7"/>
      <c r="F24" s="17"/>
      <c r="G24" s="17"/>
    </row>
    <row r="25" spans="1:8" x14ac:dyDescent="0.2">
      <c r="E25" s="7"/>
      <c r="F25" s="7"/>
      <c r="G25" s="7"/>
    </row>
    <row r="26" spans="1:8" x14ac:dyDescent="0.2">
      <c r="B26" s="7"/>
      <c r="C26" s="7"/>
      <c r="D26" s="7"/>
      <c r="E26" s="7"/>
      <c r="F26" s="7"/>
      <c r="G26" s="7"/>
    </row>
    <row r="27" spans="1:8" x14ac:dyDescent="0.2">
      <c r="B27" s="8" t="s">
        <v>19</v>
      </c>
      <c r="C27" s="7"/>
      <c r="D27" s="7"/>
    </row>
    <row r="28" spans="1:8" ht="15.75" x14ac:dyDescent="0.25">
      <c r="B28" s="18" t="s">
        <v>582</v>
      </c>
      <c r="C28" s="7"/>
      <c r="D28" s="7"/>
    </row>
    <row r="29" spans="1:8" x14ac:dyDescent="0.2">
      <c r="B29" s="32" t="s">
        <v>581</v>
      </c>
      <c r="C29" s="7"/>
      <c r="D29" s="7"/>
    </row>
    <row r="30" spans="1:8" x14ac:dyDescent="0.2">
      <c r="B30" s="198" t="s">
        <v>388</v>
      </c>
      <c r="C30" s="197"/>
      <c r="D30" s="197"/>
      <c r="E30" s="197"/>
      <c r="F30" s="197"/>
      <c r="G30" s="197"/>
      <c r="H30" s="197"/>
    </row>
    <row r="32" spans="1:8" ht="17.25" customHeight="1" x14ac:dyDescent="0.2">
      <c r="B32" s="5" t="s">
        <v>45</v>
      </c>
      <c r="E32" s="7"/>
      <c r="F32" s="443" t="s">
        <v>53</v>
      </c>
      <c r="G32" s="444"/>
    </row>
    <row r="33" spans="2:7" x14ac:dyDescent="0.2">
      <c r="E33" s="7"/>
      <c r="F33" s="448" t="s">
        <v>54</v>
      </c>
      <c r="G33" s="449"/>
    </row>
    <row r="34" spans="2:7" ht="5.25" customHeight="1" x14ac:dyDescent="0.2">
      <c r="E34" s="7"/>
      <c r="F34" s="445"/>
      <c r="G34" s="446"/>
    </row>
    <row r="35" spans="2:7" x14ac:dyDescent="0.2">
      <c r="B35" s="450" t="s">
        <v>10</v>
      </c>
      <c r="C35" s="450"/>
      <c r="D35" s="450"/>
      <c r="E35" s="7"/>
      <c r="F35" s="9" t="s">
        <v>16</v>
      </c>
      <c r="G35" s="9" t="s">
        <v>17</v>
      </c>
    </row>
    <row r="36" spans="2:7" x14ac:dyDescent="0.2">
      <c r="B36" s="447" t="s">
        <v>9</v>
      </c>
      <c r="C36" s="447"/>
      <c r="D36" s="447"/>
      <c r="E36" s="7"/>
      <c r="F36" s="9"/>
      <c r="G36" s="9" t="s">
        <v>18</v>
      </c>
    </row>
    <row r="37" spans="2:7" x14ac:dyDescent="0.2">
      <c r="B37" s="451"/>
      <c r="C37" s="451"/>
      <c r="D37" s="451"/>
      <c r="E37" s="11"/>
      <c r="F37" s="10"/>
      <c r="G37" s="10"/>
    </row>
    <row r="38" spans="2:7" ht="15.95" customHeight="1" x14ac:dyDescent="0.2">
      <c r="B38" s="9" t="s">
        <v>11</v>
      </c>
      <c r="C38" s="9" t="s">
        <v>13</v>
      </c>
      <c r="D38" s="9" t="s">
        <v>7</v>
      </c>
      <c r="E38" s="14"/>
      <c r="F38" s="12">
        <v>0.01</v>
      </c>
      <c r="G38" s="12">
        <v>237.5</v>
      </c>
    </row>
    <row r="39" spans="2:7" ht="15.95" customHeight="1" x14ac:dyDescent="0.2">
      <c r="B39" s="9" t="s">
        <v>12</v>
      </c>
      <c r="C39" s="9" t="s">
        <v>14</v>
      </c>
      <c r="D39" s="9" t="s">
        <v>15</v>
      </c>
      <c r="E39" s="14"/>
      <c r="F39" s="12">
        <v>5085.51</v>
      </c>
      <c r="G39" s="12">
        <v>0</v>
      </c>
    </row>
    <row r="40" spans="2:7" ht="15.95" customHeight="1" x14ac:dyDescent="0.2">
      <c r="B40" s="10"/>
      <c r="C40" s="10"/>
      <c r="D40" s="10"/>
      <c r="E40" s="14"/>
      <c r="F40" s="12">
        <v>5085.51</v>
      </c>
      <c r="G40" s="12">
        <v>0</v>
      </c>
    </row>
    <row r="41" spans="2:7" ht="15.95" customHeight="1" x14ac:dyDescent="0.2">
      <c r="B41" s="12">
        <v>0.01</v>
      </c>
      <c r="C41" s="12">
        <v>0</v>
      </c>
      <c r="D41" s="13">
        <v>1.9199999999999998E-2</v>
      </c>
      <c r="E41" s="14"/>
      <c r="F41" s="12">
        <v>5085.51</v>
      </c>
      <c r="G41" s="12">
        <v>0</v>
      </c>
    </row>
    <row r="42" spans="2:7" ht="15.95" customHeight="1" x14ac:dyDescent="0.2">
      <c r="B42" s="12">
        <v>368.11</v>
      </c>
      <c r="C42" s="12">
        <v>7.05</v>
      </c>
      <c r="D42" s="13">
        <v>6.4000000000000001E-2</v>
      </c>
      <c r="E42" s="14"/>
      <c r="F42" s="12">
        <v>5085.51</v>
      </c>
      <c r="G42" s="12">
        <v>0</v>
      </c>
    </row>
    <row r="43" spans="2:7" ht="15.95" customHeight="1" x14ac:dyDescent="0.2">
      <c r="B43" s="12">
        <v>3124.36</v>
      </c>
      <c r="C43" s="12">
        <v>183.45</v>
      </c>
      <c r="D43" s="13">
        <v>0.10879999999999999</v>
      </c>
      <c r="E43" s="14"/>
      <c r="F43" s="12">
        <v>5085.51</v>
      </c>
      <c r="G43" s="12">
        <v>0</v>
      </c>
    </row>
    <row r="44" spans="2:7" ht="15.95" customHeight="1" x14ac:dyDescent="0.2">
      <c r="B44" s="12">
        <v>5490.76</v>
      </c>
      <c r="C44" s="12">
        <v>441</v>
      </c>
      <c r="D44" s="13">
        <v>0.16</v>
      </c>
      <c r="E44" s="7"/>
      <c r="F44" s="12">
        <v>5085.51</v>
      </c>
      <c r="G44" s="12">
        <v>0</v>
      </c>
    </row>
    <row r="45" spans="2:7" ht="15.95" customHeight="1" x14ac:dyDescent="0.2">
      <c r="B45" s="12">
        <v>6382.81</v>
      </c>
      <c r="C45" s="12">
        <v>583.65</v>
      </c>
      <c r="D45" s="13">
        <v>0.1792</v>
      </c>
      <c r="E45" s="7"/>
      <c r="F45" s="12">
        <v>5085.51</v>
      </c>
      <c r="G45" s="12">
        <v>0</v>
      </c>
    </row>
    <row r="46" spans="2:7" ht="15.95" customHeight="1" x14ac:dyDescent="0.2">
      <c r="B46" s="12">
        <v>7641.91</v>
      </c>
      <c r="C46" s="12">
        <v>809.25</v>
      </c>
      <c r="D46" s="13">
        <v>0.21360000000000001</v>
      </c>
      <c r="E46" s="7"/>
      <c r="F46" s="12">
        <v>5085.51</v>
      </c>
      <c r="G46" s="12">
        <v>0</v>
      </c>
    </row>
    <row r="47" spans="2:7" ht="15.95" customHeight="1" x14ac:dyDescent="0.2">
      <c r="B47" s="12">
        <v>15412.81</v>
      </c>
      <c r="C47" s="12">
        <v>2469.15</v>
      </c>
      <c r="D47" s="13">
        <v>0.23519999999999999</v>
      </c>
      <c r="E47" s="7"/>
      <c r="F47" s="12">
        <v>5085.51</v>
      </c>
      <c r="G47" s="12">
        <v>0</v>
      </c>
    </row>
    <row r="48" spans="2:7" ht="15.95" customHeight="1" x14ac:dyDescent="0.2">
      <c r="B48" s="12">
        <v>24292.66</v>
      </c>
      <c r="C48" s="12">
        <v>4557.75</v>
      </c>
      <c r="D48" s="13">
        <v>0.3</v>
      </c>
      <c r="E48" s="7"/>
      <c r="F48" s="12">
        <v>5085.51</v>
      </c>
      <c r="G48" s="12">
        <v>0</v>
      </c>
    </row>
    <row r="49" spans="2:7" x14ac:dyDescent="0.2">
      <c r="B49" s="12">
        <v>46378.51</v>
      </c>
      <c r="C49" s="12">
        <v>11183.4</v>
      </c>
      <c r="D49" s="13">
        <v>0.32</v>
      </c>
      <c r="E49" s="7"/>
      <c r="F49" s="17"/>
      <c r="G49" s="17"/>
    </row>
    <row r="50" spans="2:7" x14ac:dyDescent="0.2">
      <c r="B50" s="12">
        <v>61838.11</v>
      </c>
      <c r="C50" s="12">
        <v>16130.55</v>
      </c>
      <c r="D50" s="13">
        <v>0.34</v>
      </c>
    </row>
    <row r="51" spans="2:7" x14ac:dyDescent="0.2">
      <c r="B51" s="12">
        <v>185514.31</v>
      </c>
      <c r="C51" s="12">
        <v>58180.35</v>
      </c>
      <c r="D51" s="13">
        <v>0.35</v>
      </c>
    </row>
    <row r="52" spans="2:7" x14ac:dyDescent="0.2">
      <c r="B52" s="15"/>
      <c r="C52" s="15"/>
      <c r="D52" s="16"/>
    </row>
    <row r="54" spans="2:7" x14ac:dyDescent="0.2">
      <c r="B54" s="7"/>
      <c r="C54" s="7"/>
      <c r="D54" s="7"/>
    </row>
    <row r="55" spans="2:7" x14ac:dyDescent="0.2">
      <c r="B55" s="7"/>
      <c r="C55" s="7"/>
      <c r="D55" s="7"/>
    </row>
  </sheetData>
  <sheetProtection formatCells="0" formatColumns="0" formatRows="0" insertColumns="0" insertRows="0" insertHyperlinks="0" deleteColumns="0" deleteRows="0" sort="0" autoFilter="0" pivotTables="0"/>
  <mergeCells count="12">
    <mergeCell ref="B37:D37"/>
    <mergeCell ref="F34:G34"/>
    <mergeCell ref="B35:D35"/>
    <mergeCell ref="F32:G32"/>
    <mergeCell ref="B36:D36"/>
    <mergeCell ref="F33:G33"/>
    <mergeCell ref="F7:G7"/>
    <mergeCell ref="F9:G9"/>
    <mergeCell ref="B8:D8"/>
    <mergeCell ref="F8:G8"/>
    <mergeCell ref="B7:D7"/>
    <mergeCell ref="B9:D9"/>
  </mergeCells>
  <phoneticPr fontId="0" type="noConversion"/>
  <pageMargins left="0.75" right="0.75" top="1" bottom="1" header="0" footer="0"/>
  <pageSetup orientation="portrait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D40"/>
  <sheetViews>
    <sheetView topLeftCell="B16" zoomScale="73" zoomScaleNormal="73" workbookViewId="0">
      <selection activeCell="Y11" sqref="Y11"/>
    </sheetView>
  </sheetViews>
  <sheetFormatPr baseColWidth="10" defaultRowHeight="12.75" x14ac:dyDescent="0.2"/>
  <cols>
    <col min="1" max="1" width="4.140625" hidden="1" customWidth="1"/>
    <col min="2" max="2" width="10.5703125" customWidth="1"/>
    <col min="3" max="3" width="8.85546875" customWidth="1"/>
    <col min="4" max="4" width="27.5703125" customWidth="1"/>
    <col min="5" max="5" width="23.5703125" customWidth="1"/>
    <col min="6" max="6" width="34" customWidth="1"/>
    <col min="7" max="7" width="17.7109375" customWidth="1"/>
    <col min="8" max="8" width="18.85546875" customWidth="1"/>
    <col min="9" max="9" width="8.28515625" hidden="1" customWidth="1"/>
    <col min="10" max="10" width="11.5703125" hidden="1" customWidth="1"/>
    <col min="11" max="11" width="17.7109375" customWidth="1"/>
    <col min="12" max="12" width="13.5703125" customWidth="1"/>
    <col min="13" max="13" width="16.85546875" customWidth="1"/>
    <col min="14" max="14" width="11.42578125" hidden="1" customWidth="1"/>
    <col min="15" max="17" width="16" hidden="1" customWidth="1"/>
    <col min="18" max="22" width="11.42578125" hidden="1" customWidth="1"/>
    <col min="23" max="23" width="12" hidden="1" customWidth="1"/>
    <col min="24" max="24" width="9" customWidth="1"/>
    <col min="25" max="26" width="14.42578125" customWidth="1"/>
    <col min="27" max="27" width="14.5703125" bestFit="1" customWidth="1"/>
    <col min="28" max="28" width="16.85546875" customWidth="1"/>
    <col min="29" max="29" width="73.140625" customWidth="1"/>
  </cols>
  <sheetData>
    <row r="1" spans="1:30" ht="18" x14ac:dyDescent="0.25">
      <c r="A1" s="466" t="s">
        <v>77</v>
      </c>
      <c r="B1" s="466"/>
      <c r="C1" s="466"/>
      <c r="D1" s="466"/>
      <c r="E1" s="466"/>
      <c r="F1" s="466"/>
      <c r="G1" s="466"/>
      <c r="H1" s="466"/>
      <c r="I1" s="466"/>
      <c r="J1" s="466"/>
      <c r="K1" s="466"/>
      <c r="L1" s="466"/>
      <c r="M1" s="466"/>
      <c r="N1" s="466"/>
      <c r="O1" s="466"/>
      <c r="P1" s="466"/>
      <c r="Q1" s="466"/>
      <c r="R1" s="466"/>
      <c r="S1" s="466"/>
      <c r="T1" s="466"/>
      <c r="U1" s="466"/>
      <c r="V1" s="466"/>
      <c r="W1" s="466"/>
      <c r="X1" s="466"/>
      <c r="Y1" s="466"/>
      <c r="Z1" s="466"/>
      <c r="AA1" s="466"/>
      <c r="AB1" s="466"/>
      <c r="AC1" s="466"/>
    </row>
    <row r="2" spans="1:30" ht="18" x14ac:dyDescent="0.25">
      <c r="A2" s="466" t="s">
        <v>64</v>
      </c>
      <c r="B2" s="466"/>
      <c r="C2" s="466"/>
      <c r="D2" s="466"/>
      <c r="E2" s="466"/>
      <c r="F2" s="466"/>
      <c r="G2" s="466"/>
      <c r="H2" s="466"/>
      <c r="I2" s="466"/>
      <c r="J2" s="466"/>
      <c r="K2" s="466"/>
      <c r="L2" s="466"/>
      <c r="M2" s="466"/>
      <c r="N2" s="466"/>
      <c r="O2" s="466"/>
      <c r="P2" s="466"/>
      <c r="Q2" s="466"/>
      <c r="R2" s="466"/>
      <c r="S2" s="466"/>
      <c r="T2" s="466"/>
      <c r="U2" s="466"/>
      <c r="V2" s="466"/>
      <c r="W2" s="466"/>
      <c r="X2" s="466"/>
      <c r="Y2" s="466"/>
      <c r="Z2" s="466"/>
      <c r="AA2" s="466"/>
      <c r="AB2" s="466"/>
      <c r="AC2" s="466"/>
    </row>
    <row r="3" spans="1:30" ht="19.5" x14ac:dyDescent="0.25">
      <c r="A3" s="456" t="str">
        <f>PRESIDENCIA!A3</f>
        <v>SUELDO  DEL 16 AL 30 DE ABRIL DE 2025</v>
      </c>
      <c r="B3" s="456"/>
      <c r="C3" s="456"/>
      <c r="D3" s="456"/>
      <c r="E3" s="456"/>
      <c r="F3" s="456"/>
      <c r="G3" s="456"/>
      <c r="H3" s="456"/>
      <c r="I3" s="456"/>
      <c r="J3" s="456"/>
      <c r="K3" s="456"/>
      <c r="L3" s="456"/>
      <c r="M3" s="456"/>
      <c r="N3" s="456"/>
      <c r="O3" s="456"/>
      <c r="P3" s="456"/>
      <c r="Q3" s="456"/>
      <c r="R3" s="456"/>
      <c r="S3" s="456"/>
      <c r="T3" s="456"/>
      <c r="U3" s="456"/>
      <c r="V3" s="456"/>
      <c r="W3" s="456"/>
      <c r="X3" s="456"/>
      <c r="Y3" s="456"/>
      <c r="Z3" s="456"/>
      <c r="AA3" s="456"/>
      <c r="AB3" s="456"/>
      <c r="AC3" s="456"/>
    </row>
    <row r="4" spans="1:30" ht="15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</row>
    <row r="5" spans="1:30" x14ac:dyDescent="0.2">
      <c r="A5" s="22"/>
      <c r="B5" s="503" t="s">
        <v>97</v>
      </c>
      <c r="C5" s="503" t="s">
        <v>119</v>
      </c>
      <c r="D5" s="22"/>
      <c r="E5" s="22"/>
      <c r="F5" s="22"/>
      <c r="G5" s="22"/>
      <c r="H5" s="22"/>
      <c r="I5" s="23" t="s">
        <v>22</v>
      </c>
      <c r="J5" s="23" t="s">
        <v>5</v>
      </c>
      <c r="K5" s="467" t="s">
        <v>1</v>
      </c>
      <c r="L5" s="468"/>
      <c r="M5" s="469"/>
      <c r="N5" s="24" t="s">
        <v>25</v>
      </c>
      <c r="O5" s="25"/>
      <c r="P5" s="470" t="s">
        <v>8</v>
      </c>
      <c r="Q5" s="471"/>
      <c r="R5" s="471"/>
      <c r="S5" s="471"/>
      <c r="T5" s="471"/>
      <c r="U5" s="472"/>
      <c r="V5" s="24" t="s">
        <v>29</v>
      </c>
      <c r="W5" s="24" t="s">
        <v>9</v>
      </c>
      <c r="X5" s="23" t="s">
        <v>52</v>
      </c>
      <c r="Y5" s="473" t="s">
        <v>2</v>
      </c>
      <c r="Z5" s="474"/>
      <c r="AA5" s="475"/>
      <c r="AB5" s="23" t="s">
        <v>0</v>
      </c>
      <c r="AC5" s="33"/>
    </row>
    <row r="6" spans="1:30" ht="12.75" customHeight="1" x14ac:dyDescent="0.2">
      <c r="A6" s="26" t="s">
        <v>20</v>
      </c>
      <c r="B6" s="504"/>
      <c r="C6" s="504"/>
      <c r="D6" s="26" t="s">
        <v>21</v>
      </c>
      <c r="E6" s="26"/>
      <c r="F6" s="26"/>
      <c r="G6" s="26"/>
      <c r="H6" s="26"/>
      <c r="I6" s="27" t="s">
        <v>23</v>
      </c>
      <c r="J6" s="26" t="s">
        <v>24</v>
      </c>
      <c r="K6" s="23" t="s">
        <v>5</v>
      </c>
      <c r="L6" s="23" t="s">
        <v>58</v>
      </c>
      <c r="M6" s="23" t="s">
        <v>27</v>
      </c>
      <c r="N6" s="28" t="s">
        <v>26</v>
      </c>
      <c r="O6" s="25" t="s">
        <v>31</v>
      </c>
      <c r="P6" s="25" t="s">
        <v>11</v>
      </c>
      <c r="Q6" s="25" t="s">
        <v>33</v>
      </c>
      <c r="R6" s="25" t="s">
        <v>35</v>
      </c>
      <c r="S6" s="25" t="s">
        <v>36</v>
      </c>
      <c r="T6" s="25" t="s">
        <v>13</v>
      </c>
      <c r="U6" s="25" t="s">
        <v>9</v>
      </c>
      <c r="V6" s="28" t="s">
        <v>39</v>
      </c>
      <c r="W6" s="28" t="s">
        <v>40</v>
      </c>
      <c r="X6" s="26" t="s">
        <v>30</v>
      </c>
      <c r="Y6" s="23" t="s">
        <v>281</v>
      </c>
      <c r="Z6" s="23" t="s">
        <v>56</v>
      </c>
      <c r="AA6" s="23" t="s">
        <v>6</v>
      </c>
      <c r="AB6" s="26" t="s">
        <v>3</v>
      </c>
      <c r="AC6" s="35" t="s">
        <v>57</v>
      </c>
    </row>
    <row r="7" spans="1:30" x14ac:dyDescent="0.2">
      <c r="A7" s="29"/>
      <c r="B7" s="505"/>
      <c r="C7" s="505"/>
      <c r="D7" s="29"/>
      <c r="E7" s="29"/>
      <c r="F7" s="29"/>
      <c r="G7" s="29"/>
      <c r="H7" s="29"/>
      <c r="I7" s="29"/>
      <c r="J7" s="29"/>
      <c r="K7" s="29" t="s">
        <v>46</v>
      </c>
      <c r="L7" s="29" t="s">
        <v>59</v>
      </c>
      <c r="M7" s="29" t="s">
        <v>28</v>
      </c>
      <c r="N7" s="30" t="s">
        <v>42</v>
      </c>
      <c r="O7" s="24" t="s">
        <v>32</v>
      </c>
      <c r="P7" s="24" t="s">
        <v>12</v>
      </c>
      <c r="Q7" s="24" t="s">
        <v>34</v>
      </c>
      <c r="R7" s="24" t="s">
        <v>34</v>
      </c>
      <c r="S7" s="24" t="s">
        <v>37</v>
      </c>
      <c r="T7" s="24" t="s">
        <v>14</v>
      </c>
      <c r="U7" s="24" t="s">
        <v>38</v>
      </c>
      <c r="V7" s="28" t="s">
        <v>18</v>
      </c>
      <c r="W7" s="31" t="s">
        <v>41</v>
      </c>
      <c r="X7" s="29" t="s">
        <v>51</v>
      </c>
      <c r="Y7" s="29"/>
      <c r="Z7" s="29" t="s">
        <v>198</v>
      </c>
      <c r="AA7" s="29" t="s">
        <v>43</v>
      </c>
      <c r="AB7" s="29" t="s">
        <v>4</v>
      </c>
      <c r="AC7" s="34"/>
    </row>
    <row r="8" spans="1:30" ht="42" customHeight="1" x14ac:dyDescent="0.3">
      <c r="A8" s="127"/>
      <c r="B8" s="242"/>
      <c r="C8" s="230"/>
      <c r="D8" s="229" t="s">
        <v>567</v>
      </c>
      <c r="E8" s="230" t="s">
        <v>98</v>
      </c>
      <c r="F8" s="230" t="s">
        <v>229</v>
      </c>
      <c r="G8" s="229" t="s">
        <v>291</v>
      </c>
      <c r="H8" s="240" t="s">
        <v>61</v>
      </c>
      <c r="I8" s="240"/>
      <c r="J8" s="240"/>
      <c r="K8" s="240"/>
      <c r="L8" s="240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28"/>
      <c r="X8" s="127"/>
      <c r="Y8" s="127"/>
      <c r="Z8" s="127"/>
      <c r="AA8" s="127"/>
      <c r="AB8" s="127"/>
      <c r="AC8" s="40"/>
    </row>
    <row r="9" spans="1:30" s="282" customFormat="1" ht="230.25" customHeight="1" x14ac:dyDescent="0.2">
      <c r="A9" s="267" t="s">
        <v>85</v>
      </c>
      <c r="B9" s="291" t="s">
        <v>161</v>
      </c>
      <c r="C9" s="378" t="s">
        <v>118</v>
      </c>
      <c r="D9" s="265" t="s">
        <v>146</v>
      </c>
      <c r="E9" s="145" t="s">
        <v>157</v>
      </c>
      <c r="F9" s="145" t="s">
        <v>245</v>
      </c>
      <c r="G9" s="243">
        <v>43374</v>
      </c>
      <c r="H9" s="327" t="s">
        <v>120</v>
      </c>
      <c r="I9" s="274">
        <v>15</v>
      </c>
      <c r="J9" s="275">
        <f>K9/I9</f>
        <v>309.60000000000002</v>
      </c>
      <c r="K9" s="276">
        <v>4644</v>
      </c>
      <c r="L9" s="277">
        <v>0</v>
      </c>
      <c r="M9" s="278">
        <f>SUM(K9:L9)</f>
        <v>4644</v>
      </c>
      <c r="N9" s="300">
        <f>IF(K9/15&lt;=SMG,0,L9/2)</f>
        <v>0</v>
      </c>
      <c r="O9" s="321">
        <f>(K9+N9)/I9*30.4</f>
        <v>9411.84</v>
      </c>
      <c r="P9" s="321">
        <f>VLOOKUP(O9,Tarifa,1)</f>
        <v>6332.06</v>
      </c>
      <c r="Q9" s="300">
        <f>O9-P9</f>
        <v>3079.7799999999997</v>
      </c>
      <c r="R9" s="301">
        <f>VLOOKUP(O9,Tarifa,3)</f>
        <v>0.10879999999999999</v>
      </c>
      <c r="S9" s="300">
        <f>Q9*R9</f>
        <v>335.08006399999994</v>
      </c>
      <c r="T9" s="302">
        <f>VLOOKUP(O9,Tarifa,2)</f>
        <v>371.83</v>
      </c>
      <c r="U9" s="300">
        <f>S9+T9</f>
        <v>706.91006399999992</v>
      </c>
      <c r="V9" s="300">
        <f>VLOOKUP(O9,Credito,2)</f>
        <v>475</v>
      </c>
      <c r="W9" s="300">
        <f>ROUND((U9-V9)/30.4*I9,2)</f>
        <v>114.43</v>
      </c>
      <c r="X9" s="278">
        <f>-IF(W9&gt;0,0,0)</f>
        <v>0</v>
      </c>
      <c r="Y9" s="278">
        <f t="shared" ref="Y9:Y11" si="0">IF(K9/15&lt;=SMG,0,IF(W9&lt;0,0,W9))</f>
        <v>114.43</v>
      </c>
      <c r="Z9" s="279">
        <v>0</v>
      </c>
      <c r="AA9" s="278">
        <f t="shared" ref="AA9:AA11" si="1">SUM(Y9:Z9)</f>
        <v>114.43</v>
      </c>
      <c r="AB9" s="278">
        <f>M9+X9-AA9</f>
        <v>4529.57</v>
      </c>
      <c r="AC9" s="290"/>
    </row>
    <row r="10" spans="1:30" s="282" customFormat="1" ht="230.25" customHeight="1" x14ac:dyDescent="0.2">
      <c r="A10" s="309"/>
      <c r="B10" s="284">
        <v>188</v>
      </c>
      <c r="C10" s="378" t="s">
        <v>118</v>
      </c>
      <c r="D10" s="286" t="s">
        <v>162</v>
      </c>
      <c r="E10" s="287" t="s">
        <v>163</v>
      </c>
      <c r="F10" s="287" t="s">
        <v>246</v>
      </c>
      <c r="G10" s="379">
        <v>43389</v>
      </c>
      <c r="H10" s="273" t="s">
        <v>228</v>
      </c>
      <c r="I10" s="274">
        <v>15</v>
      </c>
      <c r="J10" s="275">
        <f>K10/I10</f>
        <v>442.26666666666665</v>
      </c>
      <c r="K10" s="276">
        <v>6634</v>
      </c>
      <c r="L10" s="277">
        <v>0</v>
      </c>
      <c r="M10" s="276">
        <f>K10</f>
        <v>6634</v>
      </c>
      <c r="N10" s="300">
        <f>IF(K10/15&lt;=SMG,0,L10/2)</f>
        <v>0</v>
      </c>
      <c r="O10" s="321">
        <f>(K10+N10)/I10*30.4</f>
        <v>13444.906666666666</v>
      </c>
      <c r="P10" s="321">
        <f>VLOOKUP(O10,Tarifa,1)</f>
        <v>12935.83</v>
      </c>
      <c r="Q10" s="300">
        <f>O10-P10</f>
        <v>509.07666666666591</v>
      </c>
      <c r="R10" s="301">
        <f>VLOOKUP(O10,Tarifa,3)</f>
        <v>0.1792</v>
      </c>
      <c r="S10" s="300">
        <f>Q10*R10</f>
        <v>91.226538666666528</v>
      </c>
      <c r="T10" s="302">
        <f>VLOOKUP(O10,Tarifa,2)</f>
        <v>1182.8800000000001</v>
      </c>
      <c r="U10" s="300">
        <f>S10+T10</f>
        <v>1274.1065386666667</v>
      </c>
      <c r="V10" s="300">
        <f>VLOOKUP(O10,Credito,2)</f>
        <v>0</v>
      </c>
      <c r="W10" s="300">
        <f>ROUND((U10-V10)/30.4*I10,2)</f>
        <v>628.66999999999996</v>
      </c>
      <c r="X10" s="278">
        <f>-IF(W10&gt;0,0,0)</f>
        <v>0</v>
      </c>
      <c r="Y10" s="278">
        <f t="shared" si="0"/>
        <v>628.66999999999996</v>
      </c>
      <c r="Z10" s="279">
        <v>0</v>
      </c>
      <c r="AA10" s="278">
        <f t="shared" si="1"/>
        <v>628.66999999999996</v>
      </c>
      <c r="AB10" s="278">
        <f>M10+X10-AA10+L10</f>
        <v>6005.33</v>
      </c>
      <c r="AC10" s="290"/>
    </row>
    <row r="11" spans="1:30" s="282" customFormat="1" ht="230.25" customHeight="1" x14ac:dyDescent="0.2">
      <c r="A11" s="380"/>
      <c r="B11" s="285" t="s">
        <v>215</v>
      </c>
      <c r="C11" s="285" t="s">
        <v>118</v>
      </c>
      <c r="D11" s="335" t="s">
        <v>216</v>
      </c>
      <c r="E11" s="134" t="s">
        <v>217</v>
      </c>
      <c r="F11" s="134" t="s">
        <v>248</v>
      </c>
      <c r="G11" s="211">
        <v>43512</v>
      </c>
      <c r="H11" s="327" t="s">
        <v>120</v>
      </c>
      <c r="I11" s="274">
        <v>15</v>
      </c>
      <c r="J11" s="275">
        <f>K11/I11</f>
        <v>309.60000000000002</v>
      </c>
      <c r="K11" s="276">
        <v>4644</v>
      </c>
      <c r="L11" s="277">
        <v>0</v>
      </c>
      <c r="M11" s="278">
        <f>SUM(K11:L11)</f>
        <v>4644</v>
      </c>
      <c r="N11" s="300">
        <f>IF(K11/15&lt;=SMG,0,L11/2)</f>
        <v>0</v>
      </c>
      <c r="O11" s="321">
        <f>(K11+N11)/I11*30.4</f>
        <v>9411.84</v>
      </c>
      <c r="P11" s="321">
        <f>VLOOKUP(O11,Tarifa,1)</f>
        <v>6332.06</v>
      </c>
      <c r="Q11" s="300">
        <f>O11-P11</f>
        <v>3079.7799999999997</v>
      </c>
      <c r="R11" s="301">
        <f>VLOOKUP(O11,Tarifa,3)</f>
        <v>0.10879999999999999</v>
      </c>
      <c r="S11" s="300">
        <f>Q11*R11</f>
        <v>335.08006399999994</v>
      </c>
      <c r="T11" s="302">
        <f>VLOOKUP(O11,Tarifa,2)</f>
        <v>371.83</v>
      </c>
      <c r="U11" s="300">
        <f>S11+T11</f>
        <v>706.91006399999992</v>
      </c>
      <c r="V11" s="300">
        <f>VLOOKUP(O11,Credito,2)</f>
        <v>475</v>
      </c>
      <c r="W11" s="300">
        <f>ROUND((U11-V11)/30.4*I11,2)</f>
        <v>114.43</v>
      </c>
      <c r="X11" s="278">
        <f>-IF(W11&gt;0,0,0)</f>
        <v>0</v>
      </c>
      <c r="Y11" s="278">
        <f t="shared" si="0"/>
        <v>114.43</v>
      </c>
      <c r="Z11" s="279">
        <v>0</v>
      </c>
      <c r="AA11" s="278">
        <f t="shared" si="1"/>
        <v>114.43</v>
      </c>
      <c r="AB11" s="278">
        <f>M11+X11-AA11</f>
        <v>4529.57</v>
      </c>
      <c r="AC11" s="290"/>
    </row>
    <row r="12" spans="1:30" s="282" customFormat="1" ht="230.25" customHeight="1" x14ac:dyDescent="0.2">
      <c r="A12" s="380"/>
      <c r="B12" s="284">
        <v>317</v>
      </c>
      <c r="C12" s="285" t="s">
        <v>118</v>
      </c>
      <c r="D12" s="264" t="s">
        <v>304</v>
      </c>
      <c r="E12" s="145" t="s">
        <v>305</v>
      </c>
      <c r="F12" s="145" t="s">
        <v>306</v>
      </c>
      <c r="G12" s="243">
        <v>45078</v>
      </c>
      <c r="H12" s="327" t="s">
        <v>120</v>
      </c>
      <c r="I12" s="274">
        <v>15</v>
      </c>
      <c r="J12" s="275">
        <f>K12/I12</f>
        <v>309.60000000000002</v>
      </c>
      <c r="K12" s="276">
        <v>4644</v>
      </c>
      <c r="L12" s="277">
        <v>0</v>
      </c>
      <c r="M12" s="278">
        <f>SUM(K12:L12)</f>
        <v>4644</v>
      </c>
      <c r="N12" s="300">
        <f>IF(K12/15&lt;=SMG,0,L12/2)</f>
        <v>0</v>
      </c>
      <c r="O12" s="321">
        <f>(K12+N12)/I12*30.4</f>
        <v>9411.84</v>
      </c>
      <c r="P12" s="321">
        <f>VLOOKUP(O12,Tarifa,1)</f>
        <v>6332.06</v>
      </c>
      <c r="Q12" s="300">
        <f>O12-P12</f>
        <v>3079.7799999999997</v>
      </c>
      <c r="R12" s="301">
        <f>VLOOKUP(O12,Tarifa,3)</f>
        <v>0.10879999999999999</v>
      </c>
      <c r="S12" s="300">
        <f>Q12*R12</f>
        <v>335.08006399999994</v>
      </c>
      <c r="T12" s="302">
        <f>VLOOKUP(O12,Tarifa,2)</f>
        <v>371.83</v>
      </c>
      <c r="U12" s="300">
        <f>S12+T12</f>
        <v>706.91006399999992</v>
      </c>
      <c r="V12" s="300">
        <f>VLOOKUP(O12,Credito,2)</f>
        <v>475</v>
      </c>
      <c r="W12" s="300">
        <f>ROUND((U12-V12)/30.4*I12,2)</f>
        <v>114.43</v>
      </c>
      <c r="X12" s="278">
        <f t="shared" ref="X12" si="2">-IF(W12&gt;0,0,0)</f>
        <v>0</v>
      </c>
      <c r="Y12" s="278">
        <f t="shared" ref="Y12:Y21" si="3">IF(K12/15&lt;=SMG,0,IF(W12&lt;0,0,W12))</f>
        <v>114.43</v>
      </c>
      <c r="Z12" s="279">
        <v>0</v>
      </c>
      <c r="AA12" s="278">
        <f t="shared" ref="AA12:AA20" si="4">SUM(Y12:Z12)</f>
        <v>114.43</v>
      </c>
      <c r="AB12" s="278">
        <f>M12+X12-AA12</f>
        <v>4529.57</v>
      </c>
      <c r="AC12" s="290"/>
    </row>
    <row r="13" spans="1:30" s="282" customFormat="1" ht="230.25" customHeight="1" x14ac:dyDescent="0.2">
      <c r="A13" s="380"/>
      <c r="B13" s="326">
        <v>353</v>
      </c>
      <c r="C13" s="285" t="s">
        <v>118</v>
      </c>
      <c r="D13" s="266" t="s">
        <v>381</v>
      </c>
      <c r="E13" s="135" t="s">
        <v>382</v>
      </c>
      <c r="F13" s="135" t="s">
        <v>383</v>
      </c>
      <c r="G13" s="263">
        <v>45391</v>
      </c>
      <c r="H13" s="327" t="s">
        <v>120</v>
      </c>
      <c r="I13" s="274">
        <v>15</v>
      </c>
      <c r="J13" s="275">
        <f>K13/I13</f>
        <v>309.60000000000002</v>
      </c>
      <c r="K13" s="276">
        <v>4644</v>
      </c>
      <c r="L13" s="277">
        <v>0</v>
      </c>
      <c r="M13" s="278">
        <f>SUM(K13:L13)</f>
        <v>4644</v>
      </c>
      <c r="N13" s="300">
        <f>IF(K13/15&lt;=SMG,0,L13/2)</f>
        <v>0</v>
      </c>
      <c r="O13" s="321">
        <f>(K13+N13)/I13*30.4</f>
        <v>9411.84</v>
      </c>
      <c r="P13" s="321">
        <f>VLOOKUP(O13,Tarifa,1)</f>
        <v>6332.06</v>
      </c>
      <c r="Q13" s="300">
        <f>O13-P13</f>
        <v>3079.7799999999997</v>
      </c>
      <c r="R13" s="301">
        <f>VLOOKUP(O13,Tarifa,3)</f>
        <v>0.10879999999999999</v>
      </c>
      <c r="S13" s="300">
        <f>Q13*R13</f>
        <v>335.08006399999994</v>
      </c>
      <c r="T13" s="302">
        <f>VLOOKUP(O13,Tarifa,2)</f>
        <v>371.83</v>
      </c>
      <c r="U13" s="300">
        <f>S13+T13</f>
        <v>706.91006399999992</v>
      </c>
      <c r="V13" s="300">
        <f>VLOOKUP(O13,Credito,2)</f>
        <v>475</v>
      </c>
      <c r="W13" s="300">
        <f>ROUND((U13-V13)/30.4*I13,2)</f>
        <v>114.43</v>
      </c>
      <c r="X13" s="278">
        <f t="shared" ref="X13:X21" si="5">-IF(W13&gt;0,0,0)</f>
        <v>0</v>
      </c>
      <c r="Y13" s="278">
        <f t="shared" si="3"/>
        <v>114.43</v>
      </c>
      <c r="Z13" s="279">
        <v>0</v>
      </c>
      <c r="AA13" s="278">
        <f t="shared" si="4"/>
        <v>114.43</v>
      </c>
      <c r="AB13" s="278">
        <f>M13+X13-AA13</f>
        <v>4529.57</v>
      </c>
      <c r="AC13" s="290"/>
    </row>
    <row r="14" spans="1:30" s="91" customFormat="1" ht="36.75" customHeight="1" x14ac:dyDescent="0.3">
      <c r="A14" s="146"/>
      <c r="B14" s="258"/>
      <c r="C14" s="216"/>
      <c r="D14" s="259"/>
      <c r="E14" s="260"/>
      <c r="F14" s="260"/>
      <c r="G14" s="261"/>
      <c r="H14" s="262"/>
      <c r="I14" s="220"/>
      <c r="J14" s="221"/>
      <c r="K14" s="222"/>
      <c r="L14" s="223"/>
      <c r="M14" s="224"/>
      <c r="N14" s="225"/>
      <c r="O14" s="225"/>
      <c r="P14" s="225"/>
      <c r="Q14" s="225"/>
      <c r="R14" s="226"/>
      <c r="S14" s="225"/>
      <c r="T14" s="227"/>
      <c r="U14" s="225"/>
      <c r="V14" s="225"/>
      <c r="W14" s="225"/>
      <c r="X14" s="224"/>
      <c r="Y14" s="224"/>
      <c r="Z14" s="228"/>
      <c r="AA14" s="224"/>
      <c r="AB14" s="224"/>
    </row>
    <row r="15" spans="1:30" s="91" customFormat="1" ht="23.25" customHeight="1" x14ac:dyDescent="0.3">
      <c r="A15" s="146"/>
      <c r="B15" s="258"/>
      <c r="C15" s="216"/>
      <c r="D15" s="259"/>
      <c r="E15" s="260"/>
      <c r="F15" s="260"/>
      <c r="G15" s="261"/>
      <c r="H15" s="262"/>
      <c r="I15" s="220"/>
      <c r="J15" s="221"/>
      <c r="K15" s="222"/>
      <c r="L15" s="223"/>
      <c r="M15" s="224"/>
      <c r="N15" s="225"/>
      <c r="O15" s="225"/>
      <c r="P15" s="225"/>
      <c r="Q15" s="225"/>
      <c r="R15" s="226"/>
      <c r="S15" s="225"/>
      <c r="T15" s="227"/>
      <c r="U15" s="225"/>
      <c r="V15" s="225"/>
      <c r="W15" s="225"/>
      <c r="X15" s="224"/>
      <c r="Y15" s="224"/>
      <c r="Z15" s="228"/>
      <c r="AA15" s="224"/>
      <c r="AB15" s="224"/>
    </row>
    <row r="16" spans="1:30" s="91" customFormat="1" ht="31.5" customHeight="1" x14ac:dyDescent="0.25">
      <c r="A16" s="146"/>
      <c r="B16" s="466" t="s">
        <v>77</v>
      </c>
      <c r="C16" s="466"/>
      <c r="D16" s="466"/>
      <c r="E16" s="466"/>
      <c r="F16" s="466"/>
      <c r="G16" s="466"/>
      <c r="H16" s="466"/>
      <c r="I16" s="466"/>
      <c r="J16" s="466"/>
      <c r="K16" s="466"/>
      <c r="L16" s="466"/>
      <c r="M16" s="466"/>
      <c r="N16" s="466"/>
      <c r="O16" s="466"/>
      <c r="P16" s="466"/>
      <c r="Q16" s="466"/>
      <c r="R16" s="466"/>
      <c r="S16" s="466"/>
      <c r="T16" s="466"/>
      <c r="U16" s="466"/>
      <c r="V16" s="466"/>
      <c r="W16" s="466"/>
      <c r="X16" s="466"/>
      <c r="Y16" s="466"/>
      <c r="Z16" s="466"/>
      <c r="AA16" s="466"/>
      <c r="AB16" s="466"/>
      <c r="AC16" s="466"/>
      <c r="AD16" s="466"/>
    </row>
    <row r="17" spans="1:30" s="91" customFormat="1" ht="26.25" customHeight="1" x14ac:dyDescent="0.25">
      <c r="A17" s="146"/>
      <c r="B17" s="466" t="s">
        <v>64</v>
      </c>
      <c r="C17" s="466"/>
      <c r="D17" s="466"/>
      <c r="E17" s="466"/>
      <c r="F17" s="466"/>
      <c r="G17" s="466"/>
      <c r="H17" s="466"/>
      <c r="I17" s="466"/>
      <c r="J17" s="466"/>
      <c r="K17" s="466"/>
      <c r="L17" s="466"/>
      <c r="M17" s="466"/>
      <c r="N17" s="466"/>
      <c r="O17" s="466"/>
      <c r="P17" s="466"/>
      <c r="Q17" s="466"/>
      <c r="R17" s="466"/>
      <c r="S17" s="466"/>
      <c r="T17" s="466"/>
      <c r="U17" s="466"/>
      <c r="V17" s="466"/>
      <c r="W17" s="466"/>
      <c r="X17" s="466"/>
      <c r="Y17" s="466"/>
      <c r="Z17" s="466"/>
      <c r="AA17" s="466"/>
      <c r="AB17" s="466"/>
      <c r="AC17" s="466"/>
      <c r="AD17" s="466"/>
    </row>
    <row r="18" spans="1:30" s="91" customFormat="1" ht="27.75" customHeight="1" x14ac:dyDescent="0.25">
      <c r="A18" s="146"/>
      <c r="B18" s="456" t="str">
        <f>A3</f>
        <v>SUELDO  DEL 16 AL 30 DE ABRIL DE 2025</v>
      </c>
      <c r="C18" s="456"/>
      <c r="D18" s="456"/>
      <c r="E18" s="456"/>
      <c r="F18" s="456"/>
      <c r="G18" s="456"/>
      <c r="H18" s="456"/>
      <c r="I18" s="456"/>
      <c r="J18" s="456"/>
      <c r="K18" s="456"/>
      <c r="L18" s="456"/>
      <c r="M18" s="456"/>
      <c r="N18" s="456"/>
      <c r="O18" s="456"/>
      <c r="P18" s="456"/>
      <c r="Q18" s="456"/>
      <c r="R18" s="456"/>
      <c r="S18" s="456"/>
      <c r="T18" s="456"/>
      <c r="U18" s="456"/>
      <c r="V18" s="456"/>
      <c r="W18" s="456"/>
      <c r="X18" s="456"/>
      <c r="Y18" s="456"/>
      <c r="Z18" s="456"/>
      <c r="AA18" s="456"/>
      <c r="AB18" s="456"/>
      <c r="AC18" s="456"/>
      <c r="AD18" s="456"/>
    </row>
    <row r="19" spans="1:30" s="91" customFormat="1" ht="26.25" customHeight="1" x14ac:dyDescent="0.3">
      <c r="A19" s="146"/>
      <c r="B19" s="258"/>
      <c r="C19" s="216"/>
      <c r="D19" s="259"/>
      <c r="E19" s="260"/>
      <c r="F19" s="260"/>
      <c r="G19" s="261"/>
      <c r="H19" s="262"/>
      <c r="I19" s="220"/>
      <c r="J19" s="221"/>
      <c r="K19" s="222"/>
      <c r="L19" s="223"/>
      <c r="M19" s="224"/>
      <c r="N19" s="225"/>
      <c r="O19" s="225"/>
      <c r="P19" s="225"/>
      <c r="Q19" s="225"/>
      <c r="R19" s="226"/>
      <c r="S19" s="225"/>
      <c r="T19" s="227"/>
      <c r="U19" s="225"/>
      <c r="V19" s="225"/>
      <c r="W19" s="225"/>
      <c r="X19" s="224"/>
      <c r="Y19" s="224"/>
      <c r="Z19" s="228"/>
      <c r="AA19" s="224"/>
      <c r="AB19" s="224"/>
    </row>
    <row r="20" spans="1:30" s="282" customFormat="1" ht="216.75" customHeight="1" x14ac:dyDescent="0.2">
      <c r="A20" s="380"/>
      <c r="B20" s="326">
        <v>398</v>
      </c>
      <c r="C20" s="285" t="s">
        <v>118</v>
      </c>
      <c r="D20" s="266" t="s">
        <v>552</v>
      </c>
      <c r="E20" s="135" t="s">
        <v>553</v>
      </c>
      <c r="F20" s="135" t="s">
        <v>554</v>
      </c>
      <c r="G20" s="263">
        <v>45597</v>
      </c>
      <c r="H20" s="327" t="s">
        <v>120</v>
      </c>
      <c r="I20" s="274">
        <v>15</v>
      </c>
      <c r="J20" s="275">
        <f>K20/I20</f>
        <v>309.60000000000002</v>
      </c>
      <c r="K20" s="276">
        <v>4644</v>
      </c>
      <c r="L20" s="277">
        <v>0</v>
      </c>
      <c r="M20" s="278">
        <f>SUM(K20:L20)</f>
        <v>4644</v>
      </c>
      <c r="N20" s="300">
        <f>IF(K20/15&lt;=SMG,0,L20/2)</f>
        <v>0</v>
      </c>
      <c r="O20" s="321">
        <f>(K20+N20)/I20*30.4</f>
        <v>9411.84</v>
      </c>
      <c r="P20" s="321">
        <f>VLOOKUP(O20,Tarifa,1)</f>
        <v>6332.06</v>
      </c>
      <c r="Q20" s="300">
        <f>O20-P20</f>
        <v>3079.7799999999997</v>
      </c>
      <c r="R20" s="301">
        <f>VLOOKUP(O20,Tarifa,3)</f>
        <v>0.10879999999999999</v>
      </c>
      <c r="S20" s="300">
        <f>Q20*R20</f>
        <v>335.08006399999994</v>
      </c>
      <c r="T20" s="302">
        <f>VLOOKUP(O20,Tarifa,2)</f>
        <v>371.83</v>
      </c>
      <c r="U20" s="300">
        <f>S20+T20</f>
        <v>706.91006399999992</v>
      </c>
      <c r="V20" s="300">
        <f>VLOOKUP(O20,Credito,2)</f>
        <v>475</v>
      </c>
      <c r="W20" s="300">
        <f>ROUND((U20-V20)/30.4*I20,2)</f>
        <v>114.43</v>
      </c>
      <c r="X20" s="278">
        <f t="shared" si="5"/>
        <v>0</v>
      </c>
      <c r="Y20" s="278">
        <f t="shared" si="3"/>
        <v>114.43</v>
      </c>
      <c r="Z20" s="279">
        <v>0</v>
      </c>
      <c r="AA20" s="278">
        <f t="shared" si="4"/>
        <v>114.43</v>
      </c>
      <c r="AB20" s="278">
        <f>M20+X20-AA20</f>
        <v>4529.57</v>
      </c>
      <c r="AC20" s="290"/>
    </row>
    <row r="21" spans="1:30" s="282" customFormat="1" ht="216.75" customHeight="1" x14ac:dyDescent="0.2">
      <c r="A21" s="380"/>
      <c r="B21" s="291" t="s">
        <v>188</v>
      </c>
      <c r="C21" s="285" t="s">
        <v>118</v>
      </c>
      <c r="D21" s="270" t="s">
        <v>80</v>
      </c>
      <c r="E21" s="271" t="s">
        <v>107</v>
      </c>
      <c r="F21" s="271" t="s">
        <v>232</v>
      </c>
      <c r="G21" s="272">
        <v>41410</v>
      </c>
      <c r="H21" s="273" t="s">
        <v>177</v>
      </c>
      <c r="I21" s="274">
        <v>15</v>
      </c>
      <c r="J21" s="275">
        <f>K21/I21</f>
        <v>253.33333333333334</v>
      </c>
      <c r="K21" s="276">
        <v>3800</v>
      </c>
      <c r="L21" s="277">
        <v>0</v>
      </c>
      <c r="M21" s="278">
        <f>SUM(K21:L21)</f>
        <v>3800</v>
      </c>
      <c r="N21" s="300">
        <f>IF(K21/15&lt;=SMG,0,L21/2)</f>
        <v>0</v>
      </c>
      <c r="O21" s="321">
        <f>(K21+N21)/I21*30.4</f>
        <v>7701.333333333333</v>
      </c>
      <c r="P21" s="321">
        <f>VLOOKUP(O21,Tarifa,1)</f>
        <v>6332.06</v>
      </c>
      <c r="Q21" s="300">
        <f>O21-P21</f>
        <v>1369.2733333333326</v>
      </c>
      <c r="R21" s="301">
        <f>VLOOKUP(O21,Tarifa,3)</f>
        <v>0.10879999999999999</v>
      </c>
      <c r="S21" s="300">
        <f>Q21*R21</f>
        <v>148.97693866666657</v>
      </c>
      <c r="T21" s="302">
        <f>VLOOKUP(O21,Tarifa,2)</f>
        <v>371.83</v>
      </c>
      <c r="U21" s="300">
        <f>S21+T21</f>
        <v>520.80693866666661</v>
      </c>
      <c r="V21" s="300">
        <f>VLOOKUP(O21,Credito,2)</f>
        <v>475</v>
      </c>
      <c r="W21" s="300">
        <f>ROUND((U21-V21)/30.4*I21,2)</f>
        <v>22.6</v>
      </c>
      <c r="X21" s="278">
        <f t="shared" si="5"/>
        <v>0</v>
      </c>
      <c r="Y21" s="278">
        <f t="shared" si="3"/>
        <v>0</v>
      </c>
      <c r="Z21" s="279">
        <v>0</v>
      </c>
      <c r="AA21" s="278">
        <f>SUM(Y21:Z21)</f>
        <v>0</v>
      </c>
      <c r="AB21" s="278">
        <f>M21+X21-AA21</f>
        <v>3800</v>
      </c>
      <c r="AC21" s="290"/>
    </row>
    <row r="22" spans="1:30" ht="18" x14ac:dyDescent="0.25">
      <c r="A22" s="138"/>
      <c r="B22" s="138"/>
      <c r="C22" s="138"/>
      <c r="D22" s="138"/>
      <c r="E22" s="138"/>
      <c r="F22" s="138"/>
      <c r="G22" s="138"/>
      <c r="H22" s="138"/>
      <c r="I22" s="139"/>
      <c r="J22" s="138"/>
      <c r="K22" s="140"/>
      <c r="L22" s="140"/>
      <c r="M22" s="140"/>
      <c r="N22" s="141"/>
      <c r="O22" s="142"/>
      <c r="P22" s="142"/>
      <c r="Q22" s="142"/>
      <c r="R22" s="142"/>
      <c r="S22" s="142"/>
      <c r="T22" s="142"/>
      <c r="U22" s="142"/>
      <c r="V22" s="142"/>
      <c r="W22" s="142"/>
      <c r="X22" s="142"/>
      <c r="Y22" s="142"/>
      <c r="Z22" s="142"/>
      <c r="AA22" s="142"/>
      <c r="AB22" s="142"/>
    </row>
    <row r="23" spans="1:30" ht="45" customHeight="1" thickBot="1" x14ac:dyDescent="0.35">
      <c r="A23" s="452" t="s">
        <v>44</v>
      </c>
      <c r="B23" s="453"/>
      <c r="C23" s="453"/>
      <c r="D23" s="453"/>
      <c r="E23" s="453"/>
      <c r="F23" s="453"/>
      <c r="G23" s="453"/>
      <c r="H23" s="453"/>
      <c r="I23" s="453"/>
      <c r="J23" s="454"/>
      <c r="K23" s="209">
        <f t="shared" ref="K23:AB23" si="6">SUM(K9:K22)</f>
        <v>33654</v>
      </c>
      <c r="L23" s="209">
        <f t="shared" si="6"/>
        <v>0</v>
      </c>
      <c r="M23" s="209">
        <f t="shared" si="6"/>
        <v>33654</v>
      </c>
      <c r="N23" s="210">
        <f t="shared" si="6"/>
        <v>0</v>
      </c>
      <c r="O23" s="210">
        <f t="shared" si="6"/>
        <v>68205.439999999988</v>
      </c>
      <c r="P23" s="210">
        <f t="shared" si="6"/>
        <v>50928.189999999995</v>
      </c>
      <c r="Q23" s="210">
        <f t="shared" si="6"/>
        <v>17277.249999999993</v>
      </c>
      <c r="R23" s="210">
        <f t="shared" si="6"/>
        <v>0.83199999999999996</v>
      </c>
      <c r="S23" s="210">
        <f t="shared" si="6"/>
        <v>1915.6037973333327</v>
      </c>
      <c r="T23" s="210">
        <f t="shared" si="6"/>
        <v>3413.8599999999997</v>
      </c>
      <c r="U23" s="210">
        <f t="shared" si="6"/>
        <v>5329.463797333332</v>
      </c>
      <c r="V23" s="210">
        <f t="shared" si="6"/>
        <v>2850</v>
      </c>
      <c r="W23" s="210">
        <f t="shared" si="6"/>
        <v>1223.42</v>
      </c>
      <c r="X23" s="209">
        <f t="shared" si="6"/>
        <v>0</v>
      </c>
      <c r="Y23" s="209">
        <f t="shared" si="6"/>
        <v>1200.8200000000002</v>
      </c>
      <c r="Z23" s="209">
        <f t="shared" si="6"/>
        <v>0</v>
      </c>
      <c r="AA23" s="209">
        <f t="shared" si="6"/>
        <v>1200.8200000000002</v>
      </c>
      <c r="AB23" s="209">
        <f t="shared" si="6"/>
        <v>32453.18</v>
      </c>
    </row>
    <row r="24" spans="1:30" ht="13.5" thickTop="1" x14ac:dyDescent="0.2"/>
    <row r="38" spans="4:29" x14ac:dyDescent="0.2">
      <c r="D38" s="4"/>
      <c r="Y38" s="4"/>
    </row>
    <row r="39" spans="4:29" ht="18" x14ac:dyDescent="0.25">
      <c r="D39" s="215" t="s">
        <v>521</v>
      </c>
      <c r="E39" s="108"/>
      <c r="F39" s="108"/>
      <c r="G39" s="108"/>
      <c r="H39" s="108"/>
      <c r="I39" s="108"/>
      <c r="J39" s="108"/>
      <c r="K39" s="108"/>
      <c r="L39" s="108"/>
      <c r="M39" s="108"/>
      <c r="N39" s="108"/>
      <c r="O39" s="108"/>
      <c r="P39" s="108"/>
      <c r="Q39" s="108"/>
      <c r="R39" s="108"/>
      <c r="S39" s="108"/>
      <c r="T39" s="108"/>
      <c r="U39" s="108"/>
      <c r="V39" s="108"/>
      <c r="W39" s="108"/>
      <c r="X39" s="108"/>
      <c r="Y39" s="215" t="s">
        <v>152</v>
      </c>
      <c r="Z39" s="108"/>
      <c r="AA39" s="108"/>
      <c r="AB39" s="108"/>
    </row>
    <row r="40" spans="4:29" ht="18" x14ac:dyDescent="0.25">
      <c r="D40" s="215" t="s">
        <v>542</v>
      </c>
      <c r="E40" s="215"/>
      <c r="F40" s="215"/>
      <c r="G40" s="215"/>
      <c r="H40" s="215"/>
      <c r="I40" s="215"/>
      <c r="J40" s="215"/>
      <c r="K40" s="215"/>
      <c r="L40" s="215"/>
      <c r="M40" s="108"/>
      <c r="N40" s="108"/>
      <c r="O40" s="108"/>
      <c r="P40" s="108"/>
      <c r="Q40" s="108"/>
      <c r="R40" s="108"/>
      <c r="S40" s="108"/>
      <c r="T40" s="108"/>
      <c r="U40" s="108"/>
      <c r="V40" s="108"/>
      <c r="W40" s="108"/>
      <c r="X40" s="108"/>
      <c r="Y40" s="215" t="s">
        <v>226</v>
      </c>
      <c r="Z40" s="108"/>
      <c r="AA40" s="215"/>
      <c r="AB40" s="215"/>
      <c r="AC40" s="42"/>
    </row>
  </sheetData>
  <mergeCells count="12">
    <mergeCell ref="Y5:AA5"/>
    <mergeCell ref="A23:J23"/>
    <mergeCell ref="A1:AC1"/>
    <mergeCell ref="A2:AC2"/>
    <mergeCell ref="A3:AC3"/>
    <mergeCell ref="K5:M5"/>
    <mergeCell ref="P5:U5"/>
    <mergeCell ref="B5:B7"/>
    <mergeCell ref="C5:C7"/>
    <mergeCell ref="B16:AD16"/>
    <mergeCell ref="B17:AD17"/>
    <mergeCell ref="B18:AD18"/>
  </mergeCells>
  <dataValidations count="1">
    <dataValidation allowBlank="1" showInputMessage="1" showErrorMessage="1" prompt="Captura el nombre asignado o el nombre como se le identifica a la plaza (ejem. Jefe de Ingresos, Secretario Particular, Oficial Mayor, etc.)" sqref="D9:G9 D11:G15 D19:G21" xr:uid="{00000000-0002-0000-0900-000000000000}"/>
  </dataValidations>
  <pageMargins left="0.27559055118110237" right="0.27559055118110237" top="0.74803149606299213" bottom="0.35433070866141736" header="0.31496062992125984" footer="0.31496062992125984"/>
  <pageSetup scale="40" orientation="landscape" horizontalDpi="4294967293" verticalDpi="36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P74"/>
  <sheetViews>
    <sheetView tabSelected="1" topLeftCell="B1" zoomScale="68" zoomScaleNormal="68" workbookViewId="0">
      <selection activeCell="B24" sqref="B24:AC24"/>
    </sheetView>
  </sheetViews>
  <sheetFormatPr baseColWidth="10" defaultColWidth="11.42578125" defaultRowHeight="12.75" x14ac:dyDescent="0.2"/>
  <cols>
    <col min="1" max="1" width="5.5703125" style="67" hidden="1" customWidth="1"/>
    <col min="2" max="2" width="10.5703125" style="67" customWidth="1"/>
    <col min="3" max="3" width="9" style="67" customWidth="1"/>
    <col min="4" max="4" width="31.140625" style="67" customWidth="1"/>
    <col min="5" max="5" width="24.28515625" style="67" customWidth="1"/>
    <col min="6" max="6" width="32.85546875" style="67" customWidth="1"/>
    <col min="7" max="7" width="16.28515625" style="67" customWidth="1"/>
    <col min="8" max="8" width="22" style="67" customWidth="1"/>
    <col min="9" max="10" width="11.28515625" style="67" hidden="1" customWidth="1"/>
    <col min="11" max="11" width="17.5703125" style="67" customWidth="1"/>
    <col min="12" max="12" width="16.5703125" style="67" customWidth="1"/>
    <col min="13" max="13" width="18" style="67" customWidth="1"/>
    <col min="14" max="14" width="12.7109375" style="67" hidden="1" customWidth="1"/>
    <col min="15" max="15" width="13.140625" style="67" hidden="1" customWidth="1"/>
    <col min="16" max="16" width="14.42578125" style="67" hidden="1" customWidth="1"/>
    <col min="17" max="17" width="15" style="67" hidden="1" customWidth="1"/>
    <col min="18" max="18" width="11" style="67" hidden="1" customWidth="1"/>
    <col min="19" max="20" width="13.140625" style="67" hidden="1" customWidth="1"/>
    <col min="21" max="21" width="15.42578125" style="67" hidden="1" customWidth="1"/>
    <col min="22" max="22" width="10.42578125" style="67" hidden="1" customWidth="1"/>
    <col min="23" max="23" width="13.140625" style="67" hidden="1" customWidth="1"/>
    <col min="24" max="24" width="11.5703125" style="67" customWidth="1"/>
    <col min="25" max="25" width="15.5703125" style="67" customWidth="1"/>
    <col min="26" max="26" width="14.5703125" style="67" customWidth="1"/>
    <col min="27" max="27" width="15.85546875" style="67" customWidth="1"/>
    <col min="28" max="28" width="18" style="67" customWidth="1"/>
    <col min="29" max="29" width="111.85546875" style="67" customWidth="1"/>
    <col min="30" max="30" width="73.42578125" style="67" customWidth="1"/>
    <col min="31" max="16384" width="11.42578125" style="67"/>
  </cols>
  <sheetData>
    <row r="1" spans="1:31" ht="18" x14ac:dyDescent="0.25">
      <c r="A1" s="466" t="s">
        <v>76</v>
      </c>
      <c r="B1" s="466"/>
      <c r="C1" s="466"/>
      <c r="D1" s="466"/>
      <c r="E1" s="466"/>
      <c r="F1" s="466"/>
      <c r="G1" s="466"/>
      <c r="H1" s="466"/>
      <c r="I1" s="466"/>
      <c r="J1" s="466"/>
      <c r="K1" s="466"/>
      <c r="L1" s="466"/>
      <c r="M1" s="466"/>
      <c r="N1" s="466"/>
      <c r="O1" s="466"/>
      <c r="P1" s="466"/>
      <c r="Q1" s="466"/>
      <c r="R1" s="466"/>
      <c r="S1" s="466"/>
      <c r="T1" s="466"/>
      <c r="U1" s="466"/>
      <c r="V1" s="466"/>
      <c r="W1" s="466"/>
      <c r="X1" s="466"/>
      <c r="Y1" s="466"/>
      <c r="Z1" s="466"/>
      <c r="AA1" s="466"/>
      <c r="AB1" s="466"/>
      <c r="AC1" s="466"/>
      <c r="AD1" s="4"/>
    </row>
    <row r="2" spans="1:31" ht="18" x14ac:dyDescent="0.25">
      <c r="A2" s="466" t="s">
        <v>64</v>
      </c>
      <c r="B2" s="466"/>
      <c r="C2" s="466"/>
      <c r="D2" s="466"/>
      <c r="E2" s="466"/>
      <c r="F2" s="466"/>
      <c r="G2" s="466"/>
      <c r="H2" s="466"/>
      <c r="I2" s="466"/>
      <c r="J2" s="466"/>
      <c r="K2" s="466"/>
      <c r="L2" s="466"/>
      <c r="M2" s="466"/>
      <c r="N2" s="466"/>
      <c r="O2" s="466"/>
      <c r="P2" s="466"/>
      <c r="Q2" s="466"/>
      <c r="R2" s="466"/>
      <c r="S2" s="466"/>
      <c r="T2" s="466"/>
      <c r="U2" s="466"/>
      <c r="V2" s="466"/>
      <c r="W2" s="466"/>
      <c r="X2" s="466"/>
      <c r="Y2" s="466"/>
      <c r="Z2" s="466"/>
      <c r="AA2" s="466"/>
      <c r="AB2" s="466"/>
      <c r="AC2" s="466"/>
      <c r="AD2" s="4"/>
    </row>
    <row r="3" spans="1:31" ht="19.5" customHeight="1" x14ac:dyDescent="0.25">
      <c r="A3" s="41" t="s">
        <v>184</v>
      </c>
      <c r="B3" s="506" t="s">
        <v>675</v>
      </c>
      <c r="C3" s="506"/>
      <c r="D3" s="506"/>
      <c r="E3" s="506"/>
      <c r="F3" s="506"/>
      <c r="G3" s="506"/>
      <c r="H3" s="506"/>
      <c r="I3" s="506"/>
      <c r="J3" s="506"/>
      <c r="K3" s="506"/>
      <c r="L3" s="506"/>
      <c r="M3" s="506"/>
      <c r="N3" s="506"/>
      <c r="O3" s="506"/>
      <c r="P3" s="506"/>
      <c r="Q3" s="506"/>
      <c r="R3" s="506"/>
      <c r="S3" s="506"/>
      <c r="T3" s="506"/>
      <c r="U3" s="506"/>
      <c r="V3" s="506"/>
      <c r="W3" s="506"/>
      <c r="X3" s="506"/>
      <c r="Y3" s="506"/>
      <c r="Z3" s="506"/>
      <c r="AA3" s="506"/>
      <c r="AB3" s="506"/>
      <c r="AC3" s="506"/>
      <c r="AD3" s="204"/>
      <c r="AE3" s="204"/>
    </row>
    <row r="4" spans="1:31" ht="11.25" customHeight="1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"/>
    </row>
    <row r="5" spans="1:31" x14ac:dyDescent="0.2">
      <c r="A5" s="22"/>
      <c r="B5" s="22"/>
      <c r="C5" s="22"/>
      <c r="D5" s="22"/>
      <c r="E5" s="22"/>
      <c r="F5" s="22"/>
      <c r="G5" s="22"/>
      <c r="H5" s="22"/>
      <c r="I5" s="23" t="s">
        <v>22</v>
      </c>
      <c r="J5" s="381"/>
      <c r="K5" s="467" t="s">
        <v>1</v>
      </c>
      <c r="L5" s="468"/>
      <c r="M5" s="469"/>
      <c r="N5" s="24" t="s">
        <v>25</v>
      </c>
      <c r="O5" s="25"/>
      <c r="P5" s="470" t="s">
        <v>8</v>
      </c>
      <c r="Q5" s="471"/>
      <c r="R5" s="471"/>
      <c r="S5" s="471"/>
      <c r="T5" s="471"/>
      <c r="U5" s="472"/>
      <c r="V5" s="24" t="s">
        <v>29</v>
      </c>
      <c r="W5" s="24" t="s">
        <v>9</v>
      </c>
      <c r="X5" s="23" t="s">
        <v>52</v>
      </c>
      <c r="Y5" s="473" t="s">
        <v>2</v>
      </c>
      <c r="Z5" s="474"/>
      <c r="AA5" s="475"/>
      <c r="AB5" s="23" t="s">
        <v>0</v>
      </c>
      <c r="AC5" s="101"/>
      <c r="AD5" s="4"/>
    </row>
    <row r="6" spans="1:31" ht="32.25" customHeight="1" x14ac:dyDescent="0.2">
      <c r="A6" s="26" t="s">
        <v>20</v>
      </c>
      <c r="B6" s="45" t="s">
        <v>97</v>
      </c>
      <c r="C6" s="45" t="s">
        <v>119</v>
      </c>
      <c r="D6" s="26" t="s">
        <v>21</v>
      </c>
      <c r="E6" s="26"/>
      <c r="F6" s="26"/>
      <c r="G6" s="26"/>
      <c r="H6" s="26"/>
      <c r="I6" s="27" t="s">
        <v>23</v>
      </c>
      <c r="J6" s="27"/>
      <c r="K6" s="23" t="s">
        <v>5</v>
      </c>
      <c r="L6" s="23" t="s">
        <v>58</v>
      </c>
      <c r="M6" s="23" t="s">
        <v>27</v>
      </c>
      <c r="N6" s="28" t="s">
        <v>26</v>
      </c>
      <c r="O6" s="25" t="s">
        <v>31</v>
      </c>
      <c r="P6" s="25" t="s">
        <v>11</v>
      </c>
      <c r="Q6" s="25" t="s">
        <v>33</v>
      </c>
      <c r="R6" s="25" t="s">
        <v>35</v>
      </c>
      <c r="S6" s="25" t="s">
        <v>36</v>
      </c>
      <c r="T6" s="25" t="s">
        <v>13</v>
      </c>
      <c r="U6" s="25" t="s">
        <v>9</v>
      </c>
      <c r="V6" s="28" t="s">
        <v>39</v>
      </c>
      <c r="W6" s="28" t="s">
        <v>40</v>
      </c>
      <c r="X6" s="26" t="s">
        <v>30</v>
      </c>
      <c r="Y6" s="23" t="s">
        <v>281</v>
      </c>
      <c r="Z6" s="23" t="s">
        <v>56</v>
      </c>
      <c r="AA6" s="23" t="s">
        <v>6</v>
      </c>
      <c r="AB6" s="26" t="s">
        <v>3</v>
      </c>
      <c r="AC6" s="35" t="s">
        <v>57</v>
      </c>
      <c r="AD6" s="4"/>
    </row>
    <row r="7" spans="1:31" x14ac:dyDescent="0.2">
      <c r="A7" s="29"/>
      <c r="B7" s="26"/>
      <c r="C7" s="26"/>
      <c r="D7" s="26"/>
      <c r="E7" s="26"/>
      <c r="F7" s="26"/>
      <c r="G7" s="26"/>
      <c r="H7" s="26"/>
      <c r="I7" s="26"/>
      <c r="J7" s="26"/>
      <c r="K7" s="26" t="s">
        <v>46</v>
      </c>
      <c r="L7" s="26" t="s">
        <v>59</v>
      </c>
      <c r="M7" s="26" t="s">
        <v>28</v>
      </c>
      <c r="N7" s="28" t="s">
        <v>42</v>
      </c>
      <c r="O7" s="24" t="s">
        <v>32</v>
      </c>
      <c r="P7" s="24" t="s">
        <v>12</v>
      </c>
      <c r="Q7" s="24" t="s">
        <v>34</v>
      </c>
      <c r="R7" s="24" t="s">
        <v>34</v>
      </c>
      <c r="S7" s="24" t="s">
        <v>37</v>
      </c>
      <c r="T7" s="24" t="s">
        <v>14</v>
      </c>
      <c r="U7" s="24" t="s">
        <v>38</v>
      </c>
      <c r="V7" s="28" t="s">
        <v>18</v>
      </c>
      <c r="W7" s="31" t="s">
        <v>128</v>
      </c>
      <c r="X7" s="26" t="s">
        <v>51</v>
      </c>
      <c r="Y7" s="26"/>
      <c r="Z7" s="26"/>
      <c r="AA7" s="26" t="s">
        <v>43</v>
      </c>
      <c r="AB7" s="26" t="s">
        <v>4</v>
      </c>
      <c r="AC7" s="102"/>
      <c r="AD7" s="4"/>
    </row>
    <row r="8" spans="1:31" ht="42" customHeight="1" x14ac:dyDescent="0.3">
      <c r="A8" s="38"/>
      <c r="B8" s="510" t="s">
        <v>117</v>
      </c>
      <c r="C8" s="511"/>
      <c r="D8" s="512"/>
      <c r="E8" s="230" t="s">
        <v>98</v>
      </c>
      <c r="F8" s="230" t="s">
        <v>229</v>
      </c>
      <c r="G8" s="229" t="s">
        <v>291</v>
      </c>
      <c r="H8" s="230" t="s">
        <v>61</v>
      </c>
      <c r="I8" s="100"/>
      <c r="J8" s="100"/>
      <c r="K8" s="100"/>
      <c r="L8" s="100"/>
      <c r="M8" s="100"/>
      <c r="N8" s="100"/>
      <c r="O8" s="100"/>
      <c r="P8" s="100"/>
      <c r="Q8" s="100"/>
      <c r="R8" s="100"/>
      <c r="S8" s="100"/>
      <c r="T8" s="100"/>
      <c r="U8" s="100"/>
      <c r="V8" s="100"/>
      <c r="W8" s="100"/>
      <c r="X8" s="100"/>
      <c r="Y8" s="100"/>
      <c r="Z8" s="100"/>
      <c r="AA8" s="100"/>
      <c r="AB8" s="100"/>
      <c r="AC8" s="96"/>
      <c r="AD8" s="4"/>
    </row>
    <row r="9" spans="1:31" s="385" customFormat="1" ht="172.5" customHeight="1" x14ac:dyDescent="0.2">
      <c r="A9" s="267" t="s">
        <v>83</v>
      </c>
      <c r="B9" s="285" t="s">
        <v>364</v>
      </c>
      <c r="C9" s="285" t="s">
        <v>118</v>
      </c>
      <c r="D9" s="383" t="s">
        <v>365</v>
      </c>
      <c r="E9" s="368" t="s">
        <v>366</v>
      </c>
      <c r="F9" s="368" t="s">
        <v>367</v>
      </c>
      <c r="G9" s="359">
        <v>45367</v>
      </c>
      <c r="H9" s="327" t="s">
        <v>66</v>
      </c>
      <c r="I9" s="274">
        <v>15</v>
      </c>
      <c r="J9" s="274">
        <f t="shared" ref="J9:J17" si="0">K9/I9</f>
        <v>728</v>
      </c>
      <c r="K9" s="276">
        <v>10920</v>
      </c>
      <c r="L9" s="277">
        <v>0</v>
      </c>
      <c r="M9" s="278">
        <f t="shared" ref="M9" si="1">SUM(K9:L9)</f>
        <v>10920</v>
      </c>
      <c r="N9" s="300">
        <f t="shared" ref="N9:N17" si="2">IF(K9/15&lt;=SMG,0,L9/2)</f>
        <v>0</v>
      </c>
      <c r="O9" s="321">
        <f t="shared" ref="O9:O17" si="3">(K9+N9)/I9*30.4</f>
        <v>22131.200000000001</v>
      </c>
      <c r="P9" s="321">
        <f t="shared" ref="P9:P17" si="4">VLOOKUP(O9,Tarifa,1)</f>
        <v>15487.72</v>
      </c>
      <c r="Q9" s="300">
        <f t="shared" ref="Q9:Q17" si="5">O9-P9</f>
        <v>6643.4800000000014</v>
      </c>
      <c r="R9" s="301">
        <f t="shared" ref="R9:R17" si="6">VLOOKUP(O9,Tarifa,3)</f>
        <v>0.21360000000000001</v>
      </c>
      <c r="S9" s="300">
        <f t="shared" ref="S9:S17" si="7">Q9*R9</f>
        <v>1419.0473280000003</v>
      </c>
      <c r="T9" s="302">
        <f t="shared" ref="T9:T17" si="8">VLOOKUP(O9,Tarifa,2)</f>
        <v>1640.18</v>
      </c>
      <c r="U9" s="300">
        <f t="shared" ref="U9:U17" si="9">S9+T9</f>
        <v>3059.2273280000004</v>
      </c>
      <c r="V9" s="300">
        <f t="shared" ref="V9:V17" si="10">VLOOKUP(O9,Credito,2)</f>
        <v>0</v>
      </c>
      <c r="W9" s="300">
        <f t="shared" ref="W9:W17" si="11">ROUND((U9-V9)/30.4*I9,2)</f>
        <v>1509.49</v>
      </c>
      <c r="X9" s="278">
        <f>-IF(W9&gt;0,0,0)</f>
        <v>0</v>
      </c>
      <c r="Y9" s="278">
        <f t="shared" ref="Y9" si="12">IF(K9/15&lt;=SMG,0,IF(W9&lt;0,0,W9))</f>
        <v>1509.49</v>
      </c>
      <c r="Z9" s="279">
        <v>0</v>
      </c>
      <c r="AA9" s="278">
        <f t="shared" ref="AA9" si="13">SUM(Y9:Z9)</f>
        <v>1509.49</v>
      </c>
      <c r="AB9" s="278">
        <f>M9+X9-Y9</f>
        <v>9410.51</v>
      </c>
      <c r="AC9" s="384"/>
      <c r="AD9" s="341"/>
    </row>
    <row r="10" spans="1:31" s="282" customFormat="1" ht="172.5" customHeight="1" x14ac:dyDescent="0.2">
      <c r="A10" s="380"/>
      <c r="B10" s="285" t="s">
        <v>176</v>
      </c>
      <c r="C10" s="285" t="s">
        <v>118</v>
      </c>
      <c r="D10" s="383" t="s">
        <v>174</v>
      </c>
      <c r="E10" s="368" t="s">
        <v>175</v>
      </c>
      <c r="F10" s="368" t="s">
        <v>251</v>
      </c>
      <c r="G10" s="359">
        <v>43601</v>
      </c>
      <c r="H10" s="273" t="s">
        <v>78</v>
      </c>
      <c r="I10" s="274">
        <v>15</v>
      </c>
      <c r="J10" s="274">
        <f t="shared" si="0"/>
        <v>594.76666666666665</v>
      </c>
      <c r="K10" s="276">
        <v>8921.5</v>
      </c>
      <c r="L10" s="277">
        <v>0</v>
      </c>
      <c r="M10" s="278">
        <f t="shared" ref="M10:M12" si="14">SUM(K10:L10)</f>
        <v>8921.5</v>
      </c>
      <c r="N10" s="300">
        <f t="shared" si="2"/>
        <v>0</v>
      </c>
      <c r="O10" s="321">
        <f t="shared" si="3"/>
        <v>18080.906666666666</v>
      </c>
      <c r="P10" s="321">
        <f t="shared" si="4"/>
        <v>15487.72</v>
      </c>
      <c r="Q10" s="300">
        <f t="shared" si="5"/>
        <v>2593.1866666666665</v>
      </c>
      <c r="R10" s="301">
        <f t="shared" si="6"/>
        <v>0.21360000000000001</v>
      </c>
      <c r="S10" s="300">
        <f t="shared" si="7"/>
        <v>553.90467200000001</v>
      </c>
      <c r="T10" s="302">
        <f t="shared" si="8"/>
        <v>1640.18</v>
      </c>
      <c r="U10" s="300">
        <f t="shared" si="9"/>
        <v>2194.084672</v>
      </c>
      <c r="V10" s="300">
        <f t="shared" si="10"/>
        <v>0</v>
      </c>
      <c r="W10" s="300">
        <f t="shared" si="11"/>
        <v>1082.6099999999999</v>
      </c>
      <c r="X10" s="278">
        <f t="shared" ref="X10:X12" si="15">-IF(W10&gt;0,0,0)</f>
        <v>0</v>
      </c>
      <c r="Y10" s="278">
        <f t="shared" ref="Y10" si="16">IF(K10/15&lt;=SMG,0,IF(W10&lt;0,0,W10))</f>
        <v>1082.6099999999999</v>
      </c>
      <c r="Z10" s="279">
        <v>0</v>
      </c>
      <c r="AA10" s="278">
        <f t="shared" ref="AA10:AA12" si="17">SUM(Y10:Z10)</f>
        <v>1082.6099999999999</v>
      </c>
      <c r="AB10" s="278">
        <f t="shared" ref="AB10:AB12" si="18">M10+X10-AA10</f>
        <v>7838.89</v>
      </c>
      <c r="AC10" s="384"/>
      <c r="AD10" s="341"/>
    </row>
    <row r="11" spans="1:31" s="282" customFormat="1" ht="172.5" customHeight="1" x14ac:dyDescent="0.2">
      <c r="A11" s="380"/>
      <c r="B11" s="285" t="s">
        <v>372</v>
      </c>
      <c r="C11" s="285" t="s">
        <v>118</v>
      </c>
      <c r="D11" s="386" t="s">
        <v>539</v>
      </c>
      <c r="E11" s="368" t="s">
        <v>373</v>
      </c>
      <c r="F11" s="280" t="s">
        <v>374</v>
      </c>
      <c r="G11" s="331">
        <v>45367</v>
      </c>
      <c r="H11" s="273" t="s">
        <v>78</v>
      </c>
      <c r="I11" s="274">
        <v>15</v>
      </c>
      <c r="J11" s="274">
        <f t="shared" si="0"/>
        <v>594.76666666666665</v>
      </c>
      <c r="K11" s="276">
        <v>8921.5</v>
      </c>
      <c r="L11" s="277">
        <v>0</v>
      </c>
      <c r="M11" s="278">
        <f t="shared" ref="M11" si="19">SUM(K11:L11)</f>
        <v>8921.5</v>
      </c>
      <c r="N11" s="300">
        <f t="shared" si="2"/>
        <v>0</v>
      </c>
      <c r="O11" s="321">
        <f t="shared" si="3"/>
        <v>18080.906666666666</v>
      </c>
      <c r="P11" s="321">
        <f t="shared" si="4"/>
        <v>15487.72</v>
      </c>
      <c r="Q11" s="300">
        <f t="shared" si="5"/>
        <v>2593.1866666666665</v>
      </c>
      <c r="R11" s="301">
        <f t="shared" si="6"/>
        <v>0.21360000000000001</v>
      </c>
      <c r="S11" s="300">
        <f t="shared" si="7"/>
        <v>553.90467200000001</v>
      </c>
      <c r="T11" s="302">
        <f t="shared" si="8"/>
        <v>1640.18</v>
      </c>
      <c r="U11" s="300">
        <f t="shared" si="9"/>
        <v>2194.084672</v>
      </c>
      <c r="V11" s="300">
        <f t="shared" si="10"/>
        <v>0</v>
      </c>
      <c r="W11" s="300">
        <f t="shared" si="11"/>
        <v>1082.6099999999999</v>
      </c>
      <c r="X11" s="278">
        <f t="shared" ref="X11" si="20">-IF(W11&gt;0,0,0)</f>
        <v>0</v>
      </c>
      <c r="Y11" s="278">
        <f t="shared" ref="Y11" si="21">IF(K11/15&lt;=SMG,0,IF(W11&lt;0,0,W11))</f>
        <v>1082.6099999999999</v>
      </c>
      <c r="Z11" s="279">
        <v>0</v>
      </c>
      <c r="AA11" s="278">
        <f t="shared" ref="AA11" si="22">SUM(Y11:Z11)</f>
        <v>1082.6099999999999</v>
      </c>
      <c r="AB11" s="278">
        <f t="shared" ref="AB11" si="23">M11+X11-AA11</f>
        <v>7838.89</v>
      </c>
      <c r="AC11" s="384"/>
      <c r="AD11" s="341"/>
    </row>
    <row r="12" spans="1:31" s="282" customFormat="1" ht="172.5" customHeight="1" x14ac:dyDescent="0.2">
      <c r="A12" s="380"/>
      <c r="B12" s="285" t="s">
        <v>368</v>
      </c>
      <c r="C12" s="285" t="s">
        <v>118</v>
      </c>
      <c r="D12" s="386" t="s">
        <v>369</v>
      </c>
      <c r="E12" s="368" t="s">
        <v>370</v>
      </c>
      <c r="F12" s="368" t="s">
        <v>371</v>
      </c>
      <c r="G12" s="359">
        <v>45367</v>
      </c>
      <c r="H12" s="273" t="s">
        <v>264</v>
      </c>
      <c r="I12" s="274">
        <v>15</v>
      </c>
      <c r="J12" s="274">
        <f t="shared" si="0"/>
        <v>566.93333333333328</v>
      </c>
      <c r="K12" s="276">
        <v>8504</v>
      </c>
      <c r="L12" s="277">
        <v>0</v>
      </c>
      <c r="M12" s="278">
        <f t="shared" si="14"/>
        <v>8504</v>
      </c>
      <c r="N12" s="300">
        <f t="shared" si="2"/>
        <v>0</v>
      </c>
      <c r="O12" s="321">
        <f t="shared" si="3"/>
        <v>17234.773333333331</v>
      </c>
      <c r="P12" s="321">
        <f t="shared" si="4"/>
        <v>15487.72</v>
      </c>
      <c r="Q12" s="300">
        <f t="shared" si="5"/>
        <v>1747.0533333333315</v>
      </c>
      <c r="R12" s="301">
        <f t="shared" si="6"/>
        <v>0.21360000000000001</v>
      </c>
      <c r="S12" s="300">
        <f t="shared" si="7"/>
        <v>373.1705919999996</v>
      </c>
      <c r="T12" s="302">
        <f t="shared" si="8"/>
        <v>1640.18</v>
      </c>
      <c r="U12" s="300">
        <f t="shared" si="9"/>
        <v>2013.3505919999998</v>
      </c>
      <c r="V12" s="300">
        <f t="shared" si="10"/>
        <v>0</v>
      </c>
      <c r="W12" s="300">
        <f t="shared" si="11"/>
        <v>993.43</v>
      </c>
      <c r="X12" s="278">
        <f t="shared" si="15"/>
        <v>0</v>
      </c>
      <c r="Y12" s="278">
        <f t="shared" ref="Y12" si="24">IF(K12/15&lt;=SMG,0,IF(W12&lt;0,0,W12))</f>
        <v>993.43</v>
      </c>
      <c r="Z12" s="279">
        <v>0</v>
      </c>
      <c r="AA12" s="278">
        <f t="shared" si="17"/>
        <v>993.43</v>
      </c>
      <c r="AB12" s="278">
        <f t="shared" si="18"/>
        <v>7510.57</v>
      </c>
      <c r="AC12" s="384"/>
      <c r="AD12" s="341"/>
    </row>
    <row r="13" spans="1:31" s="282" customFormat="1" ht="172.5" customHeight="1" x14ac:dyDescent="0.2">
      <c r="A13" s="380"/>
      <c r="B13" s="285" t="s">
        <v>360</v>
      </c>
      <c r="C13" s="285" t="s">
        <v>118</v>
      </c>
      <c r="D13" s="386" t="s">
        <v>361</v>
      </c>
      <c r="E13" s="368" t="s">
        <v>362</v>
      </c>
      <c r="F13" s="280" t="s">
        <v>363</v>
      </c>
      <c r="G13" s="331">
        <v>45352</v>
      </c>
      <c r="H13" s="273" t="s">
        <v>264</v>
      </c>
      <c r="I13" s="274">
        <v>15</v>
      </c>
      <c r="J13" s="274">
        <f t="shared" si="0"/>
        <v>566.93333333333328</v>
      </c>
      <c r="K13" s="276">
        <v>8504</v>
      </c>
      <c r="L13" s="277">
        <v>0</v>
      </c>
      <c r="M13" s="278">
        <f t="shared" ref="M13" si="25">SUM(K13:L13)</f>
        <v>8504</v>
      </c>
      <c r="N13" s="300">
        <f t="shared" si="2"/>
        <v>0</v>
      </c>
      <c r="O13" s="321">
        <f t="shared" si="3"/>
        <v>17234.773333333331</v>
      </c>
      <c r="P13" s="321">
        <f t="shared" si="4"/>
        <v>15487.72</v>
      </c>
      <c r="Q13" s="300">
        <f t="shared" si="5"/>
        <v>1747.0533333333315</v>
      </c>
      <c r="R13" s="301">
        <f t="shared" si="6"/>
        <v>0.21360000000000001</v>
      </c>
      <c r="S13" s="300">
        <f t="shared" si="7"/>
        <v>373.1705919999996</v>
      </c>
      <c r="T13" s="302">
        <f t="shared" si="8"/>
        <v>1640.18</v>
      </c>
      <c r="U13" s="300">
        <f t="shared" si="9"/>
        <v>2013.3505919999998</v>
      </c>
      <c r="V13" s="300">
        <f t="shared" si="10"/>
        <v>0</v>
      </c>
      <c r="W13" s="300">
        <f t="shared" si="11"/>
        <v>993.43</v>
      </c>
      <c r="X13" s="278">
        <f t="shared" ref="X13:X14" si="26">-IF(W13&gt;0,0,0)</f>
        <v>0</v>
      </c>
      <c r="Y13" s="278">
        <f t="shared" ref="Y13:Y14" si="27">IF(K13/15&lt;=SMG,0,IF(W13&lt;0,0,W13))</f>
        <v>993.43</v>
      </c>
      <c r="Z13" s="279">
        <v>0</v>
      </c>
      <c r="AA13" s="278">
        <f t="shared" ref="AA13:AA14" si="28">SUM(Y13:Z13)</f>
        <v>993.43</v>
      </c>
      <c r="AB13" s="278">
        <f t="shared" ref="AB13:AB14" si="29">M13+X13-AA13</f>
        <v>7510.57</v>
      </c>
      <c r="AC13" s="384"/>
      <c r="AD13" s="341"/>
    </row>
    <row r="14" spans="1:31" s="282" customFormat="1" ht="172.5" customHeight="1" x14ac:dyDescent="0.2">
      <c r="A14" s="380"/>
      <c r="B14" s="285" t="s">
        <v>378</v>
      </c>
      <c r="C14" s="285" t="s">
        <v>118</v>
      </c>
      <c r="D14" s="386" t="s">
        <v>538</v>
      </c>
      <c r="E14" s="368" t="s">
        <v>379</v>
      </c>
      <c r="F14" s="280" t="s">
        <v>380</v>
      </c>
      <c r="G14" s="331">
        <v>45367</v>
      </c>
      <c r="H14" s="273" t="s">
        <v>264</v>
      </c>
      <c r="I14" s="274">
        <v>15</v>
      </c>
      <c r="J14" s="274">
        <f t="shared" si="0"/>
        <v>566.93333333333328</v>
      </c>
      <c r="K14" s="276">
        <v>8504</v>
      </c>
      <c r="L14" s="277">
        <v>0</v>
      </c>
      <c r="M14" s="278">
        <f t="shared" ref="M14" si="30">SUM(K14:L14)</f>
        <v>8504</v>
      </c>
      <c r="N14" s="300">
        <f t="shared" si="2"/>
        <v>0</v>
      </c>
      <c r="O14" s="321">
        <f t="shared" si="3"/>
        <v>17234.773333333331</v>
      </c>
      <c r="P14" s="321">
        <f t="shared" si="4"/>
        <v>15487.72</v>
      </c>
      <c r="Q14" s="300">
        <f t="shared" si="5"/>
        <v>1747.0533333333315</v>
      </c>
      <c r="R14" s="301">
        <f t="shared" si="6"/>
        <v>0.21360000000000001</v>
      </c>
      <c r="S14" s="300">
        <f t="shared" si="7"/>
        <v>373.1705919999996</v>
      </c>
      <c r="T14" s="302">
        <f t="shared" si="8"/>
        <v>1640.18</v>
      </c>
      <c r="U14" s="300">
        <f t="shared" si="9"/>
        <v>2013.3505919999998</v>
      </c>
      <c r="V14" s="300">
        <f t="shared" si="10"/>
        <v>0</v>
      </c>
      <c r="W14" s="300">
        <f t="shared" si="11"/>
        <v>993.43</v>
      </c>
      <c r="X14" s="278">
        <f t="shared" si="26"/>
        <v>0</v>
      </c>
      <c r="Y14" s="278">
        <f t="shared" si="27"/>
        <v>993.43</v>
      </c>
      <c r="Z14" s="279">
        <v>0</v>
      </c>
      <c r="AA14" s="278">
        <f t="shared" si="28"/>
        <v>993.43</v>
      </c>
      <c r="AB14" s="278">
        <f t="shared" si="29"/>
        <v>7510.57</v>
      </c>
      <c r="AC14" s="384"/>
      <c r="AD14" s="341"/>
    </row>
    <row r="15" spans="1:31" s="282" customFormat="1" ht="172.5" customHeight="1" x14ac:dyDescent="0.2">
      <c r="A15" s="380"/>
      <c r="B15" s="285" t="s">
        <v>103</v>
      </c>
      <c r="C15" s="285" t="s">
        <v>118</v>
      </c>
      <c r="D15" s="383" t="s">
        <v>82</v>
      </c>
      <c r="E15" s="280" t="s">
        <v>116</v>
      </c>
      <c r="F15" s="280" t="s">
        <v>234</v>
      </c>
      <c r="G15" s="331">
        <v>41898</v>
      </c>
      <c r="H15" s="273" t="s">
        <v>79</v>
      </c>
      <c r="I15" s="274">
        <v>15</v>
      </c>
      <c r="J15" s="274">
        <f t="shared" si="0"/>
        <v>539.13333333333333</v>
      </c>
      <c r="K15" s="276">
        <v>8087</v>
      </c>
      <c r="L15" s="277">
        <v>0</v>
      </c>
      <c r="M15" s="278">
        <f t="shared" ref="M15:M17" si="31">SUM(K15:L15)</f>
        <v>8087</v>
      </c>
      <c r="N15" s="300">
        <f t="shared" si="2"/>
        <v>0</v>
      </c>
      <c r="O15" s="321">
        <f t="shared" si="3"/>
        <v>16389.653333333332</v>
      </c>
      <c r="P15" s="321">
        <f t="shared" si="4"/>
        <v>15487.72</v>
      </c>
      <c r="Q15" s="300">
        <f t="shared" si="5"/>
        <v>901.93333333333248</v>
      </c>
      <c r="R15" s="301">
        <f t="shared" si="6"/>
        <v>0.21360000000000001</v>
      </c>
      <c r="S15" s="300">
        <f t="shared" si="7"/>
        <v>192.65295999999984</v>
      </c>
      <c r="T15" s="302">
        <f t="shared" si="8"/>
        <v>1640.18</v>
      </c>
      <c r="U15" s="300">
        <f t="shared" si="9"/>
        <v>1832.83296</v>
      </c>
      <c r="V15" s="300">
        <f t="shared" si="10"/>
        <v>0</v>
      </c>
      <c r="W15" s="300">
        <f t="shared" si="11"/>
        <v>904.36</v>
      </c>
      <c r="X15" s="278">
        <f t="shared" ref="X15:X17" si="32">-IF(W15&gt;0,0,0)</f>
        <v>0</v>
      </c>
      <c r="Y15" s="278">
        <f t="shared" ref="Y15:Y17" si="33">IF(K15/15&lt;=SMG,0,IF(W15&lt;0,0,W15))</f>
        <v>904.36</v>
      </c>
      <c r="Z15" s="279">
        <v>0</v>
      </c>
      <c r="AA15" s="278">
        <f t="shared" ref="AA15" si="34">SUM(Y15:Z15)</f>
        <v>904.36</v>
      </c>
      <c r="AB15" s="278">
        <f t="shared" ref="AB15:AB17" si="35">M15+X15-AA15</f>
        <v>7182.64</v>
      </c>
      <c r="AC15" s="384"/>
      <c r="AD15" s="341"/>
    </row>
    <row r="16" spans="1:31" s="282" customFormat="1" ht="172.5" customHeight="1" x14ac:dyDescent="0.2">
      <c r="A16" s="380"/>
      <c r="B16" s="285" t="s">
        <v>187</v>
      </c>
      <c r="C16" s="285" t="s">
        <v>118</v>
      </c>
      <c r="D16" s="387" t="s">
        <v>185</v>
      </c>
      <c r="E16" s="368" t="s">
        <v>186</v>
      </c>
      <c r="F16" s="368" t="s">
        <v>254</v>
      </c>
      <c r="G16" s="359">
        <v>43831</v>
      </c>
      <c r="H16" s="273" t="s">
        <v>79</v>
      </c>
      <c r="I16" s="274">
        <v>15</v>
      </c>
      <c r="J16" s="274">
        <f t="shared" si="0"/>
        <v>539.13333333333333</v>
      </c>
      <c r="K16" s="276">
        <v>8087</v>
      </c>
      <c r="L16" s="277">
        <v>0</v>
      </c>
      <c r="M16" s="278">
        <f t="shared" si="31"/>
        <v>8087</v>
      </c>
      <c r="N16" s="300">
        <f t="shared" si="2"/>
        <v>0</v>
      </c>
      <c r="O16" s="321">
        <f t="shared" si="3"/>
        <v>16389.653333333332</v>
      </c>
      <c r="P16" s="321">
        <f t="shared" si="4"/>
        <v>15487.72</v>
      </c>
      <c r="Q16" s="300">
        <f t="shared" si="5"/>
        <v>901.93333333333248</v>
      </c>
      <c r="R16" s="301">
        <f t="shared" si="6"/>
        <v>0.21360000000000001</v>
      </c>
      <c r="S16" s="300">
        <f t="shared" si="7"/>
        <v>192.65295999999984</v>
      </c>
      <c r="T16" s="302">
        <f t="shared" si="8"/>
        <v>1640.18</v>
      </c>
      <c r="U16" s="300">
        <f t="shared" si="9"/>
        <v>1832.83296</v>
      </c>
      <c r="V16" s="300">
        <f t="shared" si="10"/>
        <v>0</v>
      </c>
      <c r="W16" s="300">
        <f t="shared" si="11"/>
        <v>904.36</v>
      </c>
      <c r="X16" s="278">
        <f t="shared" si="32"/>
        <v>0</v>
      </c>
      <c r="Y16" s="278">
        <f t="shared" si="33"/>
        <v>904.36</v>
      </c>
      <c r="Z16" s="279">
        <v>0</v>
      </c>
      <c r="AA16" s="278">
        <f t="shared" ref="AA16:AA17" si="36">SUM(Y16:Z16)</f>
        <v>904.36</v>
      </c>
      <c r="AB16" s="278">
        <f t="shared" si="35"/>
        <v>7182.64</v>
      </c>
      <c r="AC16" s="384"/>
      <c r="AD16" s="341"/>
    </row>
    <row r="17" spans="1:30" s="282" customFormat="1" ht="172.5" customHeight="1" x14ac:dyDescent="0.2">
      <c r="A17" s="380"/>
      <c r="B17" s="285" t="s">
        <v>260</v>
      </c>
      <c r="C17" s="285" t="s">
        <v>118</v>
      </c>
      <c r="D17" s="386" t="s">
        <v>261</v>
      </c>
      <c r="E17" s="368" t="s">
        <v>262</v>
      </c>
      <c r="F17" s="368" t="s">
        <v>263</v>
      </c>
      <c r="G17" s="359">
        <v>44608</v>
      </c>
      <c r="H17" s="273" t="s">
        <v>79</v>
      </c>
      <c r="I17" s="274">
        <v>15</v>
      </c>
      <c r="J17" s="274">
        <f t="shared" si="0"/>
        <v>539.13333333333333</v>
      </c>
      <c r="K17" s="276">
        <v>8087</v>
      </c>
      <c r="L17" s="277">
        <v>0</v>
      </c>
      <c r="M17" s="278">
        <f t="shared" si="31"/>
        <v>8087</v>
      </c>
      <c r="N17" s="300">
        <f t="shared" si="2"/>
        <v>0</v>
      </c>
      <c r="O17" s="321">
        <f t="shared" si="3"/>
        <v>16389.653333333332</v>
      </c>
      <c r="P17" s="321">
        <f t="shared" si="4"/>
        <v>15487.72</v>
      </c>
      <c r="Q17" s="300">
        <f t="shared" si="5"/>
        <v>901.93333333333248</v>
      </c>
      <c r="R17" s="301">
        <f t="shared" si="6"/>
        <v>0.21360000000000001</v>
      </c>
      <c r="S17" s="300">
        <f t="shared" si="7"/>
        <v>192.65295999999984</v>
      </c>
      <c r="T17" s="302">
        <f t="shared" si="8"/>
        <v>1640.18</v>
      </c>
      <c r="U17" s="300">
        <f t="shared" si="9"/>
        <v>1832.83296</v>
      </c>
      <c r="V17" s="300">
        <f t="shared" si="10"/>
        <v>0</v>
      </c>
      <c r="W17" s="300">
        <f t="shared" si="11"/>
        <v>904.36</v>
      </c>
      <c r="X17" s="278">
        <f t="shared" si="32"/>
        <v>0</v>
      </c>
      <c r="Y17" s="278">
        <f t="shared" si="33"/>
        <v>904.36</v>
      </c>
      <c r="Z17" s="279">
        <v>0</v>
      </c>
      <c r="AA17" s="278">
        <f t="shared" si="36"/>
        <v>904.36</v>
      </c>
      <c r="AB17" s="278">
        <f t="shared" si="35"/>
        <v>7182.64</v>
      </c>
      <c r="AC17" s="340"/>
      <c r="AD17" s="341"/>
    </row>
    <row r="18" spans="1:30" ht="53.25" customHeight="1" x14ac:dyDescent="0.3">
      <c r="A18" s="146"/>
      <c r="B18" s="146"/>
      <c r="C18" s="146"/>
      <c r="D18" s="199"/>
      <c r="E18" s="200"/>
      <c r="F18" s="108"/>
      <c r="G18" s="163"/>
      <c r="H18" s="150"/>
      <c r="I18" s="151"/>
      <c r="J18" s="151"/>
      <c r="K18" s="153"/>
      <c r="L18" s="154"/>
      <c r="M18" s="155"/>
      <c r="N18" s="201"/>
      <c r="O18" s="201"/>
      <c r="P18" s="201"/>
      <c r="Q18" s="201"/>
      <c r="R18" s="202"/>
      <c r="S18" s="201"/>
      <c r="T18" s="203"/>
      <c r="U18" s="201"/>
      <c r="V18" s="201"/>
      <c r="W18" s="201"/>
      <c r="X18" s="155"/>
      <c r="Y18" s="155"/>
      <c r="Z18" s="156"/>
      <c r="AA18" s="155"/>
      <c r="AB18" s="155"/>
      <c r="AC18" s="4"/>
      <c r="AD18" s="4"/>
    </row>
    <row r="19" spans="1:30" ht="5.25" customHeight="1" x14ac:dyDescent="0.3">
      <c r="A19" s="146"/>
      <c r="B19" s="146"/>
      <c r="C19" s="146"/>
      <c r="D19" s="199"/>
      <c r="E19" s="200"/>
      <c r="F19" s="108"/>
      <c r="G19" s="163"/>
      <c r="H19" s="150"/>
      <c r="I19" s="151"/>
      <c r="J19" s="151"/>
      <c r="K19" s="153"/>
      <c r="L19" s="154"/>
      <c r="M19" s="155"/>
      <c r="N19" s="201"/>
      <c r="O19" s="201"/>
      <c r="P19" s="201"/>
      <c r="Q19" s="201"/>
      <c r="R19" s="202"/>
      <c r="S19" s="201"/>
      <c r="T19" s="203"/>
      <c r="U19" s="201"/>
      <c r="V19" s="201"/>
      <c r="W19" s="201"/>
      <c r="X19" s="155"/>
      <c r="Y19" s="155"/>
      <c r="Z19" s="156"/>
      <c r="AA19" s="155"/>
      <c r="AB19" s="155"/>
      <c r="AC19" s="4"/>
      <c r="AD19" s="4"/>
    </row>
    <row r="20" spans="1:30" ht="5.25" customHeight="1" x14ac:dyDescent="0.3">
      <c r="A20" s="146"/>
      <c r="B20" s="146"/>
      <c r="C20" s="146"/>
      <c r="D20" s="199"/>
      <c r="E20" s="200"/>
      <c r="F20" s="108"/>
      <c r="G20" s="163"/>
      <c r="H20" s="150"/>
      <c r="I20" s="151"/>
      <c r="J20" s="151"/>
      <c r="K20" s="153"/>
      <c r="L20" s="154"/>
      <c r="M20" s="155"/>
      <c r="N20" s="201"/>
      <c r="O20" s="201"/>
      <c r="P20" s="201"/>
      <c r="Q20" s="201"/>
      <c r="R20" s="202"/>
      <c r="S20" s="201"/>
      <c r="T20" s="203"/>
      <c r="U20" s="201"/>
      <c r="V20" s="201"/>
      <c r="W20" s="201"/>
      <c r="X20" s="155"/>
      <c r="Y20" s="155"/>
      <c r="Z20" s="156"/>
      <c r="AA20" s="155"/>
      <c r="AB20" s="155"/>
      <c r="AC20" s="4"/>
      <c r="AD20" s="4"/>
    </row>
    <row r="21" spans="1:30" ht="27.75" customHeight="1" x14ac:dyDescent="0.25">
      <c r="A21" s="146"/>
      <c r="B21" s="506" t="s">
        <v>393</v>
      </c>
      <c r="C21" s="507"/>
      <c r="D21" s="507"/>
      <c r="E21" s="507"/>
      <c r="F21" s="507"/>
      <c r="G21" s="507"/>
      <c r="H21" s="507"/>
      <c r="I21" s="507"/>
      <c r="J21" s="507"/>
      <c r="K21" s="507"/>
      <c r="L21" s="507"/>
      <c r="M21" s="507"/>
      <c r="N21" s="507"/>
      <c r="O21" s="507"/>
      <c r="P21" s="507"/>
      <c r="Q21" s="507"/>
      <c r="R21" s="507"/>
      <c r="S21" s="507"/>
      <c r="T21" s="507"/>
      <c r="U21" s="507"/>
      <c r="V21" s="507"/>
      <c r="W21" s="507"/>
      <c r="X21" s="507"/>
      <c r="Y21" s="507"/>
      <c r="Z21" s="507"/>
      <c r="AA21" s="507"/>
      <c r="AB21" s="507"/>
      <c r="AC21" s="507"/>
      <c r="AD21" s="4"/>
    </row>
    <row r="22" spans="1:30" ht="23.25" customHeight="1" x14ac:dyDescent="0.25">
      <c r="A22" s="146"/>
      <c r="B22" s="506" t="s">
        <v>394</v>
      </c>
      <c r="C22" s="507"/>
      <c r="D22" s="507"/>
      <c r="E22" s="507"/>
      <c r="F22" s="507"/>
      <c r="G22" s="507"/>
      <c r="H22" s="507"/>
      <c r="I22" s="507"/>
      <c r="J22" s="507"/>
      <c r="K22" s="507"/>
      <c r="L22" s="507"/>
      <c r="M22" s="507"/>
      <c r="N22" s="507"/>
      <c r="O22" s="507"/>
      <c r="P22" s="507"/>
      <c r="Q22" s="507"/>
      <c r="R22" s="507"/>
      <c r="S22" s="507"/>
      <c r="T22" s="507"/>
      <c r="U22" s="507"/>
      <c r="V22" s="507"/>
      <c r="W22" s="507"/>
      <c r="X22" s="507"/>
      <c r="Y22" s="507"/>
      <c r="Z22" s="507"/>
      <c r="AA22" s="507"/>
      <c r="AB22" s="507"/>
      <c r="AC22" s="507"/>
      <c r="AD22" s="4"/>
    </row>
    <row r="23" spans="1:30" ht="21" customHeight="1" x14ac:dyDescent="0.25">
      <c r="A23" s="146"/>
      <c r="B23" s="506" t="s">
        <v>675</v>
      </c>
      <c r="C23" s="506"/>
      <c r="D23" s="506"/>
      <c r="E23" s="506"/>
      <c r="F23" s="506"/>
      <c r="G23" s="506"/>
      <c r="H23" s="506"/>
      <c r="I23" s="506"/>
      <c r="J23" s="506"/>
      <c r="K23" s="506"/>
      <c r="L23" s="506"/>
      <c r="M23" s="506"/>
      <c r="N23" s="506"/>
      <c r="O23" s="506"/>
      <c r="P23" s="506"/>
      <c r="Q23" s="506"/>
      <c r="R23" s="506"/>
      <c r="S23" s="506"/>
      <c r="T23" s="506"/>
      <c r="U23" s="506"/>
      <c r="V23" s="506"/>
      <c r="W23" s="506"/>
      <c r="X23" s="506"/>
      <c r="Y23" s="506"/>
      <c r="Z23" s="506"/>
      <c r="AA23" s="506"/>
      <c r="AB23" s="506"/>
      <c r="AC23" s="506"/>
      <c r="AD23" s="4"/>
    </row>
    <row r="24" spans="1:30" ht="20.25" customHeight="1" x14ac:dyDescent="0.25">
      <c r="A24" s="146"/>
      <c r="B24" s="508"/>
      <c r="C24" s="509"/>
      <c r="D24" s="509"/>
      <c r="E24" s="509"/>
      <c r="F24" s="509"/>
      <c r="G24" s="509"/>
      <c r="H24" s="509"/>
      <c r="I24" s="509"/>
      <c r="J24" s="509"/>
      <c r="K24" s="509"/>
      <c r="L24" s="509"/>
      <c r="M24" s="509"/>
      <c r="N24" s="509"/>
      <c r="O24" s="509"/>
      <c r="P24" s="509"/>
      <c r="Q24" s="509"/>
      <c r="R24" s="509"/>
      <c r="S24" s="509"/>
      <c r="T24" s="509"/>
      <c r="U24" s="509"/>
      <c r="V24" s="509"/>
      <c r="W24" s="509"/>
      <c r="X24" s="509"/>
      <c r="Y24" s="509"/>
      <c r="Z24" s="509"/>
      <c r="AA24" s="509"/>
      <c r="AB24" s="509"/>
      <c r="AC24" s="509"/>
      <c r="AD24" s="4"/>
    </row>
    <row r="25" spans="1:30" s="385" customFormat="1" ht="178.5" customHeight="1" x14ac:dyDescent="0.2">
      <c r="A25" s="380"/>
      <c r="B25" s="285" t="s">
        <v>311</v>
      </c>
      <c r="C25" s="285" t="s">
        <v>118</v>
      </c>
      <c r="D25" s="386" t="s">
        <v>312</v>
      </c>
      <c r="E25" s="368" t="s">
        <v>313</v>
      </c>
      <c r="F25" s="280" t="s">
        <v>314</v>
      </c>
      <c r="G25" s="331">
        <v>45092</v>
      </c>
      <c r="H25" s="273" t="s">
        <v>79</v>
      </c>
      <c r="I25" s="274">
        <v>15</v>
      </c>
      <c r="J25" s="274">
        <f t="shared" ref="J25:J33" si="37">K25/I25</f>
        <v>539.13333333333333</v>
      </c>
      <c r="K25" s="276">
        <v>8087</v>
      </c>
      <c r="L25" s="277">
        <v>0</v>
      </c>
      <c r="M25" s="278">
        <f t="shared" ref="M25" si="38">SUM(K25:L25)</f>
        <v>8087</v>
      </c>
      <c r="N25" s="300">
        <f t="shared" ref="N25:N33" si="39">IF(K25/15&lt;=SMG,0,L25/2)</f>
        <v>0</v>
      </c>
      <c r="O25" s="321">
        <f t="shared" ref="O25:O33" si="40">(K25+N25)/I25*30.4</f>
        <v>16389.653333333332</v>
      </c>
      <c r="P25" s="321">
        <f t="shared" ref="P25:P33" si="41">VLOOKUP(O25,Tarifa,1)</f>
        <v>15487.72</v>
      </c>
      <c r="Q25" s="300">
        <f t="shared" ref="Q25:Q33" si="42">O25-P25</f>
        <v>901.93333333333248</v>
      </c>
      <c r="R25" s="301">
        <f t="shared" ref="R25:R33" si="43">VLOOKUP(O25,Tarifa,3)</f>
        <v>0.21360000000000001</v>
      </c>
      <c r="S25" s="300">
        <f t="shared" ref="S25:S33" si="44">Q25*R25</f>
        <v>192.65295999999984</v>
      </c>
      <c r="T25" s="302">
        <f t="shared" ref="T25:T33" si="45">VLOOKUP(O25,Tarifa,2)</f>
        <v>1640.18</v>
      </c>
      <c r="U25" s="300">
        <f t="shared" ref="U25:U33" si="46">S25+T25</f>
        <v>1832.83296</v>
      </c>
      <c r="V25" s="300">
        <f t="shared" ref="V25:V33" si="47">VLOOKUP(O25,Credito,2)</f>
        <v>0</v>
      </c>
      <c r="W25" s="300">
        <f t="shared" ref="W25:W33" si="48">ROUND((U25-V25)/30.4*I25,2)</f>
        <v>904.36</v>
      </c>
      <c r="X25" s="278">
        <f t="shared" ref="X25" si="49">-IF(W25&gt;0,0,0)</f>
        <v>0</v>
      </c>
      <c r="Y25" s="278">
        <f t="shared" ref="Y25" si="50">IF(K25/15&lt;=SMG,0,IF(W25&lt;0,0,W25))</f>
        <v>904.36</v>
      </c>
      <c r="Z25" s="279">
        <v>0</v>
      </c>
      <c r="AA25" s="278">
        <f t="shared" ref="AA25" si="51">SUM(Y25:Z25)</f>
        <v>904.36</v>
      </c>
      <c r="AB25" s="278">
        <f t="shared" ref="AB25" si="52">M25+X25-AA25</f>
        <v>7182.64</v>
      </c>
      <c r="AC25" s="340"/>
      <c r="AD25" s="341"/>
    </row>
    <row r="26" spans="1:30" s="385" customFormat="1" ht="178.5" customHeight="1" x14ac:dyDescent="0.2">
      <c r="A26" s="380"/>
      <c r="B26" s="285" t="s">
        <v>375</v>
      </c>
      <c r="C26" s="285" t="s">
        <v>118</v>
      </c>
      <c r="D26" s="386" t="s">
        <v>540</v>
      </c>
      <c r="E26" s="368" t="s">
        <v>376</v>
      </c>
      <c r="F26" s="280" t="s">
        <v>377</v>
      </c>
      <c r="G26" s="331">
        <v>45367</v>
      </c>
      <c r="H26" s="273" t="s">
        <v>79</v>
      </c>
      <c r="I26" s="274">
        <v>15</v>
      </c>
      <c r="J26" s="274">
        <f t="shared" si="37"/>
        <v>539.13333333333333</v>
      </c>
      <c r="K26" s="276">
        <v>8087</v>
      </c>
      <c r="L26" s="277">
        <v>0</v>
      </c>
      <c r="M26" s="278">
        <f t="shared" ref="M26" si="53">SUM(K26:L26)</f>
        <v>8087</v>
      </c>
      <c r="N26" s="300">
        <f t="shared" si="39"/>
        <v>0</v>
      </c>
      <c r="O26" s="321">
        <f t="shared" si="40"/>
        <v>16389.653333333332</v>
      </c>
      <c r="P26" s="321">
        <f t="shared" si="41"/>
        <v>15487.72</v>
      </c>
      <c r="Q26" s="300">
        <f t="shared" si="42"/>
        <v>901.93333333333248</v>
      </c>
      <c r="R26" s="301">
        <f t="shared" si="43"/>
        <v>0.21360000000000001</v>
      </c>
      <c r="S26" s="300">
        <f t="shared" si="44"/>
        <v>192.65295999999984</v>
      </c>
      <c r="T26" s="302">
        <f t="shared" si="45"/>
        <v>1640.18</v>
      </c>
      <c r="U26" s="300">
        <f t="shared" si="46"/>
        <v>1832.83296</v>
      </c>
      <c r="V26" s="300">
        <f t="shared" si="47"/>
        <v>0</v>
      </c>
      <c r="W26" s="300">
        <f t="shared" si="48"/>
        <v>904.36</v>
      </c>
      <c r="X26" s="278">
        <f t="shared" ref="X26" si="54">-IF(W26&gt;0,0,0)</f>
        <v>0</v>
      </c>
      <c r="Y26" s="278">
        <f t="shared" ref="Y26" si="55">IF(K26/15&lt;=SMG,0,IF(W26&lt;0,0,W26))</f>
        <v>904.36</v>
      </c>
      <c r="Z26" s="279">
        <v>0</v>
      </c>
      <c r="AA26" s="278">
        <f t="shared" ref="AA26" si="56">SUM(Y26:Z26)</f>
        <v>904.36</v>
      </c>
      <c r="AB26" s="278">
        <f t="shared" ref="AB26" si="57">M26+X26-AA26</f>
        <v>7182.64</v>
      </c>
      <c r="AC26" s="340"/>
      <c r="AD26" s="341"/>
    </row>
    <row r="27" spans="1:30" s="385" customFormat="1" ht="178.5" customHeight="1" x14ac:dyDescent="0.2">
      <c r="A27" s="380"/>
      <c r="B27" s="285" t="s">
        <v>341</v>
      </c>
      <c r="C27" s="285" t="s">
        <v>118</v>
      </c>
      <c r="D27" s="386" t="s">
        <v>342</v>
      </c>
      <c r="E27" s="368" t="s">
        <v>350</v>
      </c>
      <c r="F27" s="280" t="s">
        <v>343</v>
      </c>
      <c r="G27" s="331">
        <v>45200</v>
      </c>
      <c r="H27" s="273" t="s">
        <v>79</v>
      </c>
      <c r="I27" s="274">
        <v>15</v>
      </c>
      <c r="J27" s="274">
        <f t="shared" si="37"/>
        <v>539.13333333333333</v>
      </c>
      <c r="K27" s="276">
        <v>8087</v>
      </c>
      <c r="L27" s="277">
        <v>0</v>
      </c>
      <c r="M27" s="278">
        <f t="shared" ref="M27:M49" si="58">SUM(K27:L27)</f>
        <v>8087</v>
      </c>
      <c r="N27" s="300">
        <f t="shared" si="39"/>
        <v>0</v>
      </c>
      <c r="O27" s="321">
        <f t="shared" si="40"/>
        <v>16389.653333333332</v>
      </c>
      <c r="P27" s="321">
        <f t="shared" si="41"/>
        <v>15487.72</v>
      </c>
      <c r="Q27" s="300">
        <f t="shared" si="42"/>
        <v>901.93333333333248</v>
      </c>
      <c r="R27" s="301">
        <f t="shared" si="43"/>
        <v>0.21360000000000001</v>
      </c>
      <c r="S27" s="300">
        <f t="shared" si="44"/>
        <v>192.65295999999984</v>
      </c>
      <c r="T27" s="302">
        <f t="shared" si="45"/>
        <v>1640.18</v>
      </c>
      <c r="U27" s="300">
        <f t="shared" si="46"/>
        <v>1832.83296</v>
      </c>
      <c r="V27" s="300">
        <f t="shared" si="47"/>
        <v>0</v>
      </c>
      <c r="W27" s="300">
        <f t="shared" si="48"/>
        <v>904.36</v>
      </c>
      <c r="X27" s="278">
        <f t="shared" ref="X27:X49" si="59">-IF(W27&gt;0,0,0)</f>
        <v>0</v>
      </c>
      <c r="Y27" s="278">
        <f t="shared" ref="Y27:Y49" si="60">IF(K27/15&lt;=SMG,0,IF(W27&lt;0,0,W27))</f>
        <v>904.36</v>
      </c>
      <c r="Z27" s="279">
        <v>0</v>
      </c>
      <c r="AA27" s="278">
        <f t="shared" ref="AA27:AA49" si="61">SUM(Y27:Z27)</f>
        <v>904.36</v>
      </c>
      <c r="AB27" s="278">
        <f t="shared" ref="AB27:AB49" si="62">M27+X27-AA27</f>
        <v>7182.64</v>
      </c>
      <c r="AC27" s="340"/>
      <c r="AD27" s="341"/>
    </row>
    <row r="28" spans="1:30" s="385" customFormat="1" ht="178.5" customHeight="1" x14ac:dyDescent="0.2">
      <c r="A28" s="380"/>
      <c r="B28" s="285" t="s">
        <v>355</v>
      </c>
      <c r="C28" s="285" t="s">
        <v>118</v>
      </c>
      <c r="D28" s="386" t="s">
        <v>358</v>
      </c>
      <c r="E28" s="368" t="s">
        <v>356</v>
      </c>
      <c r="F28" s="280" t="s">
        <v>357</v>
      </c>
      <c r="G28" s="331">
        <v>45292</v>
      </c>
      <c r="H28" s="273" t="s">
        <v>79</v>
      </c>
      <c r="I28" s="274">
        <v>15</v>
      </c>
      <c r="J28" s="274">
        <f t="shared" si="37"/>
        <v>539.13333333333333</v>
      </c>
      <c r="K28" s="276">
        <v>8087</v>
      </c>
      <c r="L28" s="277">
        <v>0</v>
      </c>
      <c r="M28" s="278">
        <f t="shared" si="58"/>
        <v>8087</v>
      </c>
      <c r="N28" s="300">
        <f t="shared" si="39"/>
        <v>0</v>
      </c>
      <c r="O28" s="321">
        <f t="shared" si="40"/>
        <v>16389.653333333332</v>
      </c>
      <c r="P28" s="321">
        <f t="shared" si="41"/>
        <v>15487.72</v>
      </c>
      <c r="Q28" s="300">
        <f t="shared" si="42"/>
        <v>901.93333333333248</v>
      </c>
      <c r="R28" s="301">
        <f t="shared" si="43"/>
        <v>0.21360000000000001</v>
      </c>
      <c r="S28" s="300">
        <f t="shared" si="44"/>
        <v>192.65295999999984</v>
      </c>
      <c r="T28" s="302">
        <f t="shared" si="45"/>
        <v>1640.18</v>
      </c>
      <c r="U28" s="300">
        <f t="shared" si="46"/>
        <v>1832.83296</v>
      </c>
      <c r="V28" s="300">
        <f t="shared" si="47"/>
        <v>0</v>
      </c>
      <c r="W28" s="300">
        <f t="shared" si="48"/>
        <v>904.36</v>
      </c>
      <c r="X28" s="278">
        <f t="shared" si="59"/>
        <v>0</v>
      </c>
      <c r="Y28" s="278">
        <f t="shared" si="60"/>
        <v>904.36</v>
      </c>
      <c r="Z28" s="279">
        <v>0</v>
      </c>
      <c r="AA28" s="278">
        <f t="shared" si="61"/>
        <v>904.36</v>
      </c>
      <c r="AB28" s="278">
        <f t="shared" si="62"/>
        <v>7182.64</v>
      </c>
      <c r="AC28" s="340"/>
      <c r="AD28" s="341"/>
    </row>
    <row r="29" spans="1:30" s="385" customFormat="1" ht="178.5" customHeight="1" x14ac:dyDescent="0.2">
      <c r="A29" s="380"/>
      <c r="B29" s="285" t="s">
        <v>384</v>
      </c>
      <c r="C29" s="285" t="s">
        <v>118</v>
      </c>
      <c r="D29" s="386" t="s">
        <v>385</v>
      </c>
      <c r="E29" s="368" t="s">
        <v>386</v>
      </c>
      <c r="F29" s="280" t="s">
        <v>387</v>
      </c>
      <c r="G29" s="331">
        <v>45398</v>
      </c>
      <c r="H29" s="273" t="s">
        <v>79</v>
      </c>
      <c r="I29" s="274">
        <v>15</v>
      </c>
      <c r="J29" s="274">
        <f t="shared" si="37"/>
        <v>539.13333333333333</v>
      </c>
      <c r="K29" s="276">
        <v>8087</v>
      </c>
      <c r="L29" s="277">
        <v>0</v>
      </c>
      <c r="M29" s="278">
        <f t="shared" si="58"/>
        <v>8087</v>
      </c>
      <c r="N29" s="300">
        <f t="shared" si="39"/>
        <v>0</v>
      </c>
      <c r="O29" s="321">
        <f t="shared" si="40"/>
        <v>16389.653333333332</v>
      </c>
      <c r="P29" s="321">
        <f t="shared" si="41"/>
        <v>15487.72</v>
      </c>
      <c r="Q29" s="300">
        <f t="shared" si="42"/>
        <v>901.93333333333248</v>
      </c>
      <c r="R29" s="301">
        <f t="shared" si="43"/>
        <v>0.21360000000000001</v>
      </c>
      <c r="S29" s="300">
        <f t="shared" si="44"/>
        <v>192.65295999999984</v>
      </c>
      <c r="T29" s="302">
        <f t="shared" si="45"/>
        <v>1640.18</v>
      </c>
      <c r="U29" s="300">
        <f t="shared" si="46"/>
        <v>1832.83296</v>
      </c>
      <c r="V29" s="300">
        <f t="shared" si="47"/>
        <v>0</v>
      </c>
      <c r="W29" s="300">
        <f t="shared" si="48"/>
        <v>904.36</v>
      </c>
      <c r="X29" s="278">
        <f t="shared" si="59"/>
        <v>0</v>
      </c>
      <c r="Y29" s="278">
        <f t="shared" si="60"/>
        <v>904.36</v>
      </c>
      <c r="Z29" s="279">
        <v>0</v>
      </c>
      <c r="AA29" s="278">
        <f t="shared" si="61"/>
        <v>904.36</v>
      </c>
      <c r="AB29" s="278">
        <f t="shared" si="62"/>
        <v>7182.64</v>
      </c>
      <c r="AC29" s="340"/>
      <c r="AD29" s="341"/>
    </row>
    <row r="30" spans="1:30" s="385" customFormat="1" ht="178.5" customHeight="1" x14ac:dyDescent="0.2">
      <c r="A30" s="380"/>
      <c r="B30" s="285" t="s">
        <v>389</v>
      </c>
      <c r="C30" s="285" t="s">
        <v>118</v>
      </c>
      <c r="D30" s="386" t="s">
        <v>390</v>
      </c>
      <c r="E30" s="368" t="s">
        <v>391</v>
      </c>
      <c r="F30" s="280" t="s">
        <v>392</v>
      </c>
      <c r="G30" s="331">
        <v>45413</v>
      </c>
      <c r="H30" s="273" t="s">
        <v>79</v>
      </c>
      <c r="I30" s="274">
        <v>15</v>
      </c>
      <c r="J30" s="274">
        <f t="shared" si="37"/>
        <v>539.13333333333333</v>
      </c>
      <c r="K30" s="276">
        <v>8087</v>
      </c>
      <c r="L30" s="277">
        <v>0</v>
      </c>
      <c r="M30" s="278">
        <f t="shared" si="58"/>
        <v>8087</v>
      </c>
      <c r="N30" s="300">
        <f t="shared" si="39"/>
        <v>0</v>
      </c>
      <c r="O30" s="321">
        <f t="shared" si="40"/>
        <v>16389.653333333332</v>
      </c>
      <c r="P30" s="321">
        <f t="shared" si="41"/>
        <v>15487.72</v>
      </c>
      <c r="Q30" s="300">
        <f t="shared" si="42"/>
        <v>901.93333333333248</v>
      </c>
      <c r="R30" s="301">
        <f t="shared" si="43"/>
        <v>0.21360000000000001</v>
      </c>
      <c r="S30" s="300">
        <f t="shared" si="44"/>
        <v>192.65295999999984</v>
      </c>
      <c r="T30" s="302">
        <f t="shared" si="45"/>
        <v>1640.18</v>
      </c>
      <c r="U30" s="300">
        <f t="shared" si="46"/>
        <v>1832.83296</v>
      </c>
      <c r="V30" s="300">
        <f t="shared" si="47"/>
        <v>0</v>
      </c>
      <c r="W30" s="300">
        <f t="shared" si="48"/>
        <v>904.36</v>
      </c>
      <c r="X30" s="278">
        <f t="shared" si="59"/>
        <v>0</v>
      </c>
      <c r="Y30" s="278">
        <f t="shared" si="60"/>
        <v>904.36</v>
      </c>
      <c r="Z30" s="279">
        <v>0</v>
      </c>
      <c r="AA30" s="278">
        <f t="shared" si="61"/>
        <v>904.36</v>
      </c>
      <c r="AB30" s="278">
        <f t="shared" si="62"/>
        <v>7182.64</v>
      </c>
      <c r="AC30" s="340"/>
      <c r="AD30" s="341"/>
    </row>
    <row r="31" spans="1:30" s="385" customFormat="1" ht="178.5" customHeight="1" x14ac:dyDescent="0.2">
      <c r="A31" s="380"/>
      <c r="B31" s="285" t="s">
        <v>395</v>
      </c>
      <c r="C31" s="285" t="s">
        <v>118</v>
      </c>
      <c r="D31" s="386" t="s">
        <v>396</v>
      </c>
      <c r="E31" s="368" t="s">
        <v>397</v>
      </c>
      <c r="F31" s="280" t="s">
        <v>398</v>
      </c>
      <c r="G31" s="331">
        <v>45428</v>
      </c>
      <c r="H31" s="273" t="s">
        <v>79</v>
      </c>
      <c r="I31" s="274">
        <v>15</v>
      </c>
      <c r="J31" s="274">
        <f t="shared" si="37"/>
        <v>539.13333333333333</v>
      </c>
      <c r="K31" s="276">
        <v>8087</v>
      </c>
      <c r="L31" s="277">
        <v>0</v>
      </c>
      <c r="M31" s="278">
        <f t="shared" si="58"/>
        <v>8087</v>
      </c>
      <c r="N31" s="300">
        <f t="shared" si="39"/>
        <v>0</v>
      </c>
      <c r="O31" s="321">
        <f t="shared" si="40"/>
        <v>16389.653333333332</v>
      </c>
      <c r="P31" s="321">
        <f t="shared" si="41"/>
        <v>15487.72</v>
      </c>
      <c r="Q31" s="300">
        <f t="shared" si="42"/>
        <v>901.93333333333248</v>
      </c>
      <c r="R31" s="301">
        <f t="shared" si="43"/>
        <v>0.21360000000000001</v>
      </c>
      <c r="S31" s="300">
        <f t="shared" si="44"/>
        <v>192.65295999999984</v>
      </c>
      <c r="T31" s="302">
        <f t="shared" si="45"/>
        <v>1640.18</v>
      </c>
      <c r="U31" s="300">
        <f t="shared" si="46"/>
        <v>1832.83296</v>
      </c>
      <c r="V31" s="300">
        <f t="shared" si="47"/>
        <v>0</v>
      </c>
      <c r="W31" s="300">
        <f t="shared" si="48"/>
        <v>904.36</v>
      </c>
      <c r="X31" s="278">
        <f t="shared" si="59"/>
        <v>0</v>
      </c>
      <c r="Y31" s="278">
        <f t="shared" si="60"/>
        <v>904.36</v>
      </c>
      <c r="Z31" s="279">
        <v>0</v>
      </c>
      <c r="AA31" s="278">
        <f t="shared" si="61"/>
        <v>904.36</v>
      </c>
      <c r="AB31" s="278">
        <f t="shared" si="62"/>
        <v>7182.64</v>
      </c>
      <c r="AC31" s="340"/>
      <c r="AD31" s="341"/>
    </row>
    <row r="32" spans="1:30" s="385" customFormat="1" ht="178.5" customHeight="1" x14ac:dyDescent="0.2">
      <c r="A32" s="380"/>
      <c r="B32" s="285" t="s">
        <v>399</v>
      </c>
      <c r="C32" s="285" t="s">
        <v>118</v>
      </c>
      <c r="D32" s="386" t="s">
        <v>400</v>
      </c>
      <c r="E32" s="368" t="s">
        <v>406</v>
      </c>
      <c r="F32" s="280" t="s">
        <v>401</v>
      </c>
      <c r="G32" s="331">
        <v>45444</v>
      </c>
      <c r="H32" s="273" t="s">
        <v>79</v>
      </c>
      <c r="I32" s="274">
        <v>15</v>
      </c>
      <c r="J32" s="274">
        <f t="shared" si="37"/>
        <v>539.13333333333333</v>
      </c>
      <c r="K32" s="276">
        <v>8087</v>
      </c>
      <c r="L32" s="277">
        <v>0</v>
      </c>
      <c r="M32" s="278">
        <f t="shared" si="58"/>
        <v>8087</v>
      </c>
      <c r="N32" s="300">
        <f t="shared" si="39"/>
        <v>0</v>
      </c>
      <c r="O32" s="321">
        <f t="shared" si="40"/>
        <v>16389.653333333332</v>
      </c>
      <c r="P32" s="321">
        <f t="shared" si="41"/>
        <v>15487.72</v>
      </c>
      <c r="Q32" s="300">
        <f t="shared" si="42"/>
        <v>901.93333333333248</v>
      </c>
      <c r="R32" s="301">
        <f t="shared" si="43"/>
        <v>0.21360000000000001</v>
      </c>
      <c r="S32" s="300">
        <f t="shared" si="44"/>
        <v>192.65295999999984</v>
      </c>
      <c r="T32" s="302">
        <f t="shared" si="45"/>
        <v>1640.18</v>
      </c>
      <c r="U32" s="300">
        <f t="shared" si="46"/>
        <v>1832.83296</v>
      </c>
      <c r="V32" s="300">
        <f t="shared" si="47"/>
        <v>0</v>
      </c>
      <c r="W32" s="300">
        <f t="shared" si="48"/>
        <v>904.36</v>
      </c>
      <c r="X32" s="278">
        <f t="shared" si="59"/>
        <v>0</v>
      </c>
      <c r="Y32" s="278">
        <f t="shared" si="60"/>
        <v>904.36</v>
      </c>
      <c r="Z32" s="279">
        <v>0</v>
      </c>
      <c r="AA32" s="278">
        <f t="shared" si="61"/>
        <v>904.36</v>
      </c>
      <c r="AB32" s="278">
        <f t="shared" si="62"/>
        <v>7182.64</v>
      </c>
      <c r="AC32" s="340"/>
      <c r="AD32" s="341"/>
    </row>
    <row r="33" spans="1:30" s="385" customFormat="1" ht="178.5" customHeight="1" x14ac:dyDescent="0.2">
      <c r="A33" s="380"/>
      <c r="B33" s="285" t="s">
        <v>416</v>
      </c>
      <c r="C33" s="285" t="s">
        <v>118</v>
      </c>
      <c r="D33" s="386" t="s">
        <v>418</v>
      </c>
      <c r="E33" s="368" t="s">
        <v>419</v>
      </c>
      <c r="F33" s="280" t="s">
        <v>420</v>
      </c>
      <c r="G33" s="331">
        <v>45459</v>
      </c>
      <c r="H33" s="273" t="s">
        <v>79</v>
      </c>
      <c r="I33" s="274">
        <v>15</v>
      </c>
      <c r="J33" s="274">
        <f t="shared" si="37"/>
        <v>539.13333333333333</v>
      </c>
      <c r="K33" s="276">
        <v>8087</v>
      </c>
      <c r="L33" s="277">
        <v>0</v>
      </c>
      <c r="M33" s="278">
        <f t="shared" si="58"/>
        <v>8087</v>
      </c>
      <c r="N33" s="300">
        <f t="shared" si="39"/>
        <v>0</v>
      </c>
      <c r="O33" s="321">
        <f t="shared" si="40"/>
        <v>16389.653333333332</v>
      </c>
      <c r="P33" s="321">
        <f t="shared" si="41"/>
        <v>15487.72</v>
      </c>
      <c r="Q33" s="300">
        <f t="shared" si="42"/>
        <v>901.93333333333248</v>
      </c>
      <c r="R33" s="301">
        <f t="shared" si="43"/>
        <v>0.21360000000000001</v>
      </c>
      <c r="S33" s="300">
        <f t="shared" si="44"/>
        <v>192.65295999999984</v>
      </c>
      <c r="T33" s="302">
        <f t="shared" si="45"/>
        <v>1640.18</v>
      </c>
      <c r="U33" s="300">
        <f t="shared" si="46"/>
        <v>1832.83296</v>
      </c>
      <c r="V33" s="300">
        <f t="shared" si="47"/>
        <v>0</v>
      </c>
      <c r="W33" s="300">
        <f t="shared" si="48"/>
        <v>904.36</v>
      </c>
      <c r="X33" s="278">
        <f t="shared" si="59"/>
        <v>0</v>
      </c>
      <c r="Y33" s="278">
        <f t="shared" si="60"/>
        <v>904.36</v>
      </c>
      <c r="Z33" s="279">
        <v>0</v>
      </c>
      <c r="AA33" s="278">
        <f t="shared" si="61"/>
        <v>904.36</v>
      </c>
      <c r="AB33" s="278">
        <f t="shared" si="62"/>
        <v>7182.64</v>
      </c>
      <c r="AC33" s="340"/>
      <c r="AD33" s="341"/>
    </row>
    <row r="34" spans="1:30" ht="15.75" customHeight="1" x14ac:dyDescent="0.3">
      <c r="A34" s="146"/>
      <c r="B34" s="216"/>
      <c r="C34" s="216"/>
      <c r="D34" s="199"/>
      <c r="E34" s="200"/>
      <c r="F34" s="108"/>
      <c r="G34" s="212"/>
      <c r="H34" s="207"/>
      <c r="I34" s="220"/>
      <c r="J34" s="220"/>
      <c r="K34" s="222"/>
      <c r="L34" s="223"/>
      <c r="M34" s="224"/>
      <c r="N34" s="225"/>
      <c r="O34" s="225"/>
      <c r="P34" s="225"/>
      <c r="Q34" s="225"/>
      <c r="R34" s="226"/>
      <c r="S34" s="225"/>
      <c r="T34" s="227"/>
      <c r="U34" s="225"/>
      <c r="V34" s="225"/>
      <c r="W34" s="225"/>
      <c r="X34" s="224"/>
      <c r="Y34" s="224"/>
      <c r="Z34" s="228"/>
      <c r="AA34" s="224"/>
      <c r="AB34" s="224"/>
      <c r="AC34" s="4"/>
      <c r="AD34" s="4"/>
    </row>
    <row r="35" spans="1:30" ht="15.75" customHeight="1" x14ac:dyDescent="0.3">
      <c r="A35" s="146"/>
      <c r="B35" s="216"/>
      <c r="C35" s="216"/>
      <c r="D35" s="199"/>
      <c r="E35" s="200"/>
      <c r="F35" s="108"/>
      <c r="G35" s="212"/>
      <c r="H35" s="207"/>
      <c r="I35" s="220"/>
      <c r="J35" s="220"/>
      <c r="K35" s="222"/>
      <c r="L35" s="223"/>
      <c r="M35" s="224"/>
      <c r="N35" s="225"/>
      <c r="O35" s="225"/>
      <c r="P35" s="225"/>
      <c r="Q35" s="225"/>
      <c r="R35" s="226"/>
      <c r="S35" s="225"/>
      <c r="T35" s="227"/>
      <c r="U35" s="225"/>
      <c r="V35" s="225"/>
      <c r="W35" s="225"/>
      <c r="X35" s="224"/>
      <c r="Y35" s="224"/>
      <c r="Z35" s="228"/>
      <c r="AA35" s="224"/>
      <c r="AB35" s="224"/>
      <c r="AC35" s="4"/>
      <c r="AD35" s="4"/>
    </row>
    <row r="36" spans="1:30" ht="15.75" customHeight="1" x14ac:dyDescent="0.3">
      <c r="A36" s="146"/>
      <c r="B36" s="216"/>
      <c r="C36" s="216"/>
      <c r="D36" s="199"/>
      <c r="E36" s="200"/>
      <c r="F36" s="108"/>
      <c r="G36" s="212"/>
      <c r="H36" s="207"/>
      <c r="I36" s="220"/>
      <c r="J36" s="220"/>
      <c r="K36" s="222"/>
      <c r="L36" s="223"/>
      <c r="M36" s="224"/>
      <c r="N36" s="225"/>
      <c r="O36" s="225"/>
      <c r="P36" s="225"/>
      <c r="Q36" s="225"/>
      <c r="R36" s="226"/>
      <c r="S36" s="225"/>
      <c r="T36" s="227"/>
      <c r="U36" s="225"/>
      <c r="V36" s="225"/>
      <c r="W36" s="225"/>
      <c r="X36" s="224"/>
      <c r="Y36" s="224"/>
      <c r="Z36" s="228"/>
      <c r="AA36" s="224"/>
      <c r="AB36" s="224"/>
      <c r="AC36" s="4"/>
      <c r="AD36" s="4"/>
    </row>
    <row r="37" spans="1:30" ht="15.75" customHeight="1" x14ac:dyDescent="0.3">
      <c r="A37" s="146"/>
      <c r="B37" s="216"/>
      <c r="C37" s="216"/>
      <c r="D37" s="199"/>
      <c r="E37" s="200"/>
      <c r="F37" s="108"/>
      <c r="G37" s="212"/>
      <c r="H37" s="207"/>
      <c r="I37" s="220"/>
      <c r="J37" s="220"/>
      <c r="K37" s="222"/>
      <c r="L37" s="223"/>
      <c r="M37" s="224"/>
      <c r="N37" s="225"/>
      <c r="O37" s="225"/>
      <c r="P37" s="225"/>
      <c r="Q37" s="225"/>
      <c r="R37" s="226"/>
      <c r="S37" s="225"/>
      <c r="T37" s="227"/>
      <c r="U37" s="225"/>
      <c r="V37" s="225"/>
      <c r="W37" s="225"/>
      <c r="X37" s="224"/>
      <c r="Y37" s="224"/>
      <c r="Z37" s="228"/>
      <c r="AA37" s="224"/>
      <c r="AB37" s="224"/>
      <c r="AC37" s="4"/>
      <c r="AD37" s="4"/>
    </row>
    <row r="38" spans="1:30" ht="32.25" customHeight="1" x14ac:dyDescent="0.25">
      <c r="A38" s="146"/>
      <c r="B38" s="506" t="s">
        <v>393</v>
      </c>
      <c r="C38" s="507"/>
      <c r="D38" s="507"/>
      <c r="E38" s="507"/>
      <c r="F38" s="507"/>
      <c r="G38" s="507"/>
      <c r="H38" s="507"/>
      <c r="I38" s="507"/>
      <c r="J38" s="507"/>
      <c r="K38" s="507"/>
      <c r="L38" s="507"/>
      <c r="M38" s="507"/>
      <c r="N38" s="507"/>
      <c r="O38" s="507"/>
      <c r="P38" s="507"/>
      <c r="Q38" s="507"/>
      <c r="R38" s="507"/>
      <c r="S38" s="507"/>
      <c r="T38" s="507"/>
      <c r="U38" s="507"/>
      <c r="V38" s="507"/>
      <c r="W38" s="507"/>
      <c r="X38" s="507"/>
      <c r="Y38" s="507"/>
      <c r="Z38" s="507"/>
      <c r="AA38" s="507"/>
      <c r="AB38" s="507"/>
      <c r="AC38" s="507"/>
      <c r="AD38" s="4"/>
    </row>
    <row r="39" spans="1:30" ht="18.75" customHeight="1" x14ac:dyDescent="0.25">
      <c r="A39" s="146"/>
      <c r="B39" s="506" t="s">
        <v>394</v>
      </c>
      <c r="C39" s="507"/>
      <c r="D39" s="507"/>
      <c r="E39" s="507"/>
      <c r="F39" s="507"/>
      <c r="G39" s="507"/>
      <c r="H39" s="507"/>
      <c r="I39" s="507"/>
      <c r="J39" s="507"/>
      <c r="K39" s="507"/>
      <c r="L39" s="507"/>
      <c r="M39" s="507"/>
      <c r="N39" s="507"/>
      <c r="O39" s="507"/>
      <c r="P39" s="507"/>
      <c r="Q39" s="507"/>
      <c r="R39" s="507"/>
      <c r="S39" s="507"/>
      <c r="T39" s="507"/>
      <c r="U39" s="507"/>
      <c r="V39" s="507"/>
      <c r="W39" s="507"/>
      <c r="X39" s="507"/>
      <c r="Y39" s="507"/>
      <c r="Z39" s="507"/>
      <c r="AA39" s="507"/>
      <c r="AB39" s="507"/>
      <c r="AC39" s="507"/>
      <c r="AD39" s="4"/>
    </row>
    <row r="40" spans="1:30" ht="32.25" customHeight="1" x14ac:dyDescent="0.3">
      <c r="A40" s="146"/>
      <c r="B40" s="490" t="str">
        <f>PRESIDENCIA!A3</f>
        <v>SUELDO  DEL 16 AL 30 DE ABRIL DE 2025</v>
      </c>
      <c r="C40" s="490"/>
      <c r="D40" s="490"/>
      <c r="E40" s="490"/>
      <c r="F40" s="490"/>
      <c r="G40" s="490"/>
      <c r="H40" s="490"/>
      <c r="I40" s="490"/>
      <c r="J40" s="490"/>
      <c r="K40" s="490"/>
      <c r="L40" s="490"/>
      <c r="M40" s="490"/>
      <c r="N40" s="490"/>
      <c r="O40" s="490"/>
      <c r="P40" s="490"/>
      <c r="Q40" s="490"/>
      <c r="R40" s="490"/>
      <c r="S40" s="490"/>
      <c r="T40" s="490"/>
      <c r="U40" s="490"/>
      <c r="V40" s="490"/>
      <c r="W40" s="490"/>
      <c r="X40" s="490"/>
      <c r="Y40" s="490"/>
      <c r="Z40" s="490"/>
      <c r="AA40" s="490"/>
      <c r="AB40" s="490"/>
      <c r="AC40" s="490"/>
      <c r="AD40" s="4"/>
    </row>
    <row r="41" spans="1:30" ht="22.5" customHeight="1" x14ac:dyDescent="0.3">
      <c r="A41" s="146"/>
      <c r="B41" s="216"/>
      <c r="C41" s="216"/>
      <c r="D41" s="199"/>
      <c r="E41" s="200"/>
      <c r="F41" s="108"/>
      <c r="G41" s="212"/>
      <c r="H41" s="207"/>
      <c r="I41" s="220"/>
      <c r="J41" s="220"/>
      <c r="K41" s="222"/>
      <c r="L41" s="223"/>
      <c r="M41" s="224"/>
      <c r="N41" s="225"/>
      <c r="O41" s="225"/>
      <c r="P41" s="225"/>
      <c r="Q41" s="225"/>
      <c r="R41" s="226"/>
      <c r="S41" s="225"/>
      <c r="T41" s="227"/>
      <c r="U41" s="225"/>
      <c r="V41" s="225"/>
      <c r="W41" s="225"/>
      <c r="X41" s="224"/>
      <c r="Y41" s="224"/>
      <c r="Z41" s="228"/>
      <c r="AA41" s="224"/>
      <c r="AB41" s="224"/>
      <c r="AC41" s="4"/>
      <c r="AD41" s="4"/>
    </row>
    <row r="42" spans="1:30" s="385" customFormat="1" ht="171" customHeight="1" x14ac:dyDescent="0.2">
      <c r="A42" s="380"/>
      <c r="B42" s="343" t="s">
        <v>417</v>
      </c>
      <c r="C42" s="343" t="s">
        <v>118</v>
      </c>
      <c r="D42" s="388" t="s">
        <v>421</v>
      </c>
      <c r="E42" s="389" t="s">
        <v>422</v>
      </c>
      <c r="F42" s="390" t="s">
        <v>423</v>
      </c>
      <c r="G42" s="391">
        <v>45459</v>
      </c>
      <c r="H42" s="347" t="s">
        <v>79</v>
      </c>
      <c r="I42" s="274">
        <v>15</v>
      </c>
      <c r="J42" s="274">
        <f t="shared" ref="J42:J49" si="63">K42/I42</f>
        <v>539.13333333333333</v>
      </c>
      <c r="K42" s="276">
        <v>8087</v>
      </c>
      <c r="L42" s="349">
        <v>0</v>
      </c>
      <c r="M42" s="350">
        <f t="shared" ref="M42" si="64">SUM(K42:L42)</f>
        <v>8087</v>
      </c>
      <c r="N42" s="300">
        <f t="shared" ref="N42:N49" si="65">IF(K42/15&lt;=SMG,0,L42/2)</f>
        <v>0</v>
      </c>
      <c r="O42" s="321">
        <f t="shared" ref="O42:O49" si="66">(K42+N42)/I42*30.4</f>
        <v>16389.653333333332</v>
      </c>
      <c r="P42" s="321">
        <f t="shared" ref="P42:P49" si="67">VLOOKUP(O42,Tarifa,1)</f>
        <v>15487.72</v>
      </c>
      <c r="Q42" s="300">
        <f t="shared" ref="Q42:Q49" si="68">O42-P42</f>
        <v>901.93333333333248</v>
      </c>
      <c r="R42" s="301">
        <f t="shared" ref="R42:R49" si="69">VLOOKUP(O42,Tarifa,3)</f>
        <v>0.21360000000000001</v>
      </c>
      <c r="S42" s="300">
        <f t="shared" ref="S42:S49" si="70">Q42*R42</f>
        <v>192.65295999999984</v>
      </c>
      <c r="T42" s="302">
        <f t="shared" ref="T42:T49" si="71">VLOOKUP(O42,Tarifa,2)</f>
        <v>1640.18</v>
      </c>
      <c r="U42" s="300">
        <f t="shared" ref="U42:U49" si="72">S42+T42</f>
        <v>1832.83296</v>
      </c>
      <c r="V42" s="300">
        <f t="shared" ref="V42:V49" si="73">VLOOKUP(O42,Credito,2)</f>
        <v>0</v>
      </c>
      <c r="W42" s="300">
        <f t="shared" ref="W42:W49" si="74">ROUND((U42-V42)/30.4*I42,2)</f>
        <v>904.36</v>
      </c>
      <c r="X42" s="350">
        <f t="shared" ref="X42" si="75">-IF(W42&gt;0,0,0)</f>
        <v>0</v>
      </c>
      <c r="Y42" s="350">
        <f t="shared" ref="Y42" si="76">IF(K42/15&lt;=SMG,0,IF(W42&lt;0,0,W42))</f>
        <v>904.36</v>
      </c>
      <c r="Z42" s="351">
        <v>0</v>
      </c>
      <c r="AA42" s="350">
        <f t="shared" ref="AA42" si="77">SUM(Y42:Z42)</f>
        <v>904.36</v>
      </c>
      <c r="AB42" s="350">
        <f t="shared" ref="AB42" si="78">M42+X42-AA42</f>
        <v>7182.64</v>
      </c>
      <c r="AC42" s="352"/>
      <c r="AD42" s="341"/>
    </row>
    <row r="43" spans="1:30" s="385" customFormat="1" ht="171" customHeight="1" x14ac:dyDescent="0.2">
      <c r="A43" s="380"/>
      <c r="B43" s="285" t="s">
        <v>432</v>
      </c>
      <c r="C43" s="285" t="s">
        <v>118</v>
      </c>
      <c r="D43" s="386" t="s">
        <v>433</v>
      </c>
      <c r="E43" s="368" t="s">
        <v>434</v>
      </c>
      <c r="F43" s="280" t="s">
        <v>435</v>
      </c>
      <c r="G43" s="331">
        <v>45520</v>
      </c>
      <c r="H43" s="273" t="s">
        <v>79</v>
      </c>
      <c r="I43" s="274">
        <v>15</v>
      </c>
      <c r="J43" s="274">
        <f t="shared" si="63"/>
        <v>539.13333333333333</v>
      </c>
      <c r="K43" s="276">
        <v>8087</v>
      </c>
      <c r="L43" s="277">
        <v>0</v>
      </c>
      <c r="M43" s="278">
        <f t="shared" ref="M43" si="79">SUM(K43:L43)</f>
        <v>8087</v>
      </c>
      <c r="N43" s="300">
        <f t="shared" si="65"/>
        <v>0</v>
      </c>
      <c r="O43" s="321">
        <f t="shared" si="66"/>
        <v>16389.653333333332</v>
      </c>
      <c r="P43" s="321">
        <f t="shared" si="67"/>
        <v>15487.72</v>
      </c>
      <c r="Q43" s="300">
        <f t="shared" si="68"/>
        <v>901.93333333333248</v>
      </c>
      <c r="R43" s="301">
        <f t="shared" si="69"/>
        <v>0.21360000000000001</v>
      </c>
      <c r="S43" s="300">
        <f t="shared" si="70"/>
        <v>192.65295999999984</v>
      </c>
      <c r="T43" s="302">
        <f t="shared" si="71"/>
        <v>1640.18</v>
      </c>
      <c r="U43" s="300">
        <f t="shared" si="72"/>
        <v>1832.83296</v>
      </c>
      <c r="V43" s="300">
        <f t="shared" si="73"/>
        <v>0</v>
      </c>
      <c r="W43" s="300">
        <f t="shared" si="74"/>
        <v>904.36</v>
      </c>
      <c r="X43" s="278">
        <f t="shared" ref="X43" si="80">-IF(W43&gt;0,0,0)</f>
        <v>0</v>
      </c>
      <c r="Y43" s="278">
        <f t="shared" ref="Y43" si="81">IF(K43/15&lt;=SMG,0,IF(W43&lt;0,0,W43))</f>
        <v>904.36</v>
      </c>
      <c r="Z43" s="279">
        <v>0</v>
      </c>
      <c r="AA43" s="278">
        <f t="shared" ref="AA43" si="82">SUM(Y43:Z43)</f>
        <v>904.36</v>
      </c>
      <c r="AB43" s="278">
        <f t="shared" ref="AB43" si="83">M43+X43-AA43</f>
        <v>7182.64</v>
      </c>
      <c r="AC43" s="340"/>
      <c r="AD43" s="341"/>
    </row>
    <row r="44" spans="1:30" s="385" customFormat="1" ht="171" customHeight="1" x14ac:dyDescent="0.2">
      <c r="A44" s="380"/>
      <c r="B44" s="285" t="s">
        <v>555</v>
      </c>
      <c r="C44" s="285" t="s">
        <v>118</v>
      </c>
      <c r="D44" s="386" t="s">
        <v>557</v>
      </c>
      <c r="E44" s="368" t="s">
        <v>559</v>
      </c>
      <c r="F44" s="280" t="s">
        <v>560</v>
      </c>
      <c r="G44" s="331">
        <v>45597</v>
      </c>
      <c r="H44" s="273" t="s">
        <v>79</v>
      </c>
      <c r="I44" s="274">
        <v>15</v>
      </c>
      <c r="J44" s="274">
        <f t="shared" si="63"/>
        <v>539.13333333333333</v>
      </c>
      <c r="K44" s="276">
        <v>8087</v>
      </c>
      <c r="L44" s="277">
        <v>0</v>
      </c>
      <c r="M44" s="278">
        <f t="shared" ref="M44:M45" si="84">SUM(K44:L44)</f>
        <v>8087</v>
      </c>
      <c r="N44" s="300">
        <f t="shared" si="65"/>
        <v>0</v>
      </c>
      <c r="O44" s="321">
        <f t="shared" si="66"/>
        <v>16389.653333333332</v>
      </c>
      <c r="P44" s="321">
        <f t="shared" si="67"/>
        <v>15487.72</v>
      </c>
      <c r="Q44" s="300">
        <f t="shared" si="68"/>
        <v>901.93333333333248</v>
      </c>
      <c r="R44" s="301">
        <f t="shared" si="69"/>
        <v>0.21360000000000001</v>
      </c>
      <c r="S44" s="300">
        <f t="shared" si="70"/>
        <v>192.65295999999984</v>
      </c>
      <c r="T44" s="302">
        <f t="shared" si="71"/>
        <v>1640.18</v>
      </c>
      <c r="U44" s="300">
        <f t="shared" si="72"/>
        <v>1832.83296</v>
      </c>
      <c r="V44" s="300">
        <f t="shared" si="73"/>
        <v>0</v>
      </c>
      <c r="W44" s="300">
        <f t="shared" si="74"/>
        <v>904.36</v>
      </c>
      <c r="X44" s="278">
        <f t="shared" ref="X44:X45" si="85">-IF(W44&gt;0,0,0)</f>
        <v>0</v>
      </c>
      <c r="Y44" s="278">
        <f t="shared" ref="Y44:Y45" si="86">IF(K44/15&lt;=SMG,0,IF(W44&lt;0,0,W44))</f>
        <v>904.36</v>
      </c>
      <c r="Z44" s="279">
        <v>0</v>
      </c>
      <c r="AA44" s="278">
        <f t="shared" ref="AA44:AA45" si="87">SUM(Y44:Z44)</f>
        <v>904.36</v>
      </c>
      <c r="AB44" s="278">
        <f t="shared" ref="AB44:AB45" si="88">M44+X44-AA44</f>
        <v>7182.64</v>
      </c>
      <c r="AC44" s="340"/>
      <c r="AD44" s="341"/>
    </row>
    <row r="45" spans="1:30" s="385" customFormat="1" ht="171" customHeight="1" x14ac:dyDescent="0.2">
      <c r="A45" s="380"/>
      <c r="B45" s="285" t="s">
        <v>556</v>
      </c>
      <c r="C45" s="285" t="s">
        <v>118</v>
      </c>
      <c r="D45" s="386" t="s">
        <v>558</v>
      </c>
      <c r="E45" s="368" t="s">
        <v>561</v>
      </c>
      <c r="F45" s="280" t="s">
        <v>562</v>
      </c>
      <c r="G45" s="331">
        <v>45597</v>
      </c>
      <c r="H45" s="273" t="s">
        <v>79</v>
      </c>
      <c r="I45" s="274">
        <v>15</v>
      </c>
      <c r="J45" s="274">
        <f t="shared" si="63"/>
        <v>539.13333333333333</v>
      </c>
      <c r="K45" s="276">
        <v>8087</v>
      </c>
      <c r="L45" s="277">
        <v>0</v>
      </c>
      <c r="M45" s="278">
        <f t="shared" si="84"/>
        <v>8087</v>
      </c>
      <c r="N45" s="300">
        <f t="shared" si="65"/>
        <v>0</v>
      </c>
      <c r="O45" s="321">
        <f t="shared" si="66"/>
        <v>16389.653333333332</v>
      </c>
      <c r="P45" s="321">
        <f t="shared" si="67"/>
        <v>15487.72</v>
      </c>
      <c r="Q45" s="300">
        <f t="shared" si="68"/>
        <v>901.93333333333248</v>
      </c>
      <c r="R45" s="301">
        <f t="shared" si="69"/>
        <v>0.21360000000000001</v>
      </c>
      <c r="S45" s="300">
        <f t="shared" si="70"/>
        <v>192.65295999999984</v>
      </c>
      <c r="T45" s="302">
        <f t="shared" si="71"/>
        <v>1640.18</v>
      </c>
      <c r="U45" s="300">
        <f t="shared" si="72"/>
        <v>1832.83296</v>
      </c>
      <c r="V45" s="300">
        <f t="shared" si="73"/>
        <v>0</v>
      </c>
      <c r="W45" s="300">
        <f t="shared" si="74"/>
        <v>904.36</v>
      </c>
      <c r="X45" s="278">
        <f t="shared" si="85"/>
        <v>0</v>
      </c>
      <c r="Y45" s="278">
        <f t="shared" si="86"/>
        <v>904.36</v>
      </c>
      <c r="Z45" s="279">
        <v>0</v>
      </c>
      <c r="AA45" s="278">
        <f t="shared" si="87"/>
        <v>904.36</v>
      </c>
      <c r="AB45" s="278">
        <f t="shared" si="88"/>
        <v>7182.64</v>
      </c>
      <c r="AC45" s="340"/>
      <c r="AD45" s="341"/>
    </row>
    <row r="46" spans="1:30" s="385" customFormat="1" ht="171" customHeight="1" x14ac:dyDescent="0.25">
      <c r="A46" s="380"/>
      <c r="B46" s="285" t="s">
        <v>618</v>
      </c>
      <c r="C46" s="285" t="s">
        <v>118</v>
      </c>
      <c r="D46" s="386" t="s">
        <v>608</v>
      </c>
      <c r="E46" s="368" t="s">
        <v>630</v>
      </c>
      <c r="F46" s="280" t="s">
        <v>609</v>
      </c>
      <c r="G46" s="331">
        <v>45704</v>
      </c>
      <c r="H46" s="273" t="s">
        <v>79</v>
      </c>
      <c r="I46" s="274">
        <v>15</v>
      </c>
      <c r="J46" s="274">
        <f t="shared" si="63"/>
        <v>539.13333333333333</v>
      </c>
      <c r="K46" s="276">
        <v>8087</v>
      </c>
      <c r="L46" s="277">
        <v>0</v>
      </c>
      <c r="M46" s="278">
        <f t="shared" ref="M46:M48" si="89">SUM(K46:L46)</f>
        <v>8087</v>
      </c>
      <c r="N46" s="300">
        <f t="shared" si="65"/>
        <v>0</v>
      </c>
      <c r="O46" s="321">
        <f t="shared" si="66"/>
        <v>16389.653333333332</v>
      </c>
      <c r="P46" s="321">
        <f t="shared" si="67"/>
        <v>15487.72</v>
      </c>
      <c r="Q46" s="300">
        <f t="shared" si="68"/>
        <v>901.93333333333248</v>
      </c>
      <c r="R46" s="301">
        <f t="shared" si="69"/>
        <v>0.21360000000000001</v>
      </c>
      <c r="S46" s="300">
        <f t="shared" si="70"/>
        <v>192.65295999999984</v>
      </c>
      <c r="T46" s="302">
        <f t="shared" si="71"/>
        <v>1640.18</v>
      </c>
      <c r="U46" s="300">
        <f t="shared" si="72"/>
        <v>1832.83296</v>
      </c>
      <c r="V46" s="300">
        <f t="shared" si="73"/>
        <v>0</v>
      </c>
      <c r="W46" s="300">
        <f t="shared" si="74"/>
        <v>904.36</v>
      </c>
      <c r="X46" s="278">
        <f t="shared" ref="X46:X48" si="90">-IF(W46&gt;0,0,0)</f>
        <v>0</v>
      </c>
      <c r="Y46" s="278">
        <f t="shared" ref="Y46:Y48" si="91">IF(K46/15&lt;=SMG,0,IF(W46&lt;0,0,W46))</f>
        <v>904.36</v>
      </c>
      <c r="Z46" s="279">
        <v>0</v>
      </c>
      <c r="AA46" s="278">
        <f t="shared" ref="AA46:AA48" si="92">SUM(Y46:Z46)</f>
        <v>904.36</v>
      </c>
      <c r="AB46" s="278">
        <f t="shared" ref="AB46:AB48" si="93">M46+X46-AA46</f>
        <v>7182.64</v>
      </c>
      <c r="AC46" s="436"/>
      <c r="AD46" s="341"/>
    </row>
    <row r="47" spans="1:30" s="385" customFormat="1" ht="171" customHeight="1" x14ac:dyDescent="0.2">
      <c r="A47" s="380"/>
      <c r="B47" s="285" t="s">
        <v>619</v>
      </c>
      <c r="C47" s="285" t="s">
        <v>118</v>
      </c>
      <c r="D47" s="386" t="s">
        <v>610</v>
      </c>
      <c r="E47" s="368" t="s">
        <v>611</v>
      </c>
      <c r="F47" s="280" t="s">
        <v>612</v>
      </c>
      <c r="G47" s="331">
        <v>45704</v>
      </c>
      <c r="H47" s="273" t="s">
        <v>79</v>
      </c>
      <c r="I47" s="274">
        <v>15</v>
      </c>
      <c r="J47" s="274">
        <f t="shared" si="63"/>
        <v>539.13333333333333</v>
      </c>
      <c r="K47" s="276">
        <v>8087</v>
      </c>
      <c r="L47" s="277">
        <v>0</v>
      </c>
      <c r="M47" s="278">
        <f t="shared" si="89"/>
        <v>8087</v>
      </c>
      <c r="N47" s="300">
        <f t="shared" si="65"/>
        <v>0</v>
      </c>
      <c r="O47" s="321">
        <f t="shared" si="66"/>
        <v>16389.653333333332</v>
      </c>
      <c r="P47" s="321">
        <f t="shared" si="67"/>
        <v>15487.72</v>
      </c>
      <c r="Q47" s="300">
        <f t="shared" si="68"/>
        <v>901.93333333333248</v>
      </c>
      <c r="R47" s="301">
        <f t="shared" si="69"/>
        <v>0.21360000000000001</v>
      </c>
      <c r="S47" s="300">
        <f t="shared" si="70"/>
        <v>192.65295999999984</v>
      </c>
      <c r="T47" s="302">
        <f t="shared" si="71"/>
        <v>1640.18</v>
      </c>
      <c r="U47" s="300">
        <f t="shared" si="72"/>
        <v>1832.83296</v>
      </c>
      <c r="V47" s="300">
        <f t="shared" si="73"/>
        <v>0</v>
      </c>
      <c r="W47" s="300">
        <f t="shared" si="74"/>
        <v>904.36</v>
      </c>
      <c r="X47" s="278">
        <f t="shared" si="90"/>
        <v>0</v>
      </c>
      <c r="Y47" s="278">
        <f t="shared" si="91"/>
        <v>904.36</v>
      </c>
      <c r="Z47" s="279">
        <v>0</v>
      </c>
      <c r="AA47" s="278">
        <f t="shared" si="92"/>
        <v>904.36</v>
      </c>
      <c r="AB47" s="278">
        <f t="shared" si="93"/>
        <v>7182.64</v>
      </c>
      <c r="AC47" s="340"/>
      <c r="AD47" s="341"/>
    </row>
    <row r="48" spans="1:30" s="385" customFormat="1" ht="171" customHeight="1" x14ac:dyDescent="0.2">
      <c r="A48" s="380"/>
      <c r="B48" s="285" t="s">
        <v>620</v>
      </c>
      <c r="C48" s="285" t="s">
        <v>118</v>
      </c>
      <c r="D48" s="386" t="s">
        <v>613</v>
      </c>
      <c r="E48" s="368" t="s">
        <v>614</v>
      </c>
      <c r="F48" s="280" t="s">
        <v>615</v>
      </c>
      <c r="G48" s="331">
        <v>45704</v>
      </c>
      <c r="H48" s="273" t="s">
        <v>79</v>
      </c>
      <c r="I48" s="274">
        <v>15</v>
      </c>
      <c r="J48" s="274">
        <f t="shared" ref="J48" si="94">K48/I48</f>
        <v>539.13333333333333</v>
      </c>
      <c r="K48" s="276">
        <v>8087</v>
      </c>
      <c r="L48" s="277">
        <v>0</v>
      </c>
      <c r="M48" s="278">
        <f t="shared" si="89"/>
        <v>8087</v>
      </c>
      <c r="N48" s="300">
        <f t="shared" ref="N48" si="95">IF(K48/15&lt;=SMG,0,L48/2)</f>
        <v>0</v>
      </c>
      <c r="O48" s="321">
        <f t="shared" ref="O48" si="96">(K48+N48)/I48*30.4</f>
        <v>16389.653333333332</v>
      </c>
      <c r="P48" s="321">
        <f t="shared" ref="P48" si="97">VLOOKUP(O48,Tarifa,1)</f>
        <v>15487.72</v>
      </c>
      <c r="Q48" s="300">
        <f t="shared" ref="Q48" si="98">O48-P48</f>
        <v>901.93333333333248</v>
      </c>
      <c r="R48" s="301">
        <f t="shared" ref="R48" si="99">VLOOKUP(O48,Tarifa,3)</f>
        <v>0.21360000000000001</v>
      </c>
      <c r="S48" s="300">
        <f t="shared" ref="S48" si="100">Q48*R48</f>
        <v>192.65295999999984</v>
      </c>
      <c r="T48" s="302">
        <f t="shared" ref="T48" si="101">VLOOKUP(O48,Tarifa,2)</f>
        <v>1640.18</v>
      </c>
      <c r="U48" s="300">
        <f t="shared" ref="U48" si="102">S48+T48</f>
        <v>1832.83296</v>
      </c>
      <c r="V48" s="300">
        <f t="shared" ref="V48" si="103">VLOOKUP(O48,Credito,2)</f>
        <v>0</v>
      </c>
      <c r="W48" s="300">
        <f t="shared" ref="W48" si="104">ROUND((U48-V48)/30.4*I48,2)</f>
        <v>904.36</v>
      </c>
      <c r="X48" s="278">
        <f t="shared" si="90"/>
        <v>0</v>
      </c>
      <c r="Y48" s="278">
        <f t="shared" si="91"/>
        <v>904.36</v>
      </c>
      <c r="Z48" s="279">
        <v>0</v>
      </c>
      <c r="AA48" s="278">
        <f t="shared" si="92"/>
        <v>904.36</v>
      </c>
      <c r="AB48" s="278">
        <f t="shared" si="93"/>
        <v>7182.64</v>
      </c>
      <c r="AC48" s="340"/>
      <c r="AD48" s="341"/>
    </row>
    <row r="49" spans="1:30" s="385" customFormat="1" ht="171" customHeight="1" x14ac:dyDescent="0.2">
      <c r="A49" s="380"/>
      <c r="B49" s="285" t="s">
        <v>628</v>
      </c>
      <c r="C49" s="285" t="s">
        <v>118</v>
      </c>
      <c r="D49" s="386" t="s">
        <v>629</v>
      </c>
      <c r="E49" s="368" t="s">
        <v>626</v>
      </c>
      <c r="F49" s="280" t="s">
        <v>627</v>
      </c>
      <c r="G49" s="331">
        <v>45717</v>
      </c>
      <c r="H49" s="273" t="s">
        <v>79</v>
      </c>
      <c r="I49" s="274">
        <v>15</v>
      </c>
      <c r="J49" s="274">
        <f t="shared" si="63"/>
        <v>539.13333333333333</v>
      </c>
      <c r="K49" s="276">
        <v>8087</v>
      </c>
      <c r="L49" s="277">
        <v>0</v>
      </c>
      <c r="M49" s="278">
        <f t="shared" si="58"/>
        <v>8087</v>
      </c>
      <c r="N49" s="300">
        <f t="shared" si="65"/>
        <v>0</v>
      </c>
      <c r="O49" s="321">
        <f t="shared" si="66"/>
        <v>16389.653333333332</v>
      </c>
      <c r="P49" s="321">
        <f t="shared" si="67"/>
        <v>15487.72</v>
      </c>
      <c r="Q49" s="300">
        <f t="shared" si="68"/>
        <v>901.93333333333248</v>
      </c>
      <c r="R49" s="301">
        <f t="shared" si="69"/>
        <v>0.21360000000000001</v>
      </c>
      <c r="S49" s="300">
        <f t="shared" si="70"/>
        <v>192.65295999999984</v>
      </c>
      <c r="T49" s="302">
        <f t="shared" si="71"/>
        <v>1640.18</v>
      </c>
      <c r="U49" s="300">
        <f t="shared" si="72"/>
        <v>1832.83296</v>
      </c>
      <c r="V49" s="300">
        <f t="shared" si="73"/>
        <v>0</v>
      </c>
      <c r="W49" s="300">
        <f t="shared" si="74"/>
        <v>904.36</v>
      </c>
      <c r="X49" s="278">
        <f t="shared" si="59"/>
        <v>0</v>
      </c>
      <c r="Y49" s="278">
        <f t="shared" si="60"/>
        <v>904.36</v>
      </c>
      <c r="Z49" s="279">
        <v>0</v>
      </c>
      <c r="AA49" s="278">
        <f t="shared" si="61"/>
        <v>904.36</v>
      </c>
      <c r="AB49" s="278">
        <f t="shared" si="62"/>
        <v>7182.64</v>
      </c>
      <c r="AC49" s="340"/>
      <c r="AD49" s="341"/>
    </row>
    <row r="50" spans="1:30" ht="29.25" customHeight="1" thickBot="1" x14ac:dyDescent="0.35">
      <c r="A50" s="452" t="s">
        <v>44</v>
      </c>
      <c r="B50" s="453"/>
      <c r="C50" s="453"/>
      <c r="D50" s="453"/>
      <c r="E50" s="453"/>
      <c r="F50" s="453"/>
      <c r="G50" s="453"/>
      <c r="H50" s="453"/>
      <c r="I50" s="453"/>
      <c r="J50" s="382"/>
      <c r="K50" s="209">
        <f>SUM(K9:K49)</f>
        <v>216015</v>
      </c>
      <c r="L50" s="209">
        <f>SUM(L9:L49)</f>
        <v>0</v>
      </c>
      <c r="M50" s="209">
        <f>SUM(M9:M49)</f>
        <v>216015</v>
      </c>
      <c r="N50" s="210">
        <f t="shared" ref="N50:W50" si="105">SUM(N9:N17)</f>
        <v>0</v>
      </c>
      <c r="O50" s="210">
        <f t="shared" si="105"/>
        <v>159166.29333333331</v>
      </c>
      <c r="P50" s="210">
        <f t="shared" si="105"/>
        <v>139389.47999999998</v>
      </c>
      <c r="Q50" s="210">
        <f t="shared" si="105"/>
        <v>19776.813333333332</v>
      </c>
      <c r="R50" s="210">
        <f t="shared" si="105"/>
        <v>1.9224000000000001</v>
      </c>
      <c r="S50" s="210">
        <f t="shared" si="105"/>
        <v>4224.3273279999985</v>
      </c>
      <c r="T50" s="210">
        <f t="shared" si="105"/>
        <v>14761.62</v>
      </c>
      <c r="U50" s="210">
        <f t="shared" si="105"/>
        <v>18985.947327999998</v>
      </c>
      <c r="V50" s="210">
        <f t="shared" si="105"/>
        <v>0</v>
      </c>
      <c r="W50" s="210">
        <f t="shared" si="105"/>
        <v>9368.0800000000017</v>
      </c>
      <c r="X50" s="209">
        <f>SUM(X9:X49)</f>
        <v>0</v>
      </c>
      <c r="Y50" s="209">
        <f>SUM(Y9:Y49)</f>
        <v>24742.200000000012</v>
      </c>
      <c r="Z50" s="209">
        <f>SUM(Z9:Z49)</f>
        <v>0</v>
      </c>
      <c r="AA50" s="209">
        <f>SUM(AA9:AA49)</f>
        <v>24742.200000000012</v>
      </c>
      <c r="AB50" s="209">
        <f>SUM(AB9:AB49)</f>
        <v>191272.8000000001</v>
      </c>
      <c r="AC50" s="4"/>
      <c r="AD50" s="4"/>
    </row>
    <row r="51" spans="1:30" ht="13.5" thickTop="1" x14ac:dyDescent="0.2"/>
    <row r="66" spans="4:42" ht="6" customHeight="1" x14ac:dyDescent="0.2"/>
    <row r="68" spans="4:42" ht="18" x14ac:dyDescent="0.25">
      <c r="D68" s="215" t="s">
        <v>521</v>
      </c>
      <c r="E68" s="108"/>
      <c r="F68" s="108"/>
      <c r="G68" s="108"/>
      <c r="H68" s="108"/>
      <c r="I68" s="108"/>
      <c r="J68" s="108"/>
      <c r="K68" s="108"/>
      <c r="L68" s="108"/>
      <c r="M68" s="108"/>
      <c r="N68" s="108"/>
      <c r="O68" s="108"/>
      <c r="P68" s="108"/>
      <c r="Q68" s="108"/>
      <c r="R68" s="108"/>
      <c r="S68" s="108"/>
      <c r="T68" s="108"/>
      <c r="U68" s="108"/>
      <c r="V68" s="108"/>
      <c r="W68" s="108"/>
      <c r="X68" s="108"/>
      <c r="Y68" s="108"/>
      <c r="Z68" s="215" t="s">
        <v>153</v>
      </c>
      <c r="AA68" s="108"/>
      <c r="AB68" s="108"/>
      <c r="AC68" s="108"/>
    </row>
    <row r="69" spans="4:42" ht="18" x14ac:dyDescent="0.25">
      <c r="D69" s="215" t="s">
        <v>542</v>
      </c>
      <c r="E69" s="215"/>
      <c r="F69" s="215"/>
      <c r="G69" s="215"/>
      <c r="H69" s="215"/>
      <c r="I69" s="215"/>
      <c r="J69" s="215"/>
      <c r="K69" s="215"/>
      <c r="L69" s="215"/>
      <c r="M69" s="215"/>
      <c r="N69" s="108"/>
      <c r="O69" s="108"/>
      <c r="P69" s="108"/>
      <c r="Q69" s="108"/>
      <c r="R69" s="108"/>
      <c r="S69" s="108"/>
      <c r="T69" s="108"/>
      <c r="U69" s="108"/>
      <c r="V69" s="108"/>
      <c r="W69" s="108"/>
      <c r="X69" s="108"/>
      <c r="Y69" s="108"/>
      <c r="Z69" s="215" t="s">
        <v>223</v>
      </c>
      <c r="AA69" s="108"/>
      <c r="AB69" s="215"/>
      <c r="AC69" s="215"/>
      <c r="AD69" s="85"/>
      <c r="AE69" s="85"/>
      <c r="AF69" s="85"/>
      <c r="AG69" s="85"/>
      <c r="AH69" s="85"/>
      <c r="AI69" s="85"/>
      <c r="AJ69" s="85"/>
      <c r="AK69" s="85"/>
      <c r="AL69" s="85"/>
      <c r="AO69" s="85"/>
      <c r="AP69" s="85"/>
    </row>
    <row r="74" spans="4:42" x14ac:dyDescent="0.2">
      <c r="E74" s="4"/>
    </row>
  </sheetData>
  <mergeCells count="15">
    <mergeCell ref="A50:I50"/>
    <mergeCell ref="A1:AC1"/>
    <mergeCell ref="A2:AC2"/>
    <mergeCell ref="K5:M5"/>
    <mergeCell ref="P5:U5"/>
    <mergeCell ref="Y5:AA5"/>
    <mergeCell ref="B3:AC3"/>
    <mergeCell ref="B21:AC21"/>
    <mergeCell ref="B22:AC22"/>
    <mergeCell ref="B24:AC24"/>
    <mergeCell ref="B23:AC23"/>
    <mergeCell ref="B40:AC40"/>
    <mergeCell ref="B38:AC38"/>
    <mergeCell ref="B39:AC39"/>
    <mergeCell ref="B8:D8"/>
  </mergeCells>
  <pageMargins left="0.35433070866141736" right="0.15748031496062992" top="0.19685039370078741" bottom="7.874015748031496E-2" header="0.31496062992125984" footer="0.31496062992125984"/>
  <pageSetup scale="34" orientation="landscape" horizontalDpi="4294967293" verticalDpi="36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O26"/>
  <sheetViews>
    <sheetView topLeftCell="B13" zoomScale="73" zoomScaleNormal="73" workbookViewId="0">
      <selection activeCell="L15" sqref="L15"/>
    </sheetView>
  </sheetViews>
  <sheetFormatPr baseColWidth="10" defaultColWidth="11.42578125" defaultRowHeight="12.75" x14ac:dyDescent="0.2"/>
  <cols>
    <col min="1" max="1" width="5.5703125" style="67" hidden="1" customWidth="1"/>
    <col min="2" max="2" width="9.42578125" style="67" customWidth="1"/>
    <col min="3" max="3" width="7.7109375" style="67" customWidth="1"/>
    <col min="4" max="4" width="27.5703125" style="67" customWidth="1"/>
    <col min="5" max="5" width="24.28515625" style="67" customWidth="1"/>
    <col min="6" max="6" width="33.28515625" style="67" customWidth="1"/>
    <col min="7" max="7" width="17.5703125" style="67" customWidth="1"/>
    <col min="8" max="8" width="19.5703125" style="67" customWidth="1"/>
    <col min="9" max="9" width="6.5703125" style="67" hidden="1" customWidth="1"/>
    <col min="10" max="10" width="10" style="67" hidden="1" customWidth="1"/>
    <col min="11" max="11" width="16.28515625" style="67" customWidth="1"/>
    <col min="12" max="12" width="16" style="67" customWidth="1"/>
    <col min="13" max="13" width="16.85546875" style="67" customWidth="1"/>
    <col min="14" max="14" width="13.140625" style="67" hidden="1" customWidth="1"/>
    <col min="15" max="17" width="14.28515625" style="67" hidden="1" customWidth="1"/>
    <col min="18" max="19" width="13.140625" style="67" hidden="1" customWidth="1"/>
    <col min="20" max="20" width="10.5703125" style="67" hidden="1" customWidth="1"/>
    <col min="21" max="22" width="13.140625" style="67" hidden="1" customWidth="1"/>
    <col min="23" max="23" width="11.5703125" style="67" hidden="1" customWidth="1"/>
    <col min="24" max="24" width="9.7109375" style="67" customWidth="1"/>
    <col min="25" max="25" width="14.42578125" style="67" customWidth="1"/>
    <col min="26" max="26" width="13.28515625" style="67" customWidth="1"/>
    <col min="27" max="27" width="15" style="67" customWidth="1"/>
    <col min="28" max="28" width="15.85546875" style="67" customWidth="1"/>
    <col min="29" max="29" width="61.42578125" style="67" customWidth="1"/>
    <col min="30" max="16384" width="11.42578125" style="67"/>
  </cols>
  <sheetData>
    <row r="1" spans="1:29" ht="18" x14ac:dyDescent="0.25">
      <c r="A1" s="466" t="s">
        <v>76</v>
      </c>
      <c r="B1" s="466"/>
      <c r="C1" s="466"/>
      <c r="D1" s="466"/>
      <c r="E1" s="466"/>
      <c r="F1" s="466"/>
      <c r="G1" s="466"/>
      <c r="H1" s="466"/>
      <c r="I1" s="466"/>
      <c r="J1" s="466"/>
      <c r="K1" s="466"/>
      <c r="L1" s="466"/>
      <c r="M1" s="466"/>
      <c r="N1" s="466"/>
      <c r="O1" s="466"/>
      <c r="P1" s="466"/>
      <c r="Q1" s="466"/>
      <c r="R1" s="466"/>
      <c r="S1" s="466"/>
      <c r="T1" s="466"/>
      <c r="U1" s="466"/>
      <c r="V1" s="466"/>
      <c r="W1" s="466"/>
      <c r="X1" s="466"/>
      <c r="Y1" s="466"/>
      <c r="Z1" s="466"/>
      <c r="AA1" s="466"/>
      <c r="AB1" s="466"/>
      <c r="AC1" s="466"/>
    </row>
    <row r="2" spans="1:29" ht="18" x14ac:dyDescent="0.25">
      <c r="A2" s="466" t="s">
        <v>64</v>
      </c>
      <c r="B2" s="466"/>
      <c r="C2" s="466"/>
      <c r="D2" s="466"/>
      <c r="E2" s="466"/>
      <c r="F2" s="466"/>
      <c r="G2" s="466"/>
      <c r="H2" s="466"/>
      <c r="I2" s="466"/>
      <c r="J2" s="466"/>
      <c r="K2" s="466"/>
      <c r="L2" s="466"/>
      <c r="M2" s="466"/>
      <c r="N2" s="466"/>
      <c r="O2" s="466"/>
      <c r="P2" s="466"/>
      <c r="Q2" s="466"/>
      <c r="R2" s="466"/>
      <c r="S2" s="466"/>
      <c r="T2" s="466"/>
      <c r="U2" s="466"/>
      <c r="V2" s="466"/>
      <c r="W2" s="466"/>
      <c r="X2" s="466"/>
      <c r="Y2" s="466"/>
      <c r="Z2" s="466"/>
      <c r="AA2" s="466"/>
      <c r="AB2" s="466"/>
      <c r="AC2" s="466"/>
    </row>
    <row r="3" spans="1:29" ht="19.5" x14ac:dyDescent="0.25">
      <c r="A3" s="456" t="str">
        <f>CHOFERES!A3</f>
        <v>SUELDO  DEL 16 AL 30 DE ABRIL DE 2025</v>
      </c>
      <c r="B3" s="456"/>
      <c r="C3" s="456"/>
      <c r="D3" s="456"/>
      <c r="E3" s="456"/>
      <c r="F3" s="456"/>
      <c r="G3" s="456"/>
      <c r="H3" s="456"/>
      <c r="I3" s="456"/>
      <c r="J3" s="456"/>
      <c r="K3" s="456"/>
      <c r="L3" s="456"/>
      <c r="M3" s="456"/>
      <c r="N3" s="456"/>
      <c r="O3" s="456"/>
      <c r="P3" s="456"/>
      <c r="Q3" s="456"/>
      <c r="R3" s="456"/>
      <c r="S3" s="456"/>
      <c r="T3" s="456"/>
      <c r="U3" s="456"/>
      <c r="V3" s="456"/>
      <c r="W3" s="456"/>
      <c r="X3" s="456"/>
      <c r="Y3" s="456"/>
      <c r="Z3" s="456"/>
      <c r="AA3" s="456"/>
      <c r="AB3" s="456"/>
      <c r="AC3" s="456"/>
    </row>
    <row r="4" spans="1:29" ht="15" x14ac:dyDescent="0.2">
      <c r="A4" s="88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  <c r="X4" s="88"/>
      <c r="Y4" s="88"/>
      <c r="Z4" s="88"/>
      <c r="AA4" s="88"/>
      <c r="AB4" s="88"/>
      <c r="AC4" s="88"/>
    </row>
    <row r="5" spans="1:29" x14ac:dyDescent="0.2">
      <c r="A5" s="68"/>
      <c r="B5" s="68"/>
      <c r="C5" s="68"/>
      <c r="D5" s="68"/>
      <c r="E5" s="68"/>
      <c r="F5" s="68"/>
      <c r="G5" s="68"/>
      <c r="H5" s="68"/>
      <c r="I5" s="69" t="s">
        <v>22</v>
      </c>
      <c r="J5" s="69" t="s">
        <v>5</v>
      </c>
      <c r="K5" s="513" t="s">
        <v>1</v>
      </c>
      <c r="L5" s="514"/>
      <c r="M5" s="515"/>
      <c r="N5" s="70" t="s">
        <v>25</v>
      </c>
      <c r="O5" s="71"/>
      <c r="P5" s="516" t="s">
        <v>8</v>
      </c>
      <c r="Q5" s="517"/>
      <c r="R5" s="517"/>
      <c r="S5" s="517"/>
      <c r="T5" s="517"/>
      <c r="U5" s="518"/>
      <c r="V5" s="70" t="s">
        <v>29</v>
      </c>
      <c r="W5" s="70" t="s">
        <v>9</v>
      </c>
      <c r="X5" s="69" t="s">
        <v>52</v>
      </c>
      <c r="Y5" s="519" t="s">
        <v>2</v>
      </c>
      <c r="Z5" s="520"/>
      <c r="AA5" s="521"/>
      <c r="AB5" s="69" t="s">
        <v>0</v>
      </c>
      <c r="AC5" s="72"/>
    </row>
    <row r="6" spans="1:29" ht="22.5" x14ac:dyDescent="0.2">
      <c r="A6" s="73" t="s">
        <v>20</v>
      </c>
      <c r="B6" s="74" t="s">
        <v>97</v>
      </c>
      <c r="C6" s="74" t="s">
        <v>119</v>
      </c>
      <c r="D6" s="73" t="s">
        <v>21</v>
      </c>
      <c r="E6" s="73"/>
      <c r="F6" s="73"/>
      <c r="G6" s="73"/>
      <c r="H6" s="73"/>
      <c r="I6" s="75" t="s">
        <v>23</v>
      </c>
      <c r="J6" s="73" t="s">
        <v>24</v>
      </c>
      <c r="K6" s="69" t="s">
        <v>5</v>
      </c>
      <c r="L6" s="69" t="s">
        <v>58</v>
      </c>
      <c r="M6" s="69" t="s">
        <v>27</v>
      </c>
      <c r="N6" s="76" t="s">
        <v>26</v>
      </c>
      <c r="O6" s="71" t="s">
        <v>31</v>
      </c>
      <c r="P6" s="71" t="s">
        <v>11</v>
      </c>
      <c r="Q6" s="71" t="s">
        <v>33</v>
      </c>
      <c r="R6" s="71" t="s">
        <v>35</v>
      </c>
      <c r="S6" s="71" t="s">
        <v>36</v>
      </c>
      <c r="T6" s="71" t="s">
        <v>13</v>
      </c>
      <c r="U6" s="71" t="s">
        <v>9</v>
      </c>
      <c r="V6" s="76" t="s">
        <v>39</v>
      </c>
      <c r="W6" s="76" t="s">
        <v>40</v>
      </c>
      <c r="X6" s="73" t="s">
        <v>30</v>
      </c>
      <c r="Y6" s="23" t="s">
        <v>281</v>
      </c>
      <c r="Z6" s="69" t="s">
        <v>56</v>
      </c>
      <c r="AA6" s="69" t="s">
        <v>6</v>
      </c>
      <c r="AB6" s="73" t="s">
        <v>3</v>
      </c>
      <c r="AC6" s="77" t="s">
        <v>57</v>
      </c>
    </row>
    <row r="7" spans="1:29" x14ac:dyDescent="0.2">
      <c r="A7" s="78"/>
      <c r="B7" s="73"/>
      <c r="C7" s="73"/>
      <c r="D7" s="73"/>
      <c r="E7" s="73"/>
      <c r="F7" s="73"/>
      <c r="G7" s="73"/>
      <c r="H7" s="73"/>
      <c r="I7" s="73"/>
      <c r="J7" s="73"/>
      <c r="K7" s="73" t="s">
        <v>46</v>
      </c>
      <c r="L7" s="73" t="s">
        <v>59</v>
      </c>
      <c r="M7" s="73" t="s">
        <v>28</v>
      </c>
      <c r="N7" s="76" t="s">
        <v>42</v>
      </c>
      <c r="O7" s="70" t="s">
        <v>32</v>
      </c>
      <c r="P7" s="70" t="s">
        <v>12</v>
      </c>
      <c r="Q7" s="70" t="s">
        <v>34</v>
      </c>
      <c r="R7" s="70" t="s">
        <v>34</v>
      </c>
      <c r="S7" s="70" t="s">
        <v>37</v>
      </c>
      <c r="T7" s="70" t="s">
        <v>14</v>
      </c>
      <c r="U7" s="70" t="s">
        <v>38</v>
      </c>
      <c r="V7" s="76" t="s">
        <v>18</v>
      </c>
      <c r="W7" s="79" t="s">
        <v>128</v>
      </c>
      <c r="X7" s="73" t="s">
        <v>51</v>
      </c>
      <c r="Y7" s="73"/>
      <c r="Z7" s="73"/>
      <c r="AA7" s="73" t="s">
        <v>43</v>
      </c>
      <c r="AB7" s="73" t="s">
        <v>4</v>
      </c>
      <c r="AC7" s="80"/>
    </row>
    <row r="8" spans="1:29" ht="37.5" customHeight="1" x14ac:dyDescent="0.25">
      <c r="A8" s="81"/>
      <c r="B8" s="82"/>
      <c r="C8" s="82"/>
      <c r="D8" s="129" t="s">
        <v>135</v>
      </c>
      <c r="E8" s="36" t="s">
        <v>98</v>
      </c>
      <c r="F8" s="36" t="s">
        <v>229</v>
      </c>
      <c r="G8" s="98" t="s">
        <v>290</v>
      </c>
      <c r="H8" s="83" t="s">
        <v>61</v>
      </c>
      <c r="I8" s="82"/>
      <c r="J8" s="82"/>
      <c r="K8" s="82"/>
      <c r="L8" s="82"/>
      <c r="M8" s="82"/>
      <c r="N8" s="82"/>
      <c r="O8" s="82"/>
      <c r="P8" s="82"/>
      <c r="Q8" s="82"/>
      <c r="R8" s="82"/>
      <c r="S8" s="82"/>
      <c r="T8" s="82"/>
      <c r="U8" s="82"/>
      <c r="V8" s="82"/>
      <c r="W8" s="82"/>
      <c r="X8" s="82"/>
      <c r="Y8" s="82"/>
      <c r="Z8" s="82"/>
      <c r="AA8" s="82"/>
      <c r="AB8" s="82"/>
      <c r="AC8" s="84"/>
    </row>
    <row r="9" spans="1:29" s="385" customFormat="1" ht="117" customHeight="1" x14ac:dyDescent="0.2">
      <c r="A9" s="392"/>
      <c r="B9" s="393">
        <v>391</v>
      </c>
      <c r="C9" s="269" t="s">
        <v>118</v>
      </c>
      <c r="D9" s="357" t="s">
        <v>531</v>
      </c>
      <c r="E9" s="358" t="s">
        <v>532</v>
      </c>
      <c r="F9" s="358" t="s">
        <v>533</v>
      </c>
      <c r="G9" s="394">
        <v>45586</v>
      </c>
      <c r="H9" s="395" t="s">
        <v>530</v>
      </c>
      <c r="I9" s="358">
        <v>15</v>
      </c>
      <c r="J9" s="358">
        <f t="shared" ref="J9:J17" si="0">K9/I9</f>
        <v>675.23333333333335</v>
      </c>
      <c r="K9" s="276">
        <v>10128.5</v>
      </c>
      <c r="L9" s="277">
        <v>0</v>
      </c>
      <c r="M9" s="278">
        <f t="shared" ref="M9:M10" si="1">SUM(K9:L9)</f>
        <v>10128.5</v>
      </c>
      <c r="N9" s="417">
        <f t="shared" ref="N9:N17" si="2">IF(K9/15&lt;=SMG,0,L9/2)</f>
        <v>0</v>
      </c>
      <c r="O9" s="417">
        <f t="shared" ref="O9:O17" si="3">(K9+N9)/I9*30.4</f>
        <v>20527.093333333334</v>
      </c>
      <c r="P9" s="417">
        <f t="shared" ref="P9:P17" si="4">VLOOKUP(O9,Tarifa,1)</f>
        <v>15487.72</v>
      </c>
      <c r="Q9" s="417">
        <f t="shared" ref="Q9:Q17" si="5">O9-P9</f>
        <v>5039.3733333333348</v>
      </c>
      <c r="R9" s="418">
        <f t="shared" ref="R9:R17" si="6">VLOOKUP(O9,Tarifa,3)</f>
        <v>0.21360000000000001</v>
      </c>
      <c r="S9" s="417">
        <f t="shared" ref="S9:S17" si="7">Q9*R9</f>
        <v>1076.4101440000004</v>
      </c>
      <c r="T9" s="419">
        <f t="shared" ref="T9:T17" si="8">VLOOKUP(O9,Tarifa,2)</f>
        <v>1640.18</v>
      </c>
      <c r="U9" s="417">
        <f t="shared" ref="U9:U17" si="9">S9+T9</f>
        <v>2716.5901440000007</v>
      </c>
      <c r="V9" s="417">
        <f t="shared" ref="V9:V17" si="10">VLOOKUP(O9,Credito,2)</f>
        <v>0</v>
      </c>
      <c r="W9" s="417">
        <f t="shared" ref="W9:W17" si="11">ROUND((U9-V9)/30.4*I9,2)</f>
        <v>1340.42</v>
      </c>
      <c r="X9" s="278">
        <f>-IF(W9&gt;0,0,0)</f>
        <v>0</v>
      </c>
      <c r="Y9" s="278">
        <f t="shared" ref="Y9:Y10" si="12">IF(K9/15&lt;=SMG,0,IF(W9&lt;0,0,W9))</f>
        <v>1340.42</v>
      </c>
      <c r="Z9" s="279">
        <v>0</v>
      </c>
      <c r="AA9" s="278">
        <f t="shared" ref="AA9:AA10" si="13">SUM(Y9:Z9)</f>
        <v>1340.42</v>
      </c>
      <c r="AB9" s="278">
        <f t="shared" ref="AB9:AB10" si="14">M9+X9-AA9</f>
        <v>8788.08</v>
      </c>
      <c r="AC9" s="358"/>
    </row>
    <row r="10" spans="1:29" s="385" customFormat="1" ht="117" customHeight="1" x14ac:dyDescent="0.2">
      <c r="A10" s="392"/>
      <c r="B10" s="393">
        <v>392</v>
      </c>
      <c r="C10" s="269" t="s">
        <v>118</v>
      </c>
      <c r="D10" s="357" t="s">
        <v>527</v>
      </c>
      <c r="E10" s="358" t="s">
        <v>528</v>
      </c>
      <c r="F10" s="358" t="s">
        <v>529</v>
      </c>
      <c r="G10" s="394">
        <v>45586</v>
      </c>
      <c r="H10" s="395" t="s">
        <v>530</v>
      </c>
      <c r="I10" s="358">
        <v>15</v>
      </c>
      <c r="J10" s="358">
        <f t="shared" si="0"/>
        <v>675.23333333333335</v>
      </c>
      <c r="K10" s="276">
        <v>10128.5</v>
      </c>
      <c r="L10" s="277">
        <v>0</v>
      </c>
      <c r="M10" s="278">
        <f t="shared" si="1"/>
        <v>10128.5</v>
      </c>
      <c r="N10" s="417">
        <f t="shared" si="2"/>
        <v>0</v>
      </c>
      <c r="O10" s="417">
        <f t="shared" si="3"/>
        <v>20527.093333333334</v>
      </c>
      <c r="P10" s="417">
        <f t="shared" si="4"/>
        <v>15487.72</v>
      </c>
      <c r="Q10" s="417">
        <f t="shared" si="5"/>
        <v>5039.3733333333348</v>
      </c>
      <c r="R10" s="418">
        <f t="shared" si="6"/>
        <v>0.21360000000000001</v>
      </c>
      <c r="S10" s="417">
        <f t="shared" si="7"/>
        <v>1076.4101440000004</v>
      </c>
      <c r="T10" s="419">
        <f t="shared" si="8"/>
        <v>1640.18</v>
      </c>
      <c r="U10" s="417">
        <f t="shared" si="9"/>
        <v>2716.5901440000007</v>
      </c>
      <c r="V10" s="417">
        <f t="shared" si="10"/>
        <v>0</v>
      </c>
      <c r="W10" s="417">
        <f t="shared" si="11"/>
        <v>1340.42</v>
      </c>
      <c r="X10" s="278">
        <f>-IF(W10&gt;0,0,0)</f>
        <v>0</v>
      </c>
      <c r="Y10" s="278">
        <f t="shared" si="12"/>
        <v>1340.42</v>
      </c>
      <c r="Z10" s="279">
        <v>0</v>
      </c>
      <c r="AA10" s="278">
        <f t="shared" si="13"/>
        <v>1340.42</v>
      </c>
      <c r="AB10" s="278">
        <f t="shared" si="14"/>
        <v>8788.08</v>
      </c>
      <c r="AC10" s="358"/>
    </row>
    <row r="11" spans="1:29" s="282" customFormat="1" ht="117" customHeight="1" x14ac:dyDescent="0.2">
      <c r="A11" s="267"/>
      <c r="B11" s="269" t="s">
        <v>587</v>
      </c>
      <c r="C11" s="269" t="s">
        <v>118</v>
      </c>
      <c r="D11" s="383" t="s">
        <v>583</v>
      </c>
      <c r="E11" s="368" t="s">
        <v>584</v>
      </c>
      <c r="F11" s="368" t="s">
        <v>585</v>
      </c>
      <c r="G11" s="396">
        <v>45658</v>
      </c>
      <c r="H11" s="395" t="s">
        <v>530</v>
      </c>
      <c r="I11" s="358">
        <v>15</v>
      </c>
      <c r="J11" s="358">
        <f t="shared" si="0"/>
        <v>675.23333333333335</v>
      </c>
      <c r="K11" s="276">
        <v>10128.5</v>
      </c>
      <c r="L11" s="277">
        <v>0</v>
      </c>
      <c r="M11" s="278">
        <f t="shared" ref="M11" si="15">SUM(K11:L11)</f>
        <v>10128.5</v>
      </c>
      <c r="N11" s="417">
        <f t="shared" si="2"/>
        <v>0</v>
      </c>
      <c r="O11" s="417">
        <f t="shared" si="3"/>
        <v>20527.093333333334</v>
      </c>
      <c r="P11" s="417">
        <f t="shared" si="4"/>
        <v>15487.72</v>
      </c>
      <c r="Q11" s="417">
        <f t="shared" si="5"/>
        <v>5039.3733333333348</v>
      </c>
      <c r="R11" s="418">
        <f t="shared" si="6"/>
        <v>0.21360000000000001</v>
      </c>
      <c r="S11" s="417">
        <f t="shared" si="7"/>
        <v>1076.4101440000004</v>
      </c>
      <c r="T11" s="419">
        <f t="shared" si="8"/>
        <v>1640.18</v>
      </c>
      <c r="U11" s="417">
        <f t="shared" si="9"/>
        <v>2716.5901440000007</v>
      </c>
      <c r="V11" s="417">
        <f t="shared" si="10"/>
        <v>0</v>
      </c>
      <c r="W11" s="417">
        <f t="shared" si="11"/>
        <v>1340.42</v>
      </c>
      <c r="X11" s="278">
        <f>-IF(W11&gt;0,0,0)</f>
        <v>0</v>
      </c>
      <c r="Y11" s="278">
        <f t="shared" ref="Y11" si="16">IF(K11/15&lt;=SMG,0,IF(W11&lt;0,0,W11))</f>
        <v>1340.42</v>
      </c>
      <c r="Z11" s="279">
        <v>0</v>
      </c>
      <c r="AA11" s="278">
        <f t="shared" ref="AA11" si="17">SUM(Y11:Z11)</f>
        <v>1340.42</v>
      </c>
      <c r="AB11" s="278">
        <f t="shared" ref="AB11" si="18">M11+X11-AA11</f>
        <v>8788.08</v>
      </c>
      <c r="AC11" s="280"/>
    </row>
    <row r="12" spans="1:29" s="282" customFormat="1" ht="117" customHeight="1" x14ac:dyDescent="0.2">
      <c r="A12" s="267"/>
      <c r="B12" s="269" t="s">
        <v>194</v>
      </c>
      <c r="C12" s="269" t="s">
        <v>118</v>
      </c>
      <c r="D12" s="383" t="s">
        <v>192</v>
      </c>
      <c r="E12" s="368" t="s">
        <v>193</v>
      </c>
      <c r="F12" s="368" t="s">
        <v>256</v>
      </c>
      <c r="G12" s="396">
        <v>43998</v>
      </c>
      <c r="H12" s="271" t="s">
        <v>133</v>
      </c>
      <c r="I12" s="358">
        <v>15</v>
      </c>
      <c r="J12" s="358">
        <f t="shared" si="0"/>
        <v>407.9</v>
      </c>
      <c r="K12" s="276">
        <v>6118.5</v>
      </c>
      <c r="L12" s="277">
        <v>0</v>
      </c>
      <c r="M12" s="278">
        <f t="shared" ref="M12:M13" si="19">SUM(K12:L12)</f>
        <v>6118.5</v>
      </c>
      <c r="N12" s="417">
        <f t="shared" si="2"/>
        <v>0</v>
      </c>
      <c r="O12" s="417">
        <f t="shared" si="3"/>
        <v>12400.159999999998</v>
      </c>
      <c r="P12" s="417">
        <f t="shared" si="4"/>
        <v>11128.02</v>
      </c>
      <c r="Q12" s="417">
        <f t="shared" si="5"/>
        <v>1272.1399999999976</v>
      </c>
      <c r="R12" s="418">
        <f t="shared" si="6"/>
        <v>0.16</v>
      </c>
      <c r="S12" s="417">
        <f t="shared" si="7"/>
        <v>203.54239999999962</v>
      </c>
      <c r="T12" s="419">
        <f t="shared" si="8"/>
        <v>893.63</v>
      </c>
      <c r="U12" s="417">
        <f t="shared" si="9"/>
        <v>1097.1723999999997</v>
      </c>
      <c r="V12" s="417">
        <f t="shared" si="10"/>
        <v>0</v>
      </c>
      <c r="W12" s="417">
        <f t="shared" si="11"/>
        <v>541.37</v>
      </c>
      <c r="X12" s="278">
        <f t="shared" ref="X12:X13" si="20">-IF(W12&gt;0,0,0)</f>
        <v>0</v>
      </c>
      <c r="Y12" s="278">
        <f t="shared" ref="Y12:Y13" si="21">IF(K12/15&lt;=SMG,0,IF(W12&lt;0,0,W12))</f>
        <v>541.37</v>
      </c>
      <c r="Z12" s="279">
        <v>0</v>
      </c>
      <c r="AA12" s="278">
        <f t="shared" ref="AA12:AA13" si="22">SUM(Y12:Z12)</f>
        <v>541.37</v>
      </c>
      <c r="AB12" s="278">
        <f t="shared" ref="AB12:AB13" si="23">M12+X12-AA12</f>
        <v>5577.13</v>
      </c>
      <c r="AC12" s="290"/>
    </row>
    <row r="13" spans="1:29" s="91" customFormat="1" ht="117" customHeight="1" x14ac:dyDescent="0.25">
      <c r="A13" s="143"/>
      <c r="B13" s="269" t="s">
        <v>286</v>
      </c>
      <c r="C13" s="269" t="s">
        <v>118</v>
      </c>
      <c r="D13" s="383" t="s">
        <v>287</v>
      </c>
      <c r="E13" s="368" t="s">
        <v>288</v>
      </c>
      <c r="F13" s="368" t="s">
        <v>289</v>
      </c>
      <c r="G13" s="396">
        <v>44942</v>
      </c>
      <c r="H13" s="271" t="s">
        <v>133</v>
      </c>
      <c r="I13" s="358">
        <v>15</v>
      </c>
      <c r="J13" s="358">
        <f t="shared" si="0"/>
        <v>407.9</v>
      </c>
      <c r="K13" s="276">
        <v>6118.5</v>
      </c>
      <c r="L13" s="277">
        <v>0</v>
      </c>
      <c r="M13" s="278">
        <f t="shared" si="19"/>
        <v>6118.5</v>
      </c>
      <c r="N13" s="417">
        <f t="shared" si="2"/>
        <v>0</v>
      </c>
      <c r="O13" s="417">
        <f t="shared" si="3"/>
        <v>12400.159999999998</v>
      </c>
      <c r="P13" s="417">
        <f t="shared" si="4"/>
        <v>11128.02</v>
      </c>
      <c r="Q13" s="417">
        <f t="shared" si="5"/>
        <v>1272.1399999999976</v>
      </c>
      <c r="R13" s="418">
        <f t="shared" si="6"/>
        <v>0.16</v>
      </c>
      <c r="S13" s="417">
        <f t="shared" si="7"/>
        <v>203.54239999999962</v>
      </c>
      <c r="T13" s="419">
        <f t="shared" si="8"/>
        <v>893.63</v>
      </c>
      <c r="U13" s="417">
        <f t="shared" si="9"/>
        <v>1097.1723999999997</v>
      </c>
      <c r="V13" s="417">
        <f t="shared" si="10"/>
        <v>0</v>
      </c>
      <c r="W13" s="417">
        <f t="shared" si="11"/>
        <v>541.37</v>
      </c>
      <c r="X13" s="278">
        <f t="shared" si="20"/>
        <v>0</v>
      </c>
      <c r="Y13" s="278">
        <f t="shared" si="21"/>
        <v>541.37</v>
      </c>
      <c r="Z13" s="279">
        <v>0</v>
      </c>
      <c r="AA13" s="278">
        <f t="shared" si="22"/>
        <v>541.37</v>
      </c>
      <c r="AB13" s="278">
        <f t="shared" si="23"/>
        <v>5577.13</v>
      </c>
      <c r="AC13" s="420"/>
    </row>
    <row r="14" spans="1:29" s="282" customFormat="1" ht="117" customHeight="1" x14ac:dyDescent="0.2">
      <c r="A14" s="267"/>
      <c r="B14" s="269" t="s">
        <v>424</v>
      </c>
      <c r="C14" s="269" t="s">
        <v>425</v>
      </c>
      <c r="D14" s="383" t="s">
        <v>426</v>
      </c>
      <c r="E14" s="368" t="s">
        <v>427</v>
      </c>
      <c r="F14" s="368" t="s">
        <v>428</v>
      </c>
      <c r="G14" s="396">
        <v>45481</v>
      </c>
      <c r="H14" s="271" t="s">
        <v>133</v>
      </c>
      <c r="I14" s="358">
        <v>15</v>
      </c>
      <c r="J14" s="358">
        <f t="shared" si="0"/>
        <v>407.9</v>
      </c>
      <c r="K14" s="276">
        <v>6118.5</v>
      </c>
      <c r="L14" s="277">
        <v>0</v>
      </c>
      <c r="M14" s="278">
        <f t="shared" ref="M14:M15" si="24">SUM(K14:L14)</f>
        <v>6118.5</v>
      </c>
      <c r="N14" s="417">
        <f t="shared" si="2"/>
        <v>0</v>
      </c>
      <c r="O14" s="417">
        <f t="shared" si="3"/>
        <v>12400.159999999998</v>
      </c>
      <c r="P14" s="417">
        <f t="shared" si="4"/>
        <v>11128.02</v>
      </c>
      <c r="Q14" s="417">
        <f t="shared" si="5"/>
        <v>1272.1399999999976</v>
      </c>
      <c r="R14" s="418">
        <f t="shared" si="6"/>
        <v>0.16</v>
      </c>
      <c r="S14" s="417">
        <f t="shared" si="7"/>
        <v>203.54239999999962</v>
      </c>
      <c r="T14" s="419">
        <f t="shared" si="8"/>
        <v>893.63</v>
      </c>
      <c r="U14" s="417">
        <f t="shared" si="9"/>
        <v>1097.1723999999997</v>
      </c>
      <c r="V14" s="417">
        <f t="shared" si="10"/>
        <v>0</v>
      </c>
      <c r="W14" s="417">
        <f t="shared" si="11"/>
        <v>541.37</v>
      </c>
      <c r="X14" s="278">
        <f t="shared" ref="X14:X15" si="25">-IF(W14&gt;0,0,0)</f>
        <v>0</v>
      </c>
      <c r="Y14" s="278">
        <f t="shared" ref="Y14:Y15" si="26">IF(K14/15&lt;=SMG,0,IF(W14&lt;0,0,W14))</f>
        <v>541.37</v>
      </c>
      <c r="Z14" s="279">
        <v>0</v>
      </c>
      <c r="AA14" s="278">
        <f t="shared" ref="AA14:AA15" si="27">SUM(Y14:Z14)</f>
        <v>541.37</v>
      </c>
      <c r="AB14" s="278">
        <f t="shared" ref="AB14:AB15" si="28">M14+X14-AA14</f>
        <v>5577.13</v>
      </c>
      <c r="AC14" s="290"/>
    </row>
    <row r="15" spans="1:29" s="282" customFormat="1" ht="117" customHeight="1" x14ac:dyDescent="0.2">
      <c r="A15" s="267"/>
      <c r="B15" s="269" t="s">
        <v>136</v>
      </c>
      <c r="C15" s="269" t="s">
        <v>118</v>
      </c>
      <c r="D15" s="383" t="s">
        <v>132</v>
      </c>
      <c r="E15" s="368" t="s">
        <v>137</v>
      </c>
      <c r="F15" s="368" t="s">
        <v>240</v>
      </c>
      <c r="G15" s="396">
        <v>43101</v>
      </c>
      <c r="H15" s="288" t="s">
        <v>134</v>
      </c>
      <c r="I15" s="358">
        <v>15</v>
      </c>
      <c r="J15" s="358">
        <f t="shared" si="0"/>
        <v>366.73333333333335</v>
      </c>
      <c r="K15" s="276">
        <v>5501</v>
      </c>
      <c r="L15" s="277">
        <v>1100.19</v>
      </c>
      <c r="M15" s="278">
        <f t="shared" si="24"/>
        <v>6601.1900000000005</v>
      </c>
      <c r="N15" s="417">
        <f t="shared" si="2"/>
        <v>550.09500000000003</v>
      </c>
      <c r="O15" s="417">
        <f t="shared" si="3"/>
        <v>12263.552533333333</v>
      </c>
      <c r="P15" s="417">
        <f t="shared" si="4"/>
        <v>11128.02</v>
      </c>
      <c r="Q15" s="417">
        <f t="shared" si="5"/>
        <v>1135.532533333333</v>
      </c>
      <c r="R15" s="418">
        <f t="shared" si="6"/>
        <v>0.16</v>
      </c>
      <c r="S15" s="417">
        <f t="shared" si="7"/>
        <v>181.6852053333333</v>
      </c>
      <c r="T15" s="419">
        <f t="shared" si="8"/>
        <v>893.63</v>
      </c>
      <c r="U15" s="417">
        <f t="shared" si="9"/>
        <v>1075.3152053333333</v>
      </c>
      <c r="V15" s="417">
        <f t="shared" si="10"/>
        <v>0</v>
      </c>
      <c r="W15" s="417">
        <f t="shared" si="11"/>
        <v>530.58000000000004</v>
      </c>
      <c r="X15" s="278">
        <f t="shared" si="25"/>
        <v>0</v>
      </c>
      <c r="Y15" s="278">
        <f t="shared" si="26"/>
        <v>530.58000000000004</v>
      </c>
      <c r="Z15" s="279">
        <v>0</v>
      </c>
      <c r="AA15" s="278">
        <f t="shared" si="27"/>
        <v>530.58000000000004</v>
      </c>
      <c r="AB15" s="278">
        <f t="shared" si="28"/>
        <v>6070.6100000000006</v>
      </c>
      <c r="AC15" s="290"/>
    </row>
    <row r="16" spans="1:29" s="282" customFormat="1" ht="117" customHeight="1" x14ac:dyDescent="0.2">
      <c r="A16" s="267"/>
      <c r="B16" s="397">
        <v>328</v>
      </c>
      <c r="C16" s="269" t="s">
        <v>118</v>
      </c>
      <c r="D16" s="264" t="s">
        <v>429</v>
      </c>
      <c r="E16" s="145" t="s">
        <v>430</v>
      </c>
      <c r="F16" s="145" t="s">
        <v>431</v>
      </c>
      <c r="G16" s="396">
        <v>45505</v>
      </c>
      <c r="H16" s="288" t="s">
        <v>134</v>
      </c>
      <c r="I16" s="358">
        <v>15</v>
      </c>
      <c r="J16" s="358">
        <f t="shared" si="0"/>
        <v>366.73333333333335</v>
      </c>
      <c r="K16" s="276">
        <v>5501</v>
      </c>
      <c r="L16" s="277">
        <v>0</v>
      </c>
      <c r="M16" s="278">
        <f t="shared" ref="M16" si="29">SUM(K16:L16)</f>
        <v>5501</v>
      </c>
      <c r="N16" s="417">
        <f t="shared" si="2"/>
        <v>0</v>
      </c>
      <c r="O16" s="417">
        <f t="shared" si="3"/>
        <v>11148.693333333333</v>
      </c>
      <c r="P16" s="417">
        <f t="shared" si="4"/>
        <v>11128.02</v>
      </c>
      <c r="Q16" s="417">
        <f t="shared" si="5"/>
        <v>20.673333333332266</v>
      </c>
      <c r="R16" s="418">
        <f t="shared" si="6"/>
        <v>0.16</v>
      </c>
      <c r="S16" s="417">
        <f t="shared" si="7"/>
        <v>3.3077333333331627</v>
      </c>
      <c r="T16" s="419">
        <f t="shared" si="8"/>
        <v>893.63</v>
      </c>
      <c r="U16" s="417">
        <f t="shared" si="9"/>
        <v>896.9377333333332</v>
      </c>
      <c r="V16" s="417">
        <f t="shared" si="10"/>
        <v>0</v>
      </c>
      <c r="W16" s="417">
        <f t="shared" si="11"/>
        <v>442.57</v>
      </c>
      <c r="X16" s="278">
        <f t="shared" ref="X16" si="30">-IF(W16&gt;0,0,0)</f>
        <v>0</v>
      </c>
      <c r="Y16" s="278">
        <f t="shared" ref="Y16:Y17" si="31">IF(K16/15&lt;=SMG,0,IF(W16&lt;0,0,W16))</f>
        <v>442.57</v>
      </c>
      <c r="Z16" s="279">
        <v>0</v>
      </c>
      <c r="AA16" s="278">
        <f t="shared" ref="AA16" si="32">SUM(Y16:Z16)</f>
        <v>442.57</v>
      </c>
      <c r="AB16" s="278">
        <f t="shared" ref="AB16" si="33">M16+X16-AA16</f>
        <v>5058.43</v>
      </c>
      <c r="AC16" s="290"/>
    </row>
    <row r="17" spans="1:41" s="282" customFormat="1" ht="117" customHeight="1" x14ac:dyDescent="0.2">
      <c r="A17" s="267"/>
      <c r="B17" s="397">
        <v>406</v>
      </c>
      <c r="C17" s="269" t="s">
        <v>519</v>
      </c>
      <c r="D17" s="264" t="s">
        <v>596</v>
      </c>
      <c r="E17" s="145" t="s">
        <v>597</v>
      </c>
      <c r="F17" s="145" t="s">
        <v>598</v>
      </c>
      <c r="G17" s="396">
        <v>45689</v>
      </c>
      <c r="H17" s="288" t="s">
        <v>599</v>
      </c>
      <c r="I17" s="358">
        <v>15</v>
      </c>
      <c r="J17" s="358">
        <f t="shared" si="0"/>
        <v>272.93333333333334</v>
      </c>
      <c r="K17" s="276">
        <v>4094</v>
      </c>
      <c r="L17" s="277">
        <v>0</v>
      </c>
      <c r="M17" s="278">
        <f>SUM(K17:L17)</f>
        <v>4094</v>
      </c>
      <c r="N17" s="417">
        <f t="shared" si="2"/>
        <v>0</v>
      </c>
      <c r="O17" s="417">
        <f t="shared" si="3"/>
        <v>8297.1733333333323</v>
      </c>
      <c r="P17" s="417">
        <f t="shared" si="4"/>
        <v>6332.06</v>
      </c>
      <c r="Q17" s="417">
        <f t="shared" si="5"/>
        <v>1965.1133333333319</v>
      </c>
      <c r="R17" s="418">
        <f t="shared" si="6"/>
        <v>0.10879999999999999</v>
      </c>
      <c r="S17" s="417">
        <f t="shared" si="7"/>
        <v>213.80433066666649</v>
      </c>
      <c r="T17" s="419">
        <f t="shared" si="8"/>
        <v>371.83</v>
      </c>
      <c r="U17" s="417">
        <f t="shared" si="9"/>
        <v>585.63433066666653</v>
      </c>
      <c r="V17" s="417">
        <f t="shared" si="10"/>
        <v>475</v>
      </c>
      <c r="W17" s="417">
        <f t="shared" si="11"/>
        <v>54.59</v>
      </c>
      <c r="X17" s="278">
        <f>-IF(W17&gt;0,0,0)</f>
        <v>0</v>
      </c>
      <c r="Y17" s="278">
        <f t="shared" si="31"/>
        <v>0</v>
      </c>
      <c r="Z17" s="279">
        <v>0</v>
      </c>
      <c r="AA17" s="278">
        <f>SUM(Y17:Z17)</f>
        <v>0</v>
      </c>
      <c r="AB17" s="278">
        <f>M17+X17-AA17</f>
        <v>4094</v>
      </c>
      <c r="AC17" s="290"/>
    </row>
    <row r="18" spans="1:41" ht="40.5" customHeight="1" thickBot="1" x14ac:dyDescent="0.3">
      <c r="A18" s="452" t="s">
        <v>44</v>
      </c>
      <c r="B18" s="453"/>
      <c r="C18" s="453"/>
      <c r="D18" s="453"/>
      <c r="E18" s="453"/>
      <c r="F18" s="453"/>
      <c r="G18" s="453"/>
      <c r="H18" s="453"/>
      <c r="I18" s="453"/>
      <c r="J18" s="454"/>
      <c r="K18" s="136">
        <f>SUM(K9:K17)</f>
        <v>63837</v>
      </c>
      <c r="L18" s="136">
        <f>SUM(L9:L17)</f>
        <v>1100.19</v>
      </c>
      <c r="M18" s="136">
        <f>SUM(M9:M17)</f>
        <v>64937.19</v>
      </c>
      <c r="N18" s="137">
        <f t="shared" ref="N18:W18" si="34">SUM(N11:N17)</f>
        <v>550.09500000000003</v>
      </c>
      <c r="O18" s="137">
        <f t="shared" si="34"/>
        <v>89436.992533333309</v>
      </c>
      <c r="P18" s="137">
        <f t="shared" si="34"/>
        <v>77459.88</v>
      </c>
      <c r="Q18" s="137">
        <f t="shared" si="34"/>
        <v>11977.112533333326</v>
      </c>
      <c r="R18" s="137">
        <f t="shared" si="34"/>
        <v>1.1224000000000001</v>
      </c>
      <c r="S18" s="137">
        <f t="shared" si="34"/>
        <v>2085.8346133333321</v>
      </c>
      <c r="T18" s="137">
        <f t="shared" si="34"/>
        <v>6480.16</v>
      </c>
      <c r="U18" s="137">
        <f t="shared" si="34"/>
        <v>8565.9946133333324</v>
      </c>
      <c r="V18" s="137">
        <f t="shared" si="34"/>
        <v>475</v>
      </c>
      <c r="W18" s="137">
        <f t="shared" si="34"/>
        <v>3992.27</v>
      </c>
      <c r="X18" s="136">
        <f>SUM(X9:X17)</f>
        <v>0</v>
      </c>
      <c r="Y18" s="136">
        <f>SUM(Y9:Y17)</f>
        <v>6618.5199999999995</v>
      </c>
      <c r="Z18" s="136">
        <f>SUM(Z9:Z17)</f>
        <v>0</v>
      </c>
      <c r="AA18" s="136">
        <f>SUM(AA9:AA17)</f>
        <v>6618.5199999999995</v>
      </c>
      <c r="AB18" s="136">
        <f>SUM(AB9:AB17)</f>
        <v>58318.67</v>
      </c>
    </row>
    <row r="19" spans="1:41" ht="18.75" thickTop="1" x14ac:dyDescent="0.25">
      <c r="A19" s="108"/>
      <c r="B19" s="108"/>
      <c r="C19" s="108"/>
      <c r="D19" s="108"/>
      <c r="E19" s="108"/>
      <c r="F19" s="108"/>
      <c r="G19" s="108"/>
      <c r="H19" s="108"/>
      <c r="I19" s="108"/>
      <c r="J19" s="108"/>
      <c r="K19" s="108"/>
      <c r="L19" s="108"/>
      <c r="M19" s="108"/>
      <c r="N19" s="108"/>
      <c r="O19" s="108"/>
      <c r="P19" s="108"/>
      <c r="Q19" s="108"/>
      <c r="R19" s="108"/>
      <c r="S19" s="108"/>
      <c r="T19" s="108"/>
      <c r="U19" s="108"/>
      <c r="V19" s="108"/>
      <c r="W19" s="108"/>
      <c r="X19" s="108"/>
      <c r="Y19" s="108"/>
      <c r="Z19" s="108"/>
      <c r="AA19" s="108"/>
      <c r="AB19" s="108"/>
    </row>
    <row r="20" spans="1:41" ht="18" x14ac:dyDescent="0.25">
      <c r="A20" s="108"/>
      <c r="B20" s="108"/>
      <c r="C20" s="108"/>
      <c r="D20" s="108"/>
      <c r="E20" s="108"/>
      <c r="F20" s="108"/>
      <c r="G20" s="108"/>
      <c r="H20" s="108"/>
      <c r="I20" s="108"/>
      <c r="J20" s="108"/>
      <c r="K20" s="108"/>
      <c r="L20" s="108"/>
      <c r="M20" s="108"/>
      <c r="N20" s="108"/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108"/>
      <c r="AA20" s="108"/>
      <c r="AB20" s="108"/>
    </row>
    <row r="21" spans="1:41" ht="18" x14ac:dyDescent="0.25">
      <c r="A21" s="108"/>
      <c r="B21" s="108"/>
      <c r="C21" s="108"/>
      <c r="D21" s="108"/>
      <c r="E21" s="108"/>
      <c r="F21" s="108"/>
      <c r="G21" s="108"/>
      <c r="H21" s="108"/>
      <c r="I21" s="108"/>
      <c r="J21" s="108"/>
      <c r="K21" s="108"/>
      <c r="L21" s="108"/>
      <c r="M21" s="108"/>
      <c r="N21" s="108"/>
      <c r="O21" s="108"/>
      <c r="P21" s="108"/>
      <c r="Q21" s="108"/>
      <c r="R21" s="108"/>
      <c r="S21" s="108"/>
      <c r="T21" s="108"/>
      <c r="U21" s="108"/>
      <c r="V21" s="108"/>
      <c r="W21" s="108"/>
      <c r="X21" s="108"/>
      <c r="Y21" s="108"/>
      <c r="Z21" s="108"/>
      <c r="AA21" s="108"/>
      <c r="AB21" s="108"/>
    </row>
    <row r="22" spans="1:41" ht="18" x14ac:dyDescent="0.25">
      <c r="A22" s="108"/>
      <c r="B22" s="108"/>
      <c r="C22" s="108"/>
      <c r="D22" s="108"/>
      <c r="E22" s="108"/>
      <c r="F22" s="108"/>
      <c r="G22" s="108"/>
      <c r="H22" s="108"/>
      <c r="I22" s="108"/>
      <c r="J22" s="108"/>
      <c r="K22" s="108"/>
      <c r="L22" s="108"/>
      <c r="M22" s="108"/>
      <c r="N22" s="108"/>
      <c r="O22" s="108"/>
      <c r="P22" s="108"/>
      <c r="Q22" s="108"/>
      <c r="R22" s="108"/>
      <c r="S22" s="108"/>
      <c r="T22" s="108"/>
      <c r="U22" s="108"/>
      <c r="V22" s="108"/>
      <c r="W22" s="108"/>
      <c r="X22" s="108"/>
      <c r="Y22" s="108"/>
      <c r="Z22" s="108"/>
      <c r="AA22" s="108"/>
      <c r="AB22" s="108"/>
    </row>
    <row r="23" spans="1:41" ht="18" x14ac:dyDescent="0.25">
      <c r="A23" s="108"/>
      <c r="B23" s="108"/>
      <c r="C23" s="108"/>
      <c r="D23" s="108"/>
      <c r="E23" s="108"/>
      <c r="F23" s="108"/>
      <c r="G23" s="108"/>
      <c r="H23" s="108"/>
      <c r="I23" s="108"/>
      <c r="J23" s="108"/>
      <c r="K23" s="108"/>
      <c r="L23" s="108"/>
      <c r="M23" s="108"/>
      <c r="N23" s="108"/>
      <c r="O23" s="108"/>
      <c r="P23" s="108"/>
      <c r="Q23" s="108"/>
      <c r="R23" s="108"/>
      <c r="S23" s="108"/>
      <c r="T23" s="108"/>
      <c r="U23" s="108"/>
      <c r="V23" s="108"/>
      <c r="W23" s="108"/>
      <c r="X23" s="108"/>
      <c r="Y23" s="108"/>
      <c r="Z23" s="108"/>
      <c r="AA23" s="108"/>
      <c r="AB23" s="108"/>
    </row>
    <row r="24" spans="1:41" ht="15" x14ac:dyDescent="0.25">
      <c r="D24" s="94" t="s">
        <v>521</v>
      </c>
      <c r="E24" s="91"/>
      <c r="F24" s="91"/>
      <c r="G24" s="91"/>
      <c r="H24" s="91"/>
      <c r="I24" s="91"/>
      <c r="J24" s="91"/>
      <c r="K24" s="91"/>
      <c r="L24" s="91"/>
      <c r="M24" s="91"/>
      <c r="N24" s="91"/>
      <c r="O24" s="91"/>
      <c r="P24" s="91"/>
      <c r="Q24" s="91"/>
      <c r="R24" s="91"/>
      <c r="S24" s="91"/>
      <c r="T24" s="91"/>
      <c r="U24" s="91"/>
      <c r="V24" s="91"/>
      <c r="W24" s="91"/>
      <c r="X24" s="91"/>
      <c r="Y24" s="94" t="s">
        <v>153</v>
      </c>
      <c r="Z24" s="91"/>
      <c r="AA24" s="91"/>
      <c r="AB24" s="91"/>
    </row>
    <row r="25" spans="1:41" ht="15" x14ac:dyDescent="0.25">
      <c r="D25" s="94" t="s">
        <v>542</v>
      </c>
      <c r="E25" s="94"/>
      <c r="F25" s="94"/>
      <c r="G25" s="94"/>
      <c r="H25" s="94"/>
      <c r="I25" s="94"/>
      <c r="J25" s="94"/>
      <c r="K25" s="94"/>
      <c r="L25" s="94"/>
      <c r="M25" s="91"/>
      <c r="N25" s="91"/>
      <c r="O25" s="91"/>
      <c r="P25" s="91"/>
      <c r="Q25" s="91"/>
      <c r="R25" s="91"/>
      <c r="S25" s="91"/>
      <c r="T25" s="91"/>
      <c r="U25" s="91"/>
      <c r="V25" s="91"/>
      <c r="W25" s="91"/>
      <c r="X25" s="91"/>
      <c r="Y25" s="94" t="s">
        <v>222</v>
      </c>
      <c r="Z25" s="91"/>
      <c r="AA25" s="94"/>
      <c r="AB25" s="94"/>
      <c r="AC25" s="85"/>
      <c r="AD25" s="85"/>
      <c r="AE25" s="85"/>
      <c r="AF25" s="85"/>
      <c r="AG25" s="85"/>
      <c r="AH25" s="85"/>
      <c r="AI25" s="85"/>
      <c r="AJ25" s="85"/>
      <c r="AK25" s="85"/>
      <c r="AN25" s="85"/>
      <c r="AO25" s="85"/>
    </row>
    <row r="26" spans="1:41" ht="14.25" x14ac:dyDescent="0.2">
      <c r="D26" s="91"/>
      <c r="E26" s="91"/>
      <c r="F26" s="91"/>
      <c r="G26" s="91"/>
      <c r="H26" s="91"/>
      <c r="I26" s="91"/>
      <c r="J26" s="91"/>
      <c r="K26" s="91"/>
      <c r="L26" s="91"/>
      <c r="M26" s="91"/>
      <c r="N26" s="91"/>
      <c r="O26" s="91"/>
      <c r="P26" s="91"/>
      <c r="Q26" s="91"/>
      <c r="R26" s="91"/>
      <c r="S26" s="91"/>
      <c r="T26" s="91"/>
      <c r="U26" s="91"/>
      <c r="V26" s="91"/>
      <c r="W26" s="91"/>
      <c r="X26" s="91"/>
      <c r="Y26" s="91"/>
      <c r="Z26" s="91"/>
      <c r="AA26" s="91"/>
      <c r="AB26" s="91"/>
    </row>
  </sheetData>
  <mergeCells count="7">
    <mergeCell ref="A18:J18"/>
    <mergeCell ref="A1:AC1"/>
    <mergeCell ref="A2:AC2"/>
    <mergeCell ref="A3:AC3"/>
    <mergeCell ref="K5:M5"/>
    <mergeCell ref="P5:U5"/>
    <mergeCell ref="Y5:AA5"/>
  </mergeCells>
  <dataValidations count="1">
    <dataValidation allowBlank="1" showInputMessage="1" showErrorMessage="1" prompt="Captura el nombre asignado o el nombre como se le identifica a la plaza (ejem. Jefe de Ingresos, Secretario Particular, Oficial Mayor, etc.)" sqref="D16:F17" xr:uid="{00000000-0002-0000-0B00-000000000000}"/>
  </dataValidations>
  <pageMargins left="0.27559055118110237" right="0.27559055118110237" top="0.55118110236220474" bottom="0.15748031496062992" header="0.31496062992125984" footer="0.31496062992125984"/>
  <pageSetup scale="42" orientation="landscape" horizontalDpi="4294967293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C36"/>
  <sheetViews>
    <sheetView topLeftCell="B1" zoomScale="70" zoomScaleNormal="70" workbookViewId="0">
      <pane ySplit="1" topLeftCell="A17" activePane="bottomLeft" state="frozen"/>
      <selection activeCell="B1" sqref="B1"/>
      <selection pane="bottomLeft" activeCell="A3" sqref="A3:AC3"/>
    </sheetView>
  </sheetViews>
  <sheetFormatPr baseColWidth="10" defaultColWidth="11.42578125" defaultRowHeight="12.75" x14ac:dyDescent="0.2"/>
  <cols>
    <col min="1" max="1" width="5.5703125" hidden="1" customWidth="1"/>
    <col min="2" max="2" width="12.140625" customWidth="1"/>
    <col min="3" max="3" width="10" customWidth="1"/>
    <col min="4" max="4" width="37" customWidth="1"/>
    <col min="5" max="5" width="24" customWidth="1"/>
    <col min="6" max="6" width="32.5703125" customWidth="1"/>
    <col min="7" max="7" width="17.140625" customWidth="1"/>
    <col min="8" max="8" width="26.28515625" customWidth="1"/>
    <col min="9" max="9" width="6.42578125" hidden="1" customWidth="1"/>
    <col min="10" max="10" width="10" hidden="1" customWidth="1"/>
    <col min="11" max="11" width="13.42578125" customWidth="1"/>
    <col min="12" max="12" width="10.28515625" customWidth="1"/>
    <col min="13" max="13" width="14.42578125" bestFit="1" customWidth="1"/>
    <col min="14" max="14" width="11.7109375" hidden="1" customWidth="1"/>
    <col min="15" max="17" width="14.42578125" hidden="1" customWidth="1"/>
    <col min="18" max="18" width="13.42578125" hidden="1" customWidth="1"/>
    <col min="19" max="20" width="12.85546875" hidden="1" customWidth="1"/>
    <col min="21" max="21" width="14.42578125" hidden="1" customWidth="1"/>
    <col min="22" max="22" width="11" hidden="1" customWidth="1"/>
    <col min="23" max="23" width="14.42578125" hidden="1" customWidth="1"/>
    <col min="24" max="24" width="12.85546875" bestFit="1" customWidth="1"/>
    <col min="25" max="25" width="14.28515625" customWidth="1"/>
    <col min="26" max="26" width="13.28515625" customWidth="1"/>
    <col min="27" max="27" width="13.85546875" customWidth="1"/>
    <col min="28" max="28" width="13.7109375" customWidth="1"/>
    <col min="29" max="29" width="75.140625" customWidth="1"/>
  </cols>
  <sheetData>
    <row r="1" spans="1:29" ht="19.5" x14ac:dyDescent="0.25">
      <c r="A1" s="455" t="s">
        <v>76</v>
      </c>
      <c r="B1" s="455"/>
      <c r="C1" s="455"/>
      <c r="D1" s="455"/>
      <c r="E1" s="455"/>
      <c r="F1" s="455"/>
      <c r="G1" s="455"/>
      <c r="H1" s="455"/>
      <c r="I1" s="455"/>
      <c r="J1" s="455"/>
      <c r="K1" s="455"/>
      <c r="L1" s="455"/>
      <c r="M1" s="455"/>
      <c r="N1" s="455"/>
      <c r="O1" s="455"/>
      <c r="P1" s="455"/>
      <c r="Q1" s="455"/>
      <c r="R1" s="455"/>
      <c r="S1" s="455"/>
      <c r="T1" s="455"/>
      <c r="U1" s="455"/>
      <c r="V1" s="455"/>
      <c r="W1" s="455"/>
      <c r="X1" s="455"/>
      <c r="Y1" s="455"/>
      <c r="Z1" s="455"/>
      <c r="AA1" s="455"/>
      <c r="AB1" s="455"/>
      <c r="AC1" s="455"/>
    </row>
    <row r="2" spans="1:29" ht="19.5" x14ac:dyDescent="0.25">
      <c r="A2" s="455" t="s">
        <v>64</v>
      </c>
      <c r="B2" s="455"/>
      <c r="C2" s="455"/>
      <c r="D2" s="455"/>
      <c r="E2" s="455"/>
      <c r="F2" s="455"/>
      <c r="G2" s="455"/>
      <c r="H2" s="455"/>
      <c r="I2" s="455"/>
      <c r="J2" s="455"/>
      <c r="K2" s="455"/>
      <c r="L2" s="455"/>
      <c r="M2" s="455"/>
      <c r="N2" s="455"/>
      <c r="O2" s="455"/>
      <c r="P2" s="455"/>
      <c r="Q2" s="455"/>
      <c r="R2" s="455"/>
      <c r="S2" s="455"/>
      <c r="T2" s="455"/>
      <c r="U2" s="455"/>
      <c r="V2" s="455"/>
      <c r="W2" s="455"/>
      <c r="X2" s="455"/>
      <c r="Y2" s="455"/>
      <c r="Z2" s="455"/>
      <c r="AA2" s="455"/>
      <c r="AB2" s="455"/>
      <c r="AC2" s="455"/>
    </row>
    <row r="3" spans="1:29" ht="19.5" x14ac:dyDescent="0.25">
      <c r="A3" s="456" t="s">
        <v>674</v>
      </c>
      <c r="B3" s="456"/>
      <c r="C3" s="456"/>
      <c r="D3" s="456"/>
      <c r="E3" s="456"/>
      <c r="F3" s="456"/>
      <c r="G3" s="456"/>
      <c r="H3" s="456"/>
      <c r="I3" s="456"/>
      <c r="J3" s="456"/>
      <c r="K3" s="456"/>
      <c r="L3" s="456"/>
      <c r="M3" s="456"/>
      <c r="N3" s="456"/>
      <c r="O3" s="456"/>
      <c r="P3" s="456"/>
      <c r="Q3" s="456"/>
      <c r="R3" s="456"/>
      <c r="S3" s="456"/>
      <c r="T3" s="456"/>
      <c r="U3" s="456"/>
      <c r="V3" s="456"/>
      <c r="W3" s="456"/>
      <c r="X3" s="456"/>
      <c r="Y3" s="456"/>
      <c r="Z3" s="456"/>
      <c r="AA3" s="456"/>
      <c r="AB3" s="456"/>
      <c r="AC3" s="456"/>
    </row>
    <row r="4" spans="1:29" ht="12" customHeight="1" x14ac:dyDescent="0.2">
      <c r="A4" s="41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  <c r="X4" s="88"/>
      <c r="Y4" s="88"/>
      <c r="Z4" s="88"/>
      <c r="AA4" s="88"/>
      <c r="AB4" s="88"/>
      <c r="AC4" s="88"/>
    </row>
    <row r="5" spans="1:29" s="52" customFormat="1" ht="15.75" x14ac:dyDescent="0.25">
      <c r="A5" s="48"/>
      <c r="B5" s="114"/>
      <c r="C5" s="114"/>
      <c r="D5" s="114"/>
      <c r="E5" s="114"/>
      <c r="F5" s="114"/>
      <c r="G5" s="114"/>
      <c r="H5" s="189"/>
      <c r="I5" s="115" t="s">
        <v>22</v>
      </c>
      <c r="J5" s="192" t="s">
        <v>5</v>
      </c>
      <c r="K5" s="457" t="s">
        <v>1</v>
      </c>
      <c r="L5" s="458"/>
      <c r="M5" s="459"/>
      <c r="N5" s="116" t="s">
        <v>25</v>
      </c>
      <c r="O5" s="117"/>
      <c r="P5" s="460" t="s">
        <v>8</v>
      </c>
      <c r="Q5" s="461"/>
      <c r="R5" s="461"/>
      <c r="S5" s="461"/>
      <c r="T5" s="461"/>
      <c r="U5" s="462"/>
      <c r="V5" s="116" t="s">
        <v>52</v>
      </c>
      <c r="W5" s="116" t="s">
        <v>9</v>
      </c>
      <c r="X5" s="115" t="s">
        <v>52</v>
      </c>
      <c r="Y5" s="463" t="s">
        <v>2</v>
      </c>
      <c r="Z5" s="464"/>
      <c r="AA5" s="465"/>
      <c r="AB5" s="115" t="s">
        <v>0</v>
      </c>
      <c r="AC5" s="48"/>
    </row>
    <row r="6" spans="1:29" s="52" customFormat="1" ht="29.25" customHeight="1" x14ac:dyDescent="0.25">
      <c r="A6" s="53" t="s">
        <v>20</v>
      </c>
      <c r="B6" s="118" t="s">
        <v>97</v>
      </c>
      <c r="C6" s="118" t="s">
        <v>124</v>
      </c>
      <c r="D6" s="119" t="s">
        <v>21</v>
      </c>
      <c r="E6" s="119" t="s">
        <v>98</v>
      </c>
      <c r="F6" s="119" t="s">
        <v>229</v>
      </c>
      <c r="G6" s="118" t="s">
        <v>291</v>
      </c>
      <c r="H6" s="190" t="s">
        <v>61</v>
      </c>
      <c r="I6" s="195" t="s">
        <v>23</v>
      </c>
      <c r="J6" s="193" t="s">
        <v>24</v>
      </c>
      <c r="K6" s="115" t="s">
        <v>5</v>
      </c>
      <c r="L6" s="115" t="s">
        <v>58</v>
      </c>
      <c r="M6" s="115" t="s">
        <v>27</v>
      </c>
      <c r="N6" s="120" t="s">
        <v>26</v>
      </c>
      <c r="O6" s="117" t="s">
        <v>31</v>
      </c>
      <c r="P6" s="117" t="s">
        <v>11</v>
      </c>
      <c r="Q6" s="117" t="s">
        <v>33</v>
      </c>
      <c r="R6" s="117" t="s">
        <v>35</v>
      </c>
      <c r="S6" s="117" t="s">
        <v>36</v>
      </c>
      <c r="T6" s="117" t="s">
        <v>13</v>
      </c>
      <c r="U6" s="117" t="s">
        <v>9</v>
      </c>
      <c r="V6" s="120" t="s">
        <v>39</v>
      </c>
      <c r="W6" s="120" t="s">
        <v>40</v>
      </c>
      <c r="X6" s="119" t="s">
        <v>30</v>
      </c>
      <c r="Y6" s="115" t="s">
        <v>281</v>
      </c>
      <c r="Z6" s="115" t="s">
        <v>56</v>
      </c>
      <c r="AA6" s="115" t="s">
        <v>6</v>
      </c>
      <c r="AB6" s="119" t="s">
        <v>3</v>
      </c>
      <c r="AC6" s="53" t="s">
        <v>57</v>
      </c>
    </row>
    <row r="7" spans="1:29" s="52" customFormat="1" ht="15.75" x14ac:dyDescent="0.25">
      <c r="A7" s="62"/>
      <c r="B7" s="121"/>
      <c r="C7" s="121"/>
      <c r="D7" s="122"/>
      <c r="E7" s="122"/>
      <c r="F7" s="122"/>
      <c r="G7" s="122"/>
      <c r="H7" s="191"/>
      <c r="I7" s="122"/>
      <c r="J7" s="194"/>
      <c r="K7" s="122" t="s">
        <v>46</v>
      </c>
      <c r="L7" s="122" t="s">
        <v>59</v>
      </c>
      <c r="M7" s="122" t="s">
        <v>28</v>
      </c>
      <c r="N7" s="123" t="s">
        <v>42</v>
      </c>
      <c r="O7" s="116" t="s">
        <v>32</v>
      </c>
      <c r="P7" s="116" t="s">
        <v>12</v>
      </c>
      <c r="Q7" s="116" t="s">
        <v>34</v>
      </c>
      <c r="R7" s="116" t="s">
        <v>34</v>
      </c>
      <c r="S7" s="116" t="s">
        <v>37</v>
      </c>
      <c r="T7" s="116" t="s">
        <v>14</v>
      </c>
      <c r="U7" s="116" t="s">
        <v>38</v>
      </c>
      <c r="V7" s="120" t="s">
        <v>51</v>
      </c>
      <c r="W7" s="124" t="s">
        <v>204</v>
      </c>
      <c r="X7" s="122" t="s">
        <v>51</v>
      </c>
      <c r="Y7" s="122"/>
      <c r="Z7" s="122"/>
      <c r="AA7" s="122" t="s">
        <v>43</v>
      </c>
      <c r="AB7" s="122" t="s">
        <v>4</v>
      </c>
      <c r="AC7" s="58"/>
    </row>
    <row r="8" spans="1:29" s="52" customFormat="1" ht="25.5" customHeight="1" x14ac:dyDescent="0.25">
      <c r="A8" s="160"/>
      <c r="B8" s="398" t="s">
        <v>97</v>
      </c>
      <c r="C8" s="398" t="s">
        <v>124</v>
      </c>
      <c r="D8" s="164" t="s">
        <v>62</v>
      </c>
      <c r="E8" s="160" t="s">
        <v>98</v>
      </c>
      <c r="F8" s="160" t="s">
        <v>229</v>
      </c>
      <c r="G8" s="398" t="s">
        <v>291</v>
      </c>
      <c r="H8" s="160" t="s">
        <v>61</v>
      </c>
      <c r="I8" s="160"/>
      <c r="J8" s="160"/>
      <c r="K8" s="165">
        <f>SUM(K9:K11)</f>
        <v>50268.5</v>
      </c>
      <c r="L8" s="165">
        <f>SUM(L9:L11)</f>
        <v>0</v>
      </c>
      <c r="M8" s="165">
        <f>SUM(M9:M11)</f>
        <v>50268.5</v>
      </c>
      <c r="N8" s="160"/>
      <c r="O8" s="160"/>
      <c r="P8" s="160"/>
      <c r="Q8" s="160"/>
      <c r="R8" s="160"/>
      <c r="S8" s="160"/>
      <c r="T8" s="160"/>
      <c r="U8" s="160"/>
      <c r="V8" s="160"/>
      <c r="W8" s="166"/>
      <c r="X8" s="165">
        <f>SUM(X9:X11)</f>
        <v>0</v>
      </c>
      <c r="Y8" s="165">
        <f>SUM(Y9:Y11)</f>
        <v>8965.6699999999983</v>
      </c>
      <c r="Z8" s="165">
        <f>SUM(Z9:Z11)</f>
        <v>0</v>
      </c>
      <c r="AA8" s="165">
        <f>SUM(AA9:AA11)</f>
        <v>8965.6699999999983</v>
      </c>
      <c r="AB8" s="165">
        <f>SUM(AB9:AB11)</f>
        <v>41302.83</v>
      </c>
      <c r="AC8" s="65"/>
    </row>
    <row r="9" spans="1:29" s="305" customFormat="1" ht="265.5" customHeight="1" x14ac:dyDescent="0.2">
      <c r="A9" s="269" t="s">
        <v>83</v>
      </c>
      <c r="B9" s="268" t="s">
        <v>438</v>
      </c>
      <c r="C9" s="269" t="s">
        <v>118</v>
      </c>
      <c r="D9" s="270" t="s">
        <v>436</v>
      </c>
      <c r="E9" s="271" t="s">
        <v>437</v>
      </c>
      <c r="F9" s="295" t="s">
        <v>439</v>
      </c>
      <c r="G9" s="296">
        <v>45566</v>
      </c>
      <c r="H9" s="288" t="s">
        <v>199</v>
      </c>
      <c r="I9" s="289">
        <v>15</v>
      </c>
      <c r="J9" s="306">
        <v>1959.4669999999999</v>
      </c>
      <c r="K9" s="297">
        <v>29392</v>
      </c>
      <c r="L9" s="298">
        <v>0</v>
      </c>
      <c r="M9" s="299">
        <f>SUM(K9:L9)</f>
        <v>29392</v>
      </c>
      <c r="N9" s="300">
        <f>IF(K9/15&lt;=SMG,0,L9/2)</f>
        <v>0</v>
      </c>
      <c r="O9" s="321">
        <f>(K9+N9)/I9*30.4</f>
        <v>59567.786666666667</v>
      </c>
      <c r="P9" s="321">
        <f>VLOOKUP(O9,Tarifa,1)</f>
        <v>49233.01</v>
      </c>
      <c r="Q9" s="300">
        <f>O9-P9</f>
        <v>10334.776666666665</v>
      </c>
      <c r="R9" s="301">
        <f>VLOOKUP(O9,Tarifa,3)</f>
        <v>0.3</v>
      </c>
      <c r="S9" s="300">
        <f>Q9*R9</f>
        <v>3100.4329999999995</v>
      </c>
      <c r="T9" s="302">
        <f>VLOOKUP(O9,Tarifa,2)</f>
        <v>9236.89</v>
      </c>
      <c r="U9" s="300">
        <f>S9+T9</f>
        <v>12337.322999999999</v>
      </c>
      <c r="V9" s="300">
        <f>VLOOKUP(O9,Credito,2)</f>
        <v>0</v>
      </c>
      <c r="W9" s="300">
        <f>ROUND((U9-V9)/30.4*I9,2)</f>
        <v>6087.49</v>
      </c>
      <c r="X9" s="299">
        <f>-IF(W9&gt;0,0,0)</f>
        <v>0</v>
      </c>
      <c r="Y9" s="299">
        <f>IF(K9/15&lt;=SMG,0,IF(W9&lt;0,0,W9))</f>
        <v>6087.49</v>
      </c>
      <c r="Z9" s="303">
        <v>0</v>
      </c>
      <c r="AA9" s="299">
        <f>SUM(Y9:Z9)</f>
        <v>6087.49</v>
      </c>
      <c r="AB9" s="299">
        <f>M9+X9-AA9</f>
        <v>23304.510000000002</v>
      </c>
      <c r="AC9" s="304"/>
    </row>
    <row r="10" spans="1:29" s="305" customFormat="1" ht="265.5" customHeight="1" x14ac:dyDescent="0.2">
      <c r="A10" s="269" t="s">
        <v>84</v>
      </c>
      <c r="B10" s="268" t="s">
        <v>201</v>
      </c>
      <c r="C10" s="269" t="s">
        <v>118</v>
      </c>
      <c r="D10" s="270" t="s">
        <v>202</v>
      </c>
      <c r="E10" s="271" t="s">
        <v>203</v>
      </c>
      <c r="F10" s="271" t="s">
        <v>243</v>
      </c>
      <c r="G10" s="296">
        <v>45566</v>
      </c>
      <c r="H10" s="288" t="s">
        <v>200</v>
      </c>
      <c r="I10" s="289">
        <v>15</v>
      </c>
      <c r="J10" s="306">
        <v>993.23399999999992</v>
      </c>
      <c r="K10" s="297">
        <v>14898.5</v>
      </c>
      <c r="L10" s="298">
        <v>0</v>
      </c>
      <c r="M10" s="299">
        <f>SUM(K10:L10)</f>
        <v>14898.5</v>
      </c>
      <c r="N10" s="300">
        <f>IF(K10/15&lt;=SMG,0,L10/2)</f>
        <v>0</v>
      </c>
      <c r="O10" s="321">
        <f>(K10+N10)/I10*30.4</f>
        <v>30194.293333333331</v>
      </c>
      <c r="P10" s="321">
        <f>VLOOKUP(O10,Tarifa,1)</f>
        <v>15487.72</v>
      </c>
      <c r="Q10" s="300">
        <f>O10-P10</f>
        <v>14706.573333333332</v>
      </c>
      <c r="R10" s="301">
        <f>VLOOKUP(O10,Tarifa,3)</f>
        <v>0.21360000000000001</v>
      </c>
      <c r="S10" s="300">
        <f>Q10*R10</f>
        <v>3141.3240639999999</v>
      </c>
      <c r="T10" s="302">
        <f>VLOOKUP(O10,Tarifa,2)</f>
        <v>1640.18</v>
      </c>
      <c r="U10" s="300">
        <f>S10+T10</f>
        <v>4781.5040639999997</v>
      </c>
      <c r="V10" s="300">
        <f>VLOOKUP(O10,Credito,2)</f>
        <v>0</v>
      </c>
      <c r="W10" s="300">
        <f>ROUND((U10-V10)/30.4*I10,2)</f>
        <v>2359.29</v>
      </c>
      <c r="X10" s="299">
        <f>-IF(W10&gt;0,0,0)</f>
        <v>0</v>
      </c>
      <c r="Y10" s="299">
        <f>IF(K10/15&lt;=SMG,0,IF(W10&lt;0,0,W10))</f>
        <v>2359.29</v>
      </c>
      <c r="Z10" s="303">
        <v>0</v>
      </c>
      <c r="AA10" s="299">
        <f>SUM(Y10:Z10)</f>
        <v>2359.29</v>
      </c>
      <c r="AB10" s="299">
        <f>M10+X10-AA10</f>
        <v>12539.21</v>
      </c>
      <c r="AC10" s="304"/>
    </row>
    <row r="11" spans="1:29" s="305" customFormat="1" ht="265.5" customHeight="1" x14ac:dyDescent="0.2">
      <c r="A11" s="269"/>
      <c r="B11" s="269" t="s">
        <v>105</v>
      </c>
      <c r="C11" s="268" t="s">
        <v>118</v>
      </c>
      <c r="D11" s="270" t="s">
        <v>65</v>
      </c>
      <c r="E11" s="271" t="s">
        <v>106</v>
      </c>
      <c r="F11" s="295" t="s">
        <v>231</v>
      </c>
      <c r="G11" s="296">
        <v>40026</v>
      </c>
      <c r="H11" s="271" t="s">
        <v>63</v>
      </c>
      <c r="I11" s="289">
        <v>15</v>
      </c>
      <c r="J11" s="306">
        <v>398.53399999999999</v>
      </c>
      <c r="K11" s="297">
        <v>5978</v>
      </c>
      <c r="L11" s="298">
        <v>0</v>
      </c>
      <c r="M11" s="299">
        <f>SUM(K11:L11)</f>
        <v>5978</v>
      </c>
      <c r="N11" s="300">
        <f>IF(K11/15&lt;=SMG,0,L11/2)</f>
        <v>0</v>
      </c>
      <c r="O11" s="321">
        <f>(K11+N11)/I11*30.4</f>
        <v>12115.413333333334</v>
      </c>
      <c r="P11" s="321">
        <f>VLOOKUP(O11,Tarifa,1)</f>
        <v>11128.02</v>
      </c>
      <c r="Q11" s="300">
        <f>O11-P11</f>
        <v>987.39333333333343</v>
      </c>
      <c r="R11" s="301">
        <f>VLOOKUP(O11,Tarifa,3)</f>
        <v>0.16</v>
      </c>
      <c r="S11" s="300">
        <f>Q11*R11</f>
        <v>157.98293333333336</v>
      </c>
      <c r="T11" s="302">
        <f>VLOOKUP(O11,Tarifa,2)</f>
        <v>893.63</v>
      </c>
      <c r="U11" s="300">
        <f>S11+T11</f>
        <v>1051.6129333333333</v>
      </c>
      <c r="V11" s="300">
        <f>VLOOKUP(O11,Credito,2)</f>
        <v>0</v>
      </c>
      <c r="W11" s="300">
        <f>ROUND((U11-V11)/30.4*I11,2)</f>
        <v>518.89</v>
      </c>
      <c r="X11" s="299">
        <f>-IF(W11&gt;0,0,0)</f>
        <v>0</v>
      </c>
      <c r="Y11" s="299">
        <f>IF(K11/15&lt;=SMG,0,IF(W11&lt;0,0,W11))</f>
        <v>518.89</v>
      </c>
      <c r="Z11" s="303">
        <v>0</v>
      </c>
      <c r="AA11" s="299">
        <f>SUM(Y11:Z11)</f>
        <v>518.89</v>
      </c>
      <c r="AB11" s="299">
        <f>M11+X11-AA11-Z11</f>
        <v>5459.11</v>
      </c>
      <c r="AC11" s="304"/>
    </row>
    <row r="12" spans="1:29" s="52" customFormat="1" ht="30.75" customHeight="1" x14ac:dyDescent="0.25">
      <c r="A12" s="133"/>
      <c r="B12" s="398" t="s">
        <v>97</v>
      </c>
      <c r="C12" s="398" t="s">
        <v>124</v>
      </c>
      <c r="D12" s="164" t="s">
        <v>121</v>
      </c>
      <c r="E12" s="160" t="s">
        <v>98</v>
      </c>
      <c r="F12" s="160" t="s">
        <v>229</v>
      </c>
      <c r="G12" s="398" t="s">
        <v>291</v>
      </c>
      <c r="H12" s="160" t="s">
        <v>61</v>
      </c>
      <c r="I12" s="160"/>
      <c r="J12" s="160"/>
      <c r="K12" s="165">
        <f>K13</f>
        <v>5944.5</v>
      </c>
      <c r="L12" s="165">
        <f>L13</f>
        <v>0</v>
      </c>
      <c r="M12" s="165">
        <f>M13</f>
        <v>5944.5</v>
      </c>
      <c r="N12" s="160"/>
      <c r="O12" s="160"/>
      <c r="P12" s="160"/>
      <c r="Q12" s="160"/>
      <c r="R12" s="160"/>
      <c r="S12" s="160"/>
      <c r="T12" s="167"/>
      <c r="U12" s="160"/>
      <c r="V12" s="160"/>
      <c r="W12" s="166"/>
      <c r="X12" s="165">
        <f>X13</f>
        <v>0</v>
      </c>
      <c r="Y12" s="165">
        <f>Y13</f>
        <v>513.53</v>
      </c>
      <c r="Z12" s="165">
        <f>Z13</f>
        <v>0</v>
      </c>
      <c r="AA12" s="165">
        <f>AA13</f>
        <v>513.53</v>
      </c>
      <c r="AB12" s="165">
        <f>AB13</f>
        <v>5430.97</v>
      </c>
      <c r="AC12" s="65"/>
    </row>
    <row r="13" spans="1:29" s="305" customFormat="1" ht="266.25" customHeight="1" x14ac:dyDescent="0.2">
      <c r="A13" s="269" t="s">
        <v>87</v>
      </c>
      <c r="B13" s="269" t="s">
        <v>207</v>
      </c>
      <c r="C13" s="269" t="s">
        <v>359</v>
      </c>
      <c r="D13" s="270" t="s">
        <v>209</v>
      </c>
      <c r="E13" s="293" t="s">
        <v>210</v>
      </c>
      <c r="F13" s="295" t="s">
        <v>257</v>
      </c>
      <c r="G13" s="296">
        <v>44470</v>
      </c>
      <c r="H13" s="288" t="s">
        <v>276</v>
      </c>
      <c r="I13" s="289">
        <v>15</v>
      </c>
      <c r="J13" s="306">
        <v>396.3</v>
      </c>
      <c r="K13" s="297">
        <v>5944.5</v>
      </c>
      <c r="L13" s="298">
        <v>0</v>
      </c>
      <c r="M13" s="299">
        <f>SUM(K13:L13)</f>
        <v>5944.5</v>
      </c>
      <c r="N13" s="300">
        <f>IF(K13/15&lt;=SMG,0,L13/2)</f>
        <v>0</v>
      </c>
      <c r="O13" s="321">
        <f>(K13+N13)/I13*30.4</f>
        <v>12047.52</v>
      </c>
      <c r="P13" s="321">
        <f>VLOOKUP(O13,Tarifa,1)</f>
        <v>11128.02</v>
      </c>
      <c r="Q13" s="300">
        <f>O13-P13</f>
        <v>919.5</v>
      </c>
      <c r="R13" s="301">
        <f>VLOOKUP(O13,Tarifa,3)</f>
        <v>0.16</v>
      </c>
      <c r="S13" s="300">
        <f>Q13*R13</f>
        <v>147.12</v>
      </c>
      <c r="T13" s="302">
        <f>VLOOKUP(O13,Tarifa,2)</f>
        <v>893.63</v>
      </c>
      <c r="U13" s="300">
        <f>S13+T13</f>
        <v>1040.75</v>
      </c>
      <c r="V13" s="300">
        <f>VLOOKUP(O13,Credito,2)</f>
        <v>0</v>
      </c>
      <c r="W13" s="300">
        <f>ROUND((U13-V13)/30.4*I13,2)</f>
        <v>513.53</v>
      </c>
      <c r="X13" s="299">
        <f>-IF(W13&gt;0,0,0)</f>
        <v>0</v>
      </c>
      <c r="Y13" s="299">
        <f>IF(K13/15&lt;=SMG,0,IF(W13&lt;0,0,W13))</f>
        <v>513.53</v>
      </c>
      <c r="Z13" s="303">
        <v>0</v>
      </c>
      <c r="AA13" s="299">
        <f>SUM(Y13:Z13)</f>
        <v>513.53</v>
      </c>
      <c r="AB13" s="299">
        <f>M13+X13-AA13</f>
        <v>5430.97</v>
      </c>
      <c r="AC13" s="304"/>
    </row>
    <row r="14" spans="1:29" s="305" customFormat="1" ht="23.25" customHeight="1" x14ac:dyDescent="0.2">
      <c r="A14" s="405"/>
      <c r="B14" s="380"/>
      <c r="C14" s="380"/>
      <c r="D14" s="400"/>
      <c r="E14" s="406"/>
      <c r="F14" s="407"/>
      <c r="G14" s="408"/>
      <c r="H14" s="409"/>
      <c r="I14" s="410"/>
      <c r="J14" s="411"/>
      <c r="K14" s="412"/>
      <c r="L14" s="413"/>
      <c r="M14" s="414"/>
      <c r="N14" s="401"/>
      <c r="O14" s="402"/>
      <c r="P14" s="402"/>
      <c r="Q14" s="401"/>
      <c r="R14" s="403"/>
      <c r="S14" s="401"/>
      <c r="T14" s="404"/>
      <c r="U14" s="401"/>
      <c r="V14" s="401"/>
      <c r="W14" s="401"/>
      <c r="X14" s="414"/>
      <c r="Y14" s="414"/>
      <c r="Z14" s="415"/>
      <c r="AA14" s="414"/>
      <c r="AB14" s="414"/>
    </row>
    <row r="15" spans="1:29" s="305" customFormat="1" ht="23.25" customHeight="1" x14ac:dyDescent="0.2">
      <c r="A15" s="405"/>
      <c r="B15" s="380"/>
      <c r="C15" s="380"/>
      <c r="D15" s="400"/>
      <c r="E15" s="406"/>
      <c r="F15" s="407"/>
      <c r="G15" s="408"/>
      <c r="H15" s="409"/>
      <c r="I15" s="410"/>
      <c r="J15" s="411"/>
      <c r="K15" s="412"/>
      <c r="L15" s="413"/>
      <c r="M15" s="414"/>
      <c r="N15" s="401"/>
      <c r="O15" s="402"/>
      <c r="P15" s="402"/>
      <c r="Q15" s="401"/>
      <c r="R15" s="403"/>
      <c r="S15" s="401"/>
      <c r="T15" s="404"/>
      <c r="U15" s="401"/>
      <c r="V15" s="401"/>
      <c r="W15" s="401"/>
      <c r="X15" s="414"/>
      <c r="Y15" s="414"/>
      <c r="Z15" s="415"/>
      <c r="AA15" s="414"/>
      <c r="AB15" s="414"/>
    </row>
    <row r="16" spans="1:29" s="305" customFormat="1" ht="23.25" customHeight="1" x14ac:dyDescent="0.2">
      <c r="A16" s="405"/>
      <c r="B16" s="380"/>
      <c r="C16" s="380"/>
      <c r="D16" s="400"/>
      <c r="E16" s="406"/>
      <c r="F16" s="407"/>
      <c r="G16" s="408"/>
      <c r="H16" s="409"/>
      <c r="I16" s="410"/>
      <c r="J16" s="411"/>
      <c r="K16" s="412"/>
      <c r="L16" s="413"/>
      <c r="M16" s="414"/>
      <c r="N16" s="401"/>
      <c r="O16" s="402"/>
      <c r="P16" s="402"/>
      <c r="Q16" s="401"/>
      <c r="R16" s="403"/>
      <c r="S16" s="401"/>
      <c r="T16" s="404"/>
      <c r="U16" s="401"/>
      <c r="V16" s="401"/>
      <c r="W16" s="401"/>
      <c r="X16" s="414"/>
      <c r="Y16" s="414"/>
      <c r="Z16" s="415"/>
      <c r="AA16" s="414"/>
      <c r="AB16" s="414"/>
    </row>
    <row r="17" spans="1:29" s="305" customFormat="1" ht="23.25" customHeight="1" x14ac:dyDescent="0.2">
      <c r="A17" s="405"/>
      <c r="B17" s="380"/>
      <c r="C17" s="380"/>
      <c r="D17" s="400"/>
      <c r="E17" s="406"/>
      <c r="F17" s="407"/>
      <c r="G17" s="408"/>
      <c r="H17" s="409"/>
      <c r="I17" s="410"/>
      <c r="J17" s="411"/>
      <c r="K17" s="412"/>
      <c r="L17" s="413"/>
      <c r="M17" s="414"/>
      <c r="N17" s="401"/>
      <c r="O17" s="402"/>
      <c r="P17" s="402"/>
      <c r="Q17" s="401"/>
      <c r="R17" s="403"/>
      <c r="S17" s="401"/>
      <c r="T17" s="404"/>
      <c r="U17" s="401"/>
      <c r="V17" s="401"/>
      <c r="W17" s="401"/>
      <c r="X17" s="414"/>
      <c r="Y17" s="414"/>
      <c r="Z17" s="415"/>
      <c r="AA17" s="414"/>
      <c r="AB17" s="414"/>
    </row>
    <row r="18" spans="1:29" s="52" customFormat="1" ht="36.75" customHeight="1" x14ac:dyDescent="0.25">
      <c r="A18" s="133"/>
      <c r="B18" s="399" t="s">
        <v>97</v>
      </c>
      <c r="C18" s="399" t="s">
        <v>124</v>
      </c>
      <c r="D18" s="180" t="s">
        <v>122</v>
      </c>
      <c r="E18" s="180" t="s">
        <v>98</v>
      </c>
      <c r="F18" s="180" t="s">
        <v>229</v>
      </c>
      <c r="G18" s="399" t="s">
        <v>291</v>
      </c>
      <c r="H18" s="180" t="s">
        <v>61</v>
      </c>
      <c r="I18" s="180"/>
      <c r="J18" s="180"/>
      <c r="K18" s="181">
        <f>SUM(K19:K20)</f>
        <v>16971.03</v>
      </c>
      <c r="L18" s="181">
        <f>SUM(L19:L20)</f>
        <v>0</v>
      </c>
      <c r="M18" s="181">
        <f>SUM(M19:M20)</f>
        <v>16971.03</v>
      </c>
      <c r="N18" s="180"/>
      <c r="O18" s="180"/>
      <c r="P18" s="180"/>
      <c r="Q18" s="180"/>
      <c r="R18" s="180"/>
      <c r="S18" s="180"/>
      <c r="T18" s="183"/>
      <c r="U18" s="180"/>
      <c r="V18" s="180"/>
      <c r="W18" s="180"/>
      <c r="X18" s="181">
        <f>SUM(X19:X20)</f>
        <v>0</v>
      </c>
      <c r="Y18" s="181">
        <f>SUM(Y19:Y20)</f>
        <v>2060.5100000000002</v>
      </c>
      <c r="Z18" s="181">
        <f>SUM(Z19:Z20)</f>
        <v>0</v>
      </c>
      <c r="AA18" s="181">
        <f>SUM(AA19:AA20)</f>
        <v>2060.5100000000002</v>
      </c>
      <c r="AB18" s="181">
        <f>SUM(AB19:AB20)</f>
        <v>14910.52</v>
      </c>
      <c r="AC18" s="416"/>
    </row>
    <row r="19" spans="1:29" s="305" customFormat="1" ht="207.75" customHeight="1" x14ac:dyDescent="0.2">
      <c r="A19" s="269" t="s">
        <v>88</v>
      </c>
      <c r="B19" s="268" t="s">
        <v>158</v>
      </c>
      <c r="C19" s="269" t="s">
        <v>118</v>
      </c>
      <c r="D19" s="270" t="s">
        <v>138</v>
      </c>
      <c r="E19" s="271" t="s">
        <v>154</v>
      </c>
      <c r="F19" s="295" t="s">
        <v>241</v>
      </c>
      <c r="G19" s="296">
        <v>43374</v>
      </c>
      <c r="H19" s="288" t="s">
        <v>81</v>
      </c>
      <c r="I19" s="289">
        <v>15</v>
      </c>
      <c r="J19" s="306">
        <v>753.43399999999997</v>
      </c>
      <c r="K19" s="297">
        <v>11301.5</v>
      </c>
      <c r="L19" s="298">
        <v>0</v>
      </c>
      <c r="M19" s="299">
        <f>K19</f>
        <v>11301.5</v>
      </c>
      <c r="N19" s="300">
        <f>IF(K19/15&lt;=SMG,0,L19/2)</f>
        <v>0</v>
      </c>
      <c r="O19" s="321">
        <f>(K19+N19)/I19*30.4</f>
        <v>22904.373333333329</v>
      </c>
      <c r="P19" s="321">
        <f>VLOOKUP(O19,Tarifa,1)</f>
        <v>15487.72</v>
      </c>
      <c r="Q19" s="300">
        <f>O19-P19</f>
        <v>7416.65333333333</v>
      </c>
      <c r="R19" s="301">
        <f>VLOOKUP(O19,Tarifa,3)</f>
        <v>0.21360000000000001</v>
      </c>
      <c r="S19" s="300">
        <f>Q19*R19</f>
        <v>1584.1971519999993</v>
      </c>
      <c r="T19" s="302">
        <f>VLOOKUP(O19,Tarifa,2)</f>
        <v>1640.18</v>
      </c>
      <c r="U19" s="300">
        <f>S19+T19</f>
        <v>3224.3771519999991</v>
      </c>
      <c r="V19" s="300">
        <f>VLOOKUP(O19,Credito,2)</f>
        <v>0</v>
      </c>
      <c r="W19" s="300">
        <f>ROUND((U19-V19)/30.4*I19,2)</f>
        <v>1590.98</v>
      </c>
      <c r="X19" s="299">
        <f>-IF(W19&gt;0,0,0)</f>
        <v>0</v>
      </c>
      <c r="Y19" s="299">
        <f>IF(K19/15&lt;=SMG,0,IF(W19&lt;0,0,W19))</f>
        <v>1590.98</v>
      </c>
      <c r="Z19" s="303">
        <v>0</v>
      </c>
      <c r="AA19" s="299">
        <f>SUM(Y19:Z19)</f>
        <v>1590.98</v>
      </c>
      <c r="AB19" s="299">
        <f>M19+X19-AA19</f>
        <v>9710.52</v>
      </c>
      <c r="AC19" s="304"/>
    </row>
    <row r="20" spans="1:29" s="305" customFormat="1" ht="207.75" customHeight="1" x14ac:dyDescent="0.2">
      <c r="A20" s="307"/>
      <c r="B20" s="308" t="s">
        <v>293</v>
      </c>
      <c r="C20" s="309" t="s">
        <v>118</v>
      </c>
      <c r="D20" s="310" t="s">
        <v>294</v>
      </c>
      <c r="E20" s="311" t="s">
        <v>292</v>
      </c>
      <c r="F20" s="312" t="s">
        <v>295</v>
      </c>
      <c r="G20" s="313">
        <v>44991</v>
      </c>
      <c r="H20" s="314" t="s">
        <v>63</v>
      </c>
      <c r="I20" s="315">
        <v>15</v>
      </c>
      <c r="J20" s="306">
        <v>362.4</v>
      </c>
      <c r="K20" s="297">
        <v>5669.53</v>
      </c>
      <c r="L20" s="298">
        <v>0</v>
      </c>
      <c r="M20" s="299">
        <f>SUM(K20:L20)</f>
        <v>5669.53</v>
      </c>
      <c r="N20" s="300">
        <f>IF(K20/15&lt;=SMG,0,L20/2)</f>
        <v>0</v>
      </c>
      <c r="O20" s="321">
        <f>(K20+N20)/I20*30.4</f>
        <v>11490.247466666666</v>
      </c>
      <c r="P20" s="321">
        <f>VLOOKUP(O20,Tarifa,1)</f>
        <v>11128.02</v>
      </c>
      <c r="Q20" s="300">
        <f>O20-P20</f>
        <v>362.22746666666535</v>
      </c>
      <c r="R20" s="301">
        <f>VLOOKUP(O20,Tarifa,3)</f>
        <v>0.16</v>
      </c>
      <c r="S20" s="300">
        <f>Q20*R20</f>
        <v>57.956394666666455</v>
      </c>
      <c r="T20" s="302">
        <f>VLOOKUP(O20,Tarifa,2)</f>
        <v>893.63</v>
      </c>
      <c r="U20" s="300">
        <f>S20+T20</f>
        <v>951.58639466666648</v>
      </c>
      <c r="V20" s="300">
        <f>VLOOKUP(O20,Credito,2)</f>
        <v>0</v>
      </c>
      <c r="W20" s="300">
        <f>ROUND((U20-V20)/30.4*I20,2)</f>
        <v>469.53</v>
      </c>
      <c r="X20" s="299">
        <f>-IF(W20&gt;0,0,0)</f>
        <v>0</v>
      </c>
      <c r="Y20" s="299">
        <f>IF(K20/15&lt;=SMG,0,IF(W20&lt;0,0,W20))</f>
        <v>469.53</v>
      </c>
      <c r="Z20" s="303">
        <v>0</v>
      </c>
      <c r="AA20" s="299">
        <f>SUM(Y20:Z20)</f>
        <v>469.53</v>
      </c>
      <c r="AB20" s="299">
        <f>M20+X20-AA20</f>
        <v>5200</v>
      </c>
      <c r="AC20" s="316"/>
    </row>
    <row r="21" spans="1:29" s="305" customFormat="1" ht="57.75" customHeight="1" x14ac:dyDescent="0.25">
      <c r="A21" s="307"/>
      <c r="B21" s="399" t="s">
        <v>97</v>
      </c>
      <c r="C21" s="399" t="s">
        <v>124</v>
      </c>
      <c r="D21" s="148" t="s">
        <v>600</v>
      </c>
      <c r="E21" s="180" t="s">
        <v>98</v>
      </c>
      <c r="F21" s="180" t="s">
        <v>229</v>
      </c>
      <c r="G21" s="399" t="s">
        <v>291</v>
      </c>
      <c r="H21" s="180" t="s">
        <v>61</v>
      </c>
      <c r="I21" s="180"/>
      <c r="J21" s="160"/>
      <c r="K21" s="165">
        <f>SUM(K22:K22)</f>
        <v>6693</v>
      </c>
      <c r="L21" s="165">
        <f>SUM(L22:L22)</f>
        <v>0</v>
      </c>
      <c r="M21" s="165">
        <f>SUM(M22:M22)</f>
        <v>6693</v>
      </c>
      <c r="N21" s="160"/>
      <c r="O21" s="160"/>
      <c r="P21" s="160"/>
      <c r="Q21" s="160"/>
      <c r="R21" s="160"/>
      <c r="S21" s="160"/>
      <c r="T21" s="167"/>
      <c r="U21" s="160"/>
      <c r="V21" s="160"/>
      <c r="W21" s="166"/>
      <c r="X21" s="165">
        <f>SUM(X22:X22)</f>
        <v>0</v>
      </c>
      <c r="Y21" s="165">
        <f>SUM(Y22:Y22)</f>
        <v>639.24</v>
      </c>
      <c r="Z21" s="165">
        <f>SUM(Z22:Z22)</f>
        <v>0</v>
      </c>
      <c r="AA21" s="165">
        <f>SUM(AA22:AA22)</f>
        <v>639.24</v>
      </c>
      <c r="AB21" s="165">
        <f>SUM(AB22:AB22)</f>
        <v>6053.76</v>
      </c>
      <c r="AC21" s="65"/>
    </row>
    <row r="22" spans="1:29" s="305" customFormat="1" ht="207.75" customHeight="1" x14ac:dyDescent="0.2">
      <c r="A22" s="307"/>
      <c r="B22" s="269" t="s">
        <v>616</v>
      </c>
      <c r="C22" s="269" t="s">
        <v>519</v>
      </c>
      <c r="D22" s="292" t="s">
        <v>601</v>
      </c>
      <c r="E22" s="293" t="s">
        <v>602</v>
      </c>
      <c r="F22" s="295" t="s">
        <v>603</v>
      </c>
      <c r="G22" s="296">
        <v>45673</v>
      </c>
      <c r="H22" s="317" t="s">
        <v>604</v>
      </c>
      <c r="I22" s="318">
        <v>15</v>
      </c>
      <c r="J22" s="306">
        <v>208.86700000000002</v>
      </c>
      <c r="K22" s="297">
        <v>6693</v>
      </c>
      <c r="L22" s="298">
        <v>0</v>
      </c>
      <c r="M22" s="299">
        <f>K22</f>
        <v>6693</v>
      </c>
      <c r="N22" s="300">
        <f>IF(K22/15&lt;=SMG,0,L22/2)</f>
        <v>0</v>
      </c>
      <c r="O22" s="321">
        <f>(K22+N22)/I22*30.4</f>
        <v>13564.48</v>
      </c>
      <c r="P22" s="321">
        <f>VLOOKUP(O22,Tarifa,1)</f>
        <v>12935.83</v>
      </c>
      <c r="Q22" s="300">
        <f>O22-P22</f>
        <v>628.64999999999964</v>
      </c>
      <c r="R22" s="301">
        <f>VLOOKUP(O22,Tarifa,3)</f>
        <v>0.1792</v>
      </c>
      <c r="S22" s="300">
        <f>Q22*R22</f>
        <v>112.65407999999994</v>
      </c>
      <c r="T22" s="302">
        <f>VLOOKUP(O22,Tarifa,2)</f>
        <v>1182.8800000000001</v>
      </c>
      <c r="U22" s="300">
        <f>S22+T22</f>
        <v>1295.5340800000001</v>
      </c>
      <c r="V22" s="300">
        <f>VLOOKUP(O22,Credito,2)</f>
        <v>0</v>
      </c>
      <c r="W22" s="300">
        <f>ROUND((U22-V22)/30.4*I22,2)</f>
        <v>639.24</v>
      </c>
      <c r="X22" s="299">
        <f>-IF(W22&gt;0,0,0)</f>
        <v>0</v>
      </c>
      <c r="Y22" s="299">
        <f>IF(K22/15&lt;=SMG,0,IF(W22&lt;0,0,W22))</f>
        <v>639.24</v>
      </c>
      <c r="Z22" s="303">
        <v>0</v>
      </c>
      <c r="AA22" s="299">
        <f>SUM(Y22:Z22)</f>
        <v>639.24</v>
      </c>
      <c r="AB22" s="299">
        <f>M22+X22-AA22</f>
        <v>6053.76</v>
      </c>
      <c r="AC22" s="320"/>
    </row>
    <row r="23" spans="1:29" s="52" customFormat="1" ht="31.5" customHeight="1" x14ac:dyDescent="0.25">
      <c r="A23" s="188"/>
      <c r="B23" s="399" t="s">
        <v>97</v>
      </c>
      <c r="C23" s="399" t="s">
        <v>124</v>
      </c>
      <c r="D23" s="148" t="s">
        <v>402</v>
      </c>
      <c r="E23" s="180" t="s">
        <v>98</v>
      </c>
      <c r="F23" s="180" t="s">
        <v>229</v>
      </c>
      <c r="G23" s="399" t="s">
        <v>291</v>
      </c>
      <c r="H23" s="180" t="s">
        <v>61</v>
      </c>
      <c r="I23" s="180"/>
      <c r="J23" s="160"/>
      <c r="K23" s="165">
        <f>SUM(K24:K24)</f>
        <v>3133</v>
      </c>
      <c r="L23" s="165">
        <f>SUM(L24:L24)</f>
        <v>0</v>
      </c>
      <c r="M23" s="165">
        <f>SUM(M24:M24)</f>
        <v>3133</v>
      </c>
      <c r="N23" s="160"/>
      <c r="O23" s="160"/>
      <c r="P23" s="160"/>
      <c r="Q23" s="160"/>
      <c r="R23" s="160"/>
      <c r="S23" s="160"/>
      <c r="T23" s="167"/>
      <c r="U23" s="160"/>
      <c r="V23" s="160"/>
      <c r="W23" s="166"/>
      <c r="X23" s="165">
        <f>SUM(X24:X24)</f>
        <v>0</v>
      </c>
      <c r="Y23" s="165">
        <f>SUM(Y24:Y24)</f>
        <v>0</v>
      </c>
      <c r="Z23" s="165">
        <f>SUM(Z24:Z24)</f>
        <v>0</v>
      </c>
      <c r="AA23" s="165">
        <f>SUM(AA24:AA24)</f>
        <v>0</v>
      </c>
      <c r="AB23" s="165">
        <f>SUM(AB24:AB24)</f>
        <v>3133</v>
      </c>
      <c r="AC23" s="65"/>
    </row>
    <row r="24" spans="1:29" s="305" customFormat="1" ht="209.25" customHeight="1" x14ac:dyDescent="0.2">
      <c r="A24" s="307"/>
      <c r="B24" s="269" t="s">
        <v>440</v>
      </c>
      <c r="C24" s="269" t="s">
        <v>118</v>
      </c>
      <c r="D24" s="292" t="s">
        <v>441</v>
      </c>
      <c r="E24" s="293" t="s">
        <v>442</v>
      </c>
      <c r="F24" s="295" t="s">
        <v>443</v>
      </c>
      <c r="G24" s="296">
        <v>45566</v>
      </c>
      <c r="H24" s="317" t="s">
        <v>405</v>
      </c>
      <c r="I24" s="318">
        <v>15</v>
      </c>
      <c r="J24" s="306">
        <v>208.86700000000002</v>
      </c>
      <c r="K24" s="297">
        <v>3133</v>
      </c>
      <c r="L24" s="298">
        <v>0</v>
      </c>
      <c r="M24" s="299">
        <f t="shared" ref="M24" si="0">SUM(K24:L24)</f>
        <v>3133</v>
      </c>
      <c r="N24" s="300">
        <f>IF(K24/15&lt;=SMG,0,L24/2)</f>
        <v>0</v>
      </c>
      <c r="O24" s="321">
        <f>(K24+N24)/I24*30.4</f>
        <v>6349.5466666666662</v>
      </c>
      <c r="P24" s="321">
        <f>VLOOKUP(O24,Tarifa,1)</f>
        <v>6332.06</v>
      </c>
      <c r="Q24" s="300">
        <f>O24-P24</f>
        <v>17.486666666665769</v>
      </c>
      <c r="R24" s="301">
        <f>VLOOKUP(O24,Tarifa,3)</f>
        <v>0.10879999999999999</v>
      </c>
      <c r="S24" s="300">
        <f>Q24*R24</f>
        <v>1.9025493333332355</v>
      </c>
      <c r="T24" s="302">
        <f>VLOOKUP(O24,Tarifa,2)</f>
        <v>371.83</v>
      </c>
      <c r="U24" s="300">
        <f>S24+T24</f>
        <v>373.73254933333322</v>
      </c>
      <c r="V24" s="300">
        <f>VLOOKUP(O24,Credito,2)</f>
        <v>475</v>
      </c>
      <c r="W24" s="300">
        <f>ROUND((U24-V24)/30.4*I24,2)</f>
        <v>-49.97</v>
      </c>
      <c r="X24" s="299">
        <v>0</v>
      </c>
      <c r="Y24" s="319">
        <f>IF(K24/15&lt;=SMG,0,IF(W24&lt;0,0,W24))</f>
        <v>0</v>
      </c>
      <c r="Z24" s="303">
        <v>0</v>
      </c>
      <c r="AA24" s="299">
        <f>SUM(Y24:Z24)</f>
        <v>0</v>
      </c>
      <c r="AB24" s="319">
        <f>M24+X24-AA24</f>
        <v>3133</v>
      </c>
      <c r="AC24" s="320"/>
    </row>
    <row r="25" spans="1:29" s="52" customFormat="1" ht="21.75" customHeight="1" x14ac:dyDescent="0.25">
      <c r="A25" s="169"/>
      <c r="B25" s="170"/>
      <c r="C25" s="170"/>
      <c r="D25" s="171"/>
      <c r="E25" s="171"/>
      <c r="F25" s="171"/>
      <c r="G25" s="171"/>
      <c r="H25" s="171"/>
      <c r="I25" s="147"/>
      <c r="J25" s="172"/>
      <c r="K25" s="173"/>
      <c r="L25" s="174"/>
      <c r="M25" s="175"/>
      <c r="N25" s="176"/>
      <c r="O25" s="176"/>
      <c r="P25" s="176"/>
      <c r="Q25" s="176"/>
      <c r="R25" s="177"/>
      <c r="S25" s="176"/>
      <c r="T25" s="176"/>
      <c r="U25" s="176"/>
      <c r="V25" s="176"/>
      <c r="W25" s="176"/>
      <c r="X25" s="175"/>
      <c r="Y25" s="175"/>
      <c r="Z25" s="178"/>
      <c r="AA25" s="175"/>
      <c r="AB25" s="175"/>
      <c r="AC25" s="59"/>
    </row>
    <row r="26" spans="1:29" s="52" customFormat="1" ht="41.25" customHeight="1" thickBot="1" x14ac:dyDescent="0.3">
      <c r="A26" s="452" t="s">
        <v>44</v>
      </c>
      <c r="B26" s="453"/>
      <c r="C26" s="453"/>
      <c r="D26" s="453"/>
      <c r="E26" s="453"/>
      <c r="F26" s="453"/>
      <c r="G26" s="453"/>
      <c r="H26" s="453"/>
      <c r="I26" s="453"/>
      <c r="J26" s="454"/>
      <c r="K26" s="136">
        <f>K8+K12+K18+K23+K21</f>
        <v>83010.03</v>
      </c>
      <c r="L26" s="136">
        <f>L8+L12+L18+L23+L21</f>
        <v>0</v>
      </c>
      <c r="M26" s="136">
        <f>M8+M12+M18+M23+M21</f>
        <v>83010.03</v>
      </c>
      <c r="N26" s="137">
        <f>SUM(N9:N24)</f>
        <v>0</v>
      </c>
      <c r="O26" s="137">
        <f t="shared" ref="O26:W26" si="1">SUM(O9:O24)</f>
        <v>168233.66079999998</v>
      </c>
      <c r="P26" s="137">
        <f t="shared" si="1"/>
        <v>132860.40000000002</v>
      </c>
      <c r="Q26" s="137">
        <f t="shared" si="1"/>
        <v>35373.260799999989</v>
      </c>
      <c r="R26" s="137">
        <f t="shared" si="1"/>
        <v>1.4952000000000001</v>
      </c>
      <c r="S26" s="137">
        <f t="shared" si="1"/>
        <v>8303.5701733333317</v>
      </c>
      <c r="T26" s="137">
        <f t="shared" si="1"/>
        <v>16752.849999999999</v>
      </c>
      <c r="U26" s="137">
        <f t="shared" si="1"/>
        <v>25056.420173333328</v>
      </c>
      <c r="V26" s="137">
        <f t="shared" si="1"/>
        <v>475</v>
      </c>
      <c r="W26" s="137">
        <f t="shared" si="1"/>
        <v>12128.98</v>
      </c>
      <c r="X26" s="136">
        <f>X8+X12+X18+X23+X21</f>
        <v>0</v>
      </c>
      <c r="Y26" s="136">
        <f>Y8+Y12+Y18+Y23+Y21</f>
        <v>12178.949999999999</v>
      </c>
      <c r="Z26" s="136">
        <f>Z8+Z12+Z18+Z23+Z21</f>
        <v>0</v>
      </c>
      <c r="AA26" s="136">
        <f>AA8+AA12+AA18+AA23+AA21</f>
        <v>12178.949999999999</v>
      </c>
      <c r="AB26" s="136">
        <f>AB8+AB12+AB18+AB23+AB21</f>
        <v>70831.08</v>
      </c>
    </row>
    <row r="27" spans="1:29" s="52" customFormat="1" ht="12" customHeight="1" thickTop="1" x14ac:dyDescent="0.25">
      <c r="A27" s="108"/>
      <c r="B27" s="108"/>
      <c r="C27" s="108"/>
      <c r="D27" s="108"/>
      <c r="E27" s="108"/>
      <c r="F27" s="108"/>
      <c r="G27" s="108"/>
      <c r="H27" s="108"/>
      <c r="I27" s="108"/>
      <c r="J27" s="108"/>
      <c r="K27" s="108"/>
      <c r="L27" s="108"/>
      <c r="M27" s="108"/>
      <c r="N27" s="108"/>
      <c r="O27" s="108"/>
      <c r="P27" s="108"/>
      <c r="Q27" s="108"/>
      <c r="R27" s="108"/>
      <c r="S27" s="108"/>
      <c r="T27" s="108"/>
      <c r="U27" s="108"/>
      <c r="V27" s="108"/>
      <c r="W27" s="108"/>
      <c r="X27" s="108"/>
      <c r="Y27" s="108"/>
      <c r="Z27" s="108"/>
      <c r="AA27" s="108"/>
      <c r="AB27" s="108"/>
    </row>
    <row r="35" spans="4:29" ht="18" x14ac:dyDescent="0.25">
      <c r="D35" s="215" t="s">
        <v>521</v>
      </c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215" t="s">
        <v>148</v>
      </c>
      <c r="Z35" s="108"/>
      <c r="AA35" s="108"/>
      <c r="AB35" s="108"/>
      <c r="AC35" s="108"/>
    </row>
    <row r="36" spans="4:29" ht="18" x14ac:dyDescent="0.25">
      <c r="D36" s="215" t="s">
        <v>542</v>
      </c>
      <c r="E36" s="215"/>
      <c r="F36" s="215"/>
      <c r="G36" s="215"/>
      <c r="H36" s="215"/>
      <c r="I36" s="215"/>
      <c r="J36" s="215"/>
      <c r="K36" s="215"/>
      <c r="L36" s="215"/>
      <c r="M36" s="108"/>
      <c r="N36" s="108"/>
      <c r="O36" s="108"/>
      <c r="P36" s="108"/>
      <c r="Q36" s="108"/>
      <c r="R36" s="108"/>
      <c r="S36" s="108"/>
      <c r="T36" s="108"/>
      <c r="U36" s="108"/>
      <c r="V36" s="108"/>
      <c r="W36" s="108"/>
      <c r="X36" s="108"/>
      <c r="Y36" s="215" t="s">
        <v>218</v>
      </c>
      <c r="Z36" s="108"/>
      <c r="AA36" s="215"/>
      <c r="AB36" s="215"/>
      <c r="AC36" s="215"/>
    </row>
  </sheetData>
  <mergeCells count="7">
    <mergeCell ref="A26:J26"/>
    <mergeCell ref="A1:AC1"/>
    <mergeCell ref="A2:AC2"/>
    <mergeCell ref="A3:AC3"/>
    <mergeCell ref="K5:M5"/>
    <mergeCell ref="P5:U5"/>
    <mergeCell ref="Y5:AA5"/>
  </mergeCells>
  <printOptions horizontalCentered="1"/>
  <pageMargins left="0.27559055118110237" right="0.27559055118110237" top="0.47244094488188981" bottom="0.82677165354330717" header="0.31496062992125984" footer="0.51181102362204722"/>
  <pageSetup scale="39" fitToHeight="0" orientation="landscape" horizontalDpi="4294967293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6" tint="-0.249977111117893"/>
  </sheetPr>
  <dimension ref="A1:AO31"/>
  <sheetViews>
    <sheetView topLeftCell="B1" zoomScale="75" zoomScaleNormal="75" workbookViewId="0">
      <selection activeCell="K11" sqref="K11"/>
    </sheetView>
  </sheetViews>
  <sheetFormatPr baseColWidth="10" defaultColWidth="11.42578125" defaultRowHeight="12.75" x14ac:dyDescent="0.2"/>
  <cols>
    <col min="1" max="1" width="5.5703125" hidden="1" customWidth="1"/>
    <col min="2" max="2" width="14.140625" customWidth="1"/>
    <col min="3" max="3" width="11.28515625" customWidth="1"/>
    <col min="4" max="4" width="24.28515625" customWidth="1"/>
    <col min="5" max="5" width="28" customWidth="1"/>
    <col min="6" max="6" width="30.85546875" customWidth="1"/>
    <col min="7" max="7" width="17.28515625" customWidth="1"/>
    <col min="8" max="8" width="20.85546875" customWidth="1"/>
    <col min="9" max="9" width="6.5703125" hidden="1" customWidth="1"/>
    <col min="10" max="10" width="7.28515625" hidden="1" customWidth="1"/>
    <col min="11" max="11" width="17.42578125" customWidth="1"/>
    <col min="12" max="12" width="10.85546875" customWidth="1"/>
    <col min="13" max="13" width="16.42578125" customWidth="1"/>
    <col min="14" max="14" width="13.140625" hidden="1" customWidth="1"/>
    <col min="15" max="15" width="13.85546875" hidden="1" customWidth="1"/>
    <col min="16" max="16" width="13.5703125" hidden="1" customWidth="1"/>
    <col min="17" max="17" width="14" hidden="1" customWidth="1"/>
    <col min="18" max="19" width="13.140625" hidden="1" customWidth="1"/>
    <col min="20" max="20" width="10.5703125" hidden="1" customWidth="1"/>
    <col min="21" max="21" width="13" hidden="1" customWidth="1"/>
    <col min="22" max="22" width="13.140625" hidden="1" customWidth="1"/>
    <col min="23" max="23" width="15.42578125" hidden="1" customWidth="1"/>
    <col min="24" max="24" width="9.7109375" customWidth="1"/>
    <col min="25" max="25" width="14" customWidth="1"/>
    <col min="26" max="26" width="13.42578125" customWidth="1"/>
    <col min="27" max="27" width="14.42578125" customWidth="1"/>
    <col min="28" max="28" width="16.42578125" customWidth="1"/>
    <col min="29" max="29" width="58.7109375" customWidth="1"/>
  </cols>
  <sheetData>
    <row r="1" spans="1:30" ht="18" x14ac:dyDescent="0.25">
      <c r="A1" s="466" t="s">
        <v>77</v>
      </c>
      <c r="B1" s="466"/>
      <c r="C1" s="466"/>
      <c r="D1" s="466"/>
      <c r="E1" s="466"/>
      <c r="F1" s="466"/>
      <c r="G1" s="466"/>
      <c r="H1" s="466"/>
      <c r="I1" s="466"/>
      <c r="J1" s="466"/>
      <c r="K1" s="466"/>
      <c r="L1" s="466"/>
      <c r="M1" s="466"/>
      <c r="N1" s="466"/>
      <c r="O1" s="466"/>
      <c r="P1" s="466"/>
      <c r="Q1" s="466"/>
      <c r="R1" s="466"/>
      <c r="S1" s="466"/>
      <c r="T1" s="466"/>
      <c r="U1" s="466"/>
      <c r="V1" s="466"/>
      <c r="W1" s="466"/>
      <c r="X1" s="466"/>
      <c r="Y1" s="466"/>
      <c r="Z1" s="466"/>
      <c r="AA1" s="466"/>
      <c r="AB1" s="466"/>
      <c r="AC1" s="466"/>
    </row>
    <row r="2" spans="1:30" ht="18" x14ac:dyDescent="0.25">
      <c r="A2" s="466" t="s">
        <v>64</v>
      </c>
      <c r="B2" s="466"/>
      <c r="C2" s="466"/>
      <c r="D2" s="466"/>
      <c r="E2" s="466"/>
      <c r="F2" s="466"/>
      <c r="G2" s="466"/>
      <c r="H2" s="466"/>
      <c r="I2" s="466"/>
      <c r="J2" s="466"/>
      <c r="K2" s="466"/>
      <c r="L2" s="466"/>
      <c r="M2" s="466"/>
      <c r="N2" s="466"/>
      <c r="O2" s="466"/>
      <c r="P2" s="466"/>
      <c r="Q2" s="466"/>
      <c r="R2" s="466"/>
      <c r="S2" s="466"/>
      <c r="T2" s="466"/>
      <c r="U2" s="466"/>
      <c r="V2" s="466"/>
      <c r="W2" s="466"/>
      <c r="X2" s="466"/>
      <c r="Y2" s="466"/>
      <c r="Z2" s="466"/>
      <c r="AA2" s="466"/>
      <c r="AB2" s="466"/>
      <c r="AC2" s="466"/>
    </row>
    <row r="3" spans="1:30" ht="19.5" x14ac:dyDescent="0.25">
      <c r="A3" s="149" t="s">
        <v>349</v>
      </c>
      <c r="B3" s="456" t="str">
        <f>PRESIDENCIA!A3</f>
        <v>SUELDO  DEL 16 AL 30 DE ABRIL DE 2025</v>
      </c>
      <c r="C3" s="456"/>
      <c r="D3" s="456"/>
      <c r="E3" s="456"/>
      <c r="F3" s="456"/>
      <c r="G3" s="456"/>
      <c r="H3" s="456"/>
      <c r="I3" s="456"/>
      <c r="J3" s="456"/>
      <c r="K3" s="456"/>
      <c r="L3" s="456"/>
      <c r="M3" s="456"/>
      <c r="N3" s="456"/>
      <c r="O3" s="456"/>
      <c r="P3" s="456"/>
      <c r="Q3" s="456"/>
      <c r="R3" s="456"/>
      <c r="S3" s="456"/>
      <c r="T3" s="456"/>
      <c r="U3" s="456"/>
      <c r="V3" s="456"/>
      <c r="W3" s="456"/>
      <c r="X3" s="456"/>
      <c r="Y3" s="456"/>
      <c r="Z3" s="456"/>
      <c r="AA3" s="456"/>
      <c r="AB3" s="456"/>
      <c r="AC3" s="456"/>
      <c r="AD3" s="456"/>
    </row>
    <row r="4" spans="1:30" ht="15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</row>
    <row r="5" spans="1:30" x14ac:dyDescent="0.2">
      <c r="A5" s="22"/>
      <c r="B5" s="22"/>
      <c r="C5" s="22"/>
      <c r="D5" s="22"/>
      <c r="E5" s="22"/>
      <c r="F5" s="22"/>
      <c r="G5" s="22"/>
      <c r="H5" s="22"/>
      <c r="I5" s="23" t="s">
        <v>22</v>
      </c>
      <c r="J5" s="23" t="s">
        <v>197</v>
      </c>
      <c r="K5" s="467" t="s">
        <v>1</v>
      </c>
      <c r="L5" s="468"/>
      <c r="M5" s="469"/>
      <c r="N5" s="24" t="s">
        <v>25</v>
      </c>
      <c r="O5" s="25"/>
      <c r="P5" s="470" t="s">
        <v>8</v>
      </c>
      <c r="Q5" s="471"/>
      <c r="R5" s="471"/>
      <c r="S5" s="471"/>
      <c r="T5" s="471"/>
      <c r="U5" s="472"/>
      <c r="V5" s="24" t="s">
        <v>29</v>
      </c>
      <c r="W5" s="24" t="s">
        <v>9</v>
      </c>
      <c r="X5" s="23" t="s">
        <v>52</v>
      </c>
      <c r="Y5" s="473" t="s">
        <v>2</v>
      </c>
      <c r="Z5" s="474"/>
      <c r="AA5" s="475"/>
      <c r="AB5" s="23" t="s">
        <v>0</v>
      </c>
      <c r="AC5" s="33"/>
    </row>
    <row r="6" spans="1:30" ht="22.5" x14ac:dyDescent="0.2">
      <c r="A6" s="26" t="s">
        <v>20</v>
      </c>
      <c r="B6" s="45" t="s">
        <v>97</v>
      </c>
      <c r="C6" s="45" t="s">
        <v>119</v>
      </c>
      <c r="D6" s="26" t="s">
        <v>21</v>
      </c>
      <c r="E6" s="26"/>
      <c r="F6" s="26"/>
      <c r="G6" s="26"/>
      <c r="H6" s="26"/>
      <c r="I6" s="27" t="s">
        <v>23</v>
      </c>
      <c r="J6" s="26" t="s">
        <v>24</v>
      </c>
      <c r="K6" s="23" t="s">
        <v>5</v>
      </c>
      <c r="L6" s="23" t="s">
        <v>58</v>
      </c>
      <c r="M6" s="23" t="s">
        <v>27</v>
      </c>
      <c r="N6" s="28" t="s">
        <v>26</v>
      </c>
      <c r="O6" s="25" t="s">
        <v>31</v>
      </c>
      <c r="P6" s="25" t="s">
        <v>11</v>
      </c>
      <c r="Q6" s="25" t="s">
        <v>33</v>
      </c>
      <c r="R6" s="25" t="s">
        <v>35</v>
      </c>
      <c r="S6" s="25" t="s">
        <v>36</v>
      </c>
      <c r="T6" s="25" t="s">
        <v>13</v>
      </c>
      <c r="U6" s="25" t="s">
        <v>9</v>
      </c>
      <c r="V6" s="28" t="s">
        <v>39</v>
      </c>
      <c r="W6" s="28" t="s">
        <v>40</v>
      </c>
      <c r="X6" s="26" t="s">
        <v>30</v>
      </c>
      <c r="Y6" s="159" t="s">
        <v>281</v>
      </c>
      <c r="Z6" s="23" t="s">
        <v>56</v>
      </c>
      <c r="AA6" s="23" t="s">
        <v>6</v>
      </c>
      <c r="AB6" s="26" t="s">
        <v>3</v>
      </c>
      <c r="AC6" s="35" t="s">
        <v>57</v>
      </c>
    </row>
    <row r="7" spans="1:30" x14ac:dyDescent="0.2">
      <c r="A7" s="29"/>
      <c r="B7" s="29"/>
      <c r="C7" s="29"/>
      <c r="D7" s="29"/>
      <c r="E7" s="29"/>
      <c r="F7" s="29"/>
      <c r="G7" s="29"/>
      <c r="H7" s="29"/>
      <c r="I7" s="29"/>
      <c r="J7" s="29"/>
      <c r="K7" s="26" t="s">
        <v>46</v>
      </c>
      <c r="L7" s="26" t="s">
        <v>59</v>
      </c>
      <c r="M7" s="26" t="s">
        <v>28</v>
      </c>
      <c r="N7" s="28" t="s">
        <v>42</v>
      </c>
      <c r="O7" s="24" t="s">
        <v>32</v>
      </c>
      <c r="P7" s="24" t="s">
        <v>12</v>
      </c>
      <c r="Q7" s="24" t="s">
        <v>34</v>
      </c>
      <c r="R7" s="24" t="s">
        <v>34</v>
      </c>
      <c r="S7" s="24" t="s">
        <v>37</v>
      </c>
      <c r="T7" s="24" t="s">
        <v>14</v>
      </c>
      <c r="U7" s="24" t="s">
        <v>38</v>
      </c>
      <c r="V7" s="28" t="s">
        <v>18</v>
      </c>
      <c r="W7" s="31" t="s">
        <v>41</v>
      </c>
      <c r="X7" s="26" t="s">
        <v>51</v>
      </c>
      <c r="Y7" s="26"/>
      <c r="Z7" s="26"/>
      <c r="AA7" s="26" t="s">
        <v>43</v>
      </c>
      <c r="AB7" s="26" t="s">
        <v>4</v>
      </c>
      <c r="AC7" s="34"/>
    </row>
    <row r="8" spans="1:30" ht="56.25" customHeight="1" x14ac:dyDescent="0.25">
      <c r="A8" s="437"/>
      <c r="B8" s="148" t="s">
        <v>97</v>
      </c>
      <c r="C8" s="148" t="s">
        <v>124</v>
      </c>
      <c r="D8" s="179" t="s">
        <v>523</v>
      </c>
      <c r="E8" s="180" t="s">
        <v>98</v>
      </c>
      <c r="F8" s="180" t="s">
        <v>229</v>
      </c>
      <c r="G8" s="148" t="s">
        <v>291</v>
      </c>
      <c r="H8" s="160" t="s">
        <v>61</v>
      </c>
      <c r="I8" s="180"/>
      <c r="J8" s="37"/>
      <c r="K8" s="181">
        <f>K9</f>
        <v>12305.41</v>
      </c>
      <c r="L8" s="181">
        <f>L9</f>
        <v>0</v>
      </c>
      <c r="M8" s="181">
        <f>M9</f>
        <v>12305.41</v>
      </c>
      <c r="N8" s="180"/>
      <c r="O8" s="180"/>
      <c r="P8" s="180"/>
      <c r="Q8" s="180"/>
      <c r="R8" s="180"/>
      <c r="S8" s="180"/>
      <c r="T8" s="180"/>
      <c r="U8" s="180"/>
      <c r="V8" s="180"/>
      <c r="W8" s="180"/>
      <c r="X8" s="181">
        <f>X9</f>
        <v>0</v>
      </c>
      <c r="Y8" s="181">
        <f>Y9</f>
        <v>1805.41</v>
      </c>
      <c r="Z8" s="181">
        <f>Z9</f>
        <v>0</v>
      </c>
      <c r="AA8" s="181">
        <f>AA9</f>
        <v>1805.41</v>
      </c>
      <c r="AB8" s="181">
        <f>AB9</f>
        <v>10500</v>
      </c>
      <c r="AC8" s="182"/>
    </row>
    <row r="9" spans="1:30" ht="167.25" customHeight="1" x14ac:dyDescent="0.2">
      <c r="A9" s="437"/>
      <c r="B9" s="291" t="s">
        <v>544</v>
      </c>
      <c r="C9" s="285" t="s">
        <v>118</v>
      </c>
      <c r="D9" s="270" t="s">
        <v>545</v>
      </c>
      <c r="E9" s="271" t="s">
        <v>546</v>
      </c>
      <c r="F9" s="271" t="s">
        <v>547</v>
      </c>
      <c r="G9" s="272">
        <v>45601</v>
      </c>
      <c r="H9" s="273" t="s">
        <v>644</v>
      </c>
      <c r="I9" s="274">
        <v>15</v>
      </c>
      <c r="J9" s="275">
        <f>K9/I9</f>
        <v>820.3606666666667</v>
      </c>
      <c r="K9" s="276">
        <v>12305.41</v>
      </c>
      <c r="L9" s="277">
        <v>0</v>
      </c>
      <c r="M9" s="278">
        <f>SUM(K9:L9)</f>
        <v>12305.41</v>
      </c>
      <c r="N9" s="300">
        <f t="shared" ref="N9" si="0">IF(K9/15&lt;=SMG,0,L9/2)</f>
        <v>0</v>
      </c>
      <c r="O9" s="321">
        <f t="shared" ref="O9" si="1">(K9+N9)/I9*30.4</f>
        <v>24938.964266666666</v>
      </c>
      <c r="P9" s="321">
        <f t="shared" ref="P9" si="2">VLOOKUP(O9,Tarifa,1)</f>
        <v>15487.72</v>
      </c>
      <c r="Q9" s="300">
        <f t="shared" ref="Q9" si="3">O9-P9</f>
        <v>9451.2442666666666</v>
      </c>
      <c r="R9" s="301">
        <f t="shared" ref="R9" si="4">VLOOKUP(O9,Tarifa,3)</f>
        <v>0.21360000000000001</v>
      </c>
      <c r="S9" s="300">
        <f t="shared" ref="S9" si="5">Q9*R9</f>
        <v>2018.7857753600001</v>
      </c>
      <c r="T9" s="302">
        <f t="shared" ref="T9" si="6">VLOOKUP(O9,Tarifa,2)</f>
        <v>1640.18</v>
      </c>
      <c r="U9" s="300">
        <f t="shared" ref="U9" si="7">S9+T9</f>
        <v>3658.9657753600004</v>
      </c>
      <c r="V9" s="300">
        <f t="shared" ref="V9" si="8">VLOOKUP(O9,Credito,2)</f>
        <v>0</v>
      </c>
      <c r="W9" s="300">
        <f t="shared" ref="W9" si="9">ROUND((U9-V9)/30.4*I9,2)</f>
        <v>1805.41</v>
      </c>
      <c r="X9" s="278">
        <f>-IF(W9&gt;0,0,0)</f>
        <v>0</v>
      </c>
      <c r="Y9" s="278">
        <f t="shared" ref="Y9" si="10">IF(K9/15&lt;=SMG,0,IF(W9&lt;0,0,W9))</f>
        <v>1805.41</v>
      </c>
      <c r="Z9" s="279">
        <v>0</v>
      </c>
      <c r="AA9" s="278">
        <f t="shared" ref="AA9" si="11">SUM(Y9:Z9)</f>
        <v>1805.41</v>
      </c>
      <c r="AB9" s="278">
        <f t="shared" ref="AB9" si="12">M9+X9-AA9</f>
        <v>10500</v>
      </c>
      <c r="AC9" s="280"/>
    </row>
    <row r="10" spans="1:30" ht="56.25" customHeight="1" x14ac:dyDescent="0.25">
      <c r="A10" s="138"/>
      <c r="B10" s="148" t="s">
        <v>97</v>
      </c>
      <c r="C10" s="148" t="s">
        <v>124</v>
      </c>
      <c r="D10" s="179" t="s">
        <v>523</v>
      </c>
      <c r="E10" s="160" t="s">
        <v>98</v>
      </c>
      <c r="F10" s="160"/>
      <c r="G10" s="168"/>
      <c r="H10" s="160" t="s">
        <v>61</v>
      </c>
      <c r="I10" s="180"/>
      <c r="J10" s="37"/>
      <c r="K10" s="181">
        <f>K11</f>
        <v>8299</v>
      </c>
      <c r="L10" s="181">
        <f>L11</f>
        <v>0</v>
      </c>
      <c r="M10" s="181">
        <f>M11</f>
        <v>8299</v>
      </c>
      <c r="N10" s="180"/>
      <c r="O10" s="180"/>
      <c r="P10" s="180"/>
      <c r="Q10" s="180"/>
      <c r="R10" s="180"/>
      <c r="S10" s="180"/>
      <c r="T10" s="180"/>
      <c r="U10" s="180"/>
      <c r="V10" s="180"/>
      <c r="W10" s="180"/>
      <c r="X10" s="181">
        <f>X11</f>
        <v>0</v>
      </c>
      <c r="Y10" s="181">
        <f>Y11</f>
        <v>949.64</v>
      </c>
      <c r="Z10" s="181">
        <f>Z11</f>
        <v>0</v>
      </c>
      <c r="AA10" s="181">
        <f>AA11</f>
        <v>949.64</v>
      </c>
      <c r="AB10" s="181">
        <f>AB11</f>
        <v>7349.36</v>
      </c>
      <c r="AC10" s="182"/>
    </row>
    <row r="11" spans="1:30" s="325" customFormat="1" ht="166.5" customHeight="1" x14ac:dyDescent="0.2">
      <c r="A11" s="322"/>
      <c r="B11" s="268" t="s">
        <v>541</v>
      </c>
      <c r="C11" s="269" t="s">
        <v>118</v>
      </c>
      <c r="D11" s="270" t="s">
        <v>568</v>
      </c>
      <c r="E11" s="271" t="s">
        <v>525</v>
      </c>
      <c r="F11" s="271" t="s">
        <v>526</v>
      </c>
      <c r="G11" s="296">
        <v>45581</v>
      </c>
      <c r="H11" s="288" t="s">
        <v>524</v>
      </c>
      <c r="I11" s="289">
        <v>15</v>
      </c>
      <c r="J11" s="324">
        <f>ROUND(K11/I11,2)</f>
        <v>553.27</v>
      </c>
      <c r="K11" s="297">
        <v>8299</v>
      </c>
      <c r="L11" s="298">
        <v>0</v>
      </c>
      <c r="M11" s="299">
        <f t="shared" ref="M11" si="13">SUM(K11:L11)</f>
        <v>8299</v>
      </c>
      <c r="N11" s="300">
        <f>IF(K11/15&lt;=SMG,0,L11/2)</f>
        <v>0</v>
      </c>
      <c r="O11" s="321">
        <f>(K11+N11)/I11*30.4</f>
        <v>16819.306666666664</v>
      </c>
      <c r="P11" s="321">
        <f>VLOOKUP(O11,Tarifa,1)</f>
        <v>15487.72</v>
      </c>
      <c r="Q11" s="300">
        <f>O11-P11</f>
        <v>1331.5866666666643</v>
      </c>
      <c r="R11" s="301">
        <f>VLOOKUP(O11,Tarifa,3)</f>
        <v>0.21360000000000001</v>
      </c>
      <c r="S11" s="300">
        <f>Q11*R11</f>
        <v>284.4269119999995</v>
      </c>
      <c r="T11" s="302">
        <f>VLOOKUP(O11,Tarifa,2)</f>
        <v>1640.18</v>
      </c>
      <c r="U11" s="300">
        <f>S11+T11</f>
        <v>1924.6069119999995</v>
      </c>
      <c r="V11" s="300">
        <f>VLOOKUP(O11,Credito,2)</f>
        <v>0</v>
      </c>
      <c r="W11" s="300">
        <f>ROUND((U11-V11)/30.4*I11,2)</f>
        <v>949.64</v>
      </c>
      <c r="X11" s="299">
        <f>-IF(W11&gt;0,0,0)</f>
        <v>0</v>
      </c>
      <c r="Y11" s="299">
        <f t="shared" ref="Y11" si="14">IF(K11/15&lt;=SMG,0,IF(W11&lt;0,0,W11))</f>
        <v>949.64</v>
      </c>
      <c r="Z11" s="303">
        <v>0</v>
      </c>
      <c r="AA11" s="299">
        <f t="shared" ref="AA11" si="15">SUM(Y11:Z11)</f>
        <v>949.64</v>
      </c>
      <c r="AB11" s="299">
        <f t="shared" ref="AB11" si="16">M11+X11-AA11</f>
        <v>7349.36</v>
      </c>
      <c r="AC11" s="280"/>
    </row>
    <row r="12" spans="1:30" ht="53.25" customHeight="1" x14ac:dyDescent="0.25">
      <c r="A12" s="138"/>
      <c r="B12" s="148" t="s">
        <v>97</v>
      </c>
      <c r="C12" s="148" t="s">
        <v>124</v>
      </c>
      <c r="D12" s="164" t="s">
        <v>75</v>
      </c>
      <c r="E12" s="160" t="s">
        <v>98</v>
      </c>
      <c r="F12" s="160" t="s">
        <v>229</v>
      </c>
      <c r="G12" s="168"/>
      <c r="H12" s="160" t="s">
        <v>61</v>
      </c>
      <c r="I12" s="160"/>
      <c r="J12" s="37"/>
      <c r="K12" s="181">
        <f>SUM(K13)</f>
        <v>12829</v>
      </c>
      <c r="L12" s="181">
        <f>SUM(L13)</f>
        <v>0</v>
      </c>
      <c r="M12" s="181">
        <f>SUM(M13)</f>
        <v>12829</v>
      </c>
      <c r="N12" s="180"/>
      <c r="O12" s="180"/>
      <c r="P12" s="180"/>
      <c r="Q12" s="180"/>
      <c r="R12" s="180"/>
      <c r="S12" s="180"/>
      <c r="T12" s="180"/>
      <c r="U12" s="180"/>
      <c r="V12" s="180"/>
      <c r="W12" s="180"/>
      <c r="X12" s="181">
        <f>SUM(X13)</f>
        <v>0</v>
      </c>
      <c r="Y12" s="181">
        <f>SUM(Y13)</f>
        <v>1917.25</v>
      </c>
      <c r="Z12" s="181">
        <f>SUM(Z13)</f>
        <v>0</v>
      </c>
      <c r="AA12" s="181">
        <f>SUM(AA13)</f>
        <v>1917.25</v>
      </c>
      <c r="AB12" s="181">
        <f>SUM(AB13)</f>
        <v>10911.75</v>
      </c>
      <c r="AC12" s="182"/>
    </row>
    <row r="13" spans="1:30" s="325" customFormat="1" ht="165.75" customHeight="1" x14ac:dyDescent="0.2">
      <c r="A13" s="322"/>
      <c r="B13" s="326">
        <v>160</v>
      </c>
      <c r="C13" s="291" t="s">
        <v>118</v>
      </c>
      <c r="D13" s="270" t="s">
        <v>495</v>
      </c>
      <c r="E13" s="327" t="s">
        <v>496</v>
      </c>
      <c r="F13" s="271" t="s">
        <v>497</v>
      </c>
      <c r="G13" s="296">
        <v>45566</v>
      </c>
      <c r="H13" s="271" t="s">
        <v>75</v>
      </c>
      <c r="I13" s="323">
        <v>15</v>
      </c>
      <c r="J13" s="324">
        <f>ROUND(K13/I13,2)</f>
        <v>855.27</v>
      </c>
      <c r="K13" s="328">
        <v>12829</v>
      </c>
      <c r="L13" s="329">
        <v>0</v>
      </c>
      <c r="M13" s="330">
        <f>SUM(K13:L13)</f>
        <v>12829</v>
      </c>
      <c r="N13" s="300">
        <f>IF(K13/15&lt;=SMG,0,L13/2)</f>
        <v>0</v>
      </c>
      <c r="O13" s="321">
        <f>(K13+N13)/I13*30.4</f>
        <v>26000.106666666667</v>
      </c>
      <c r="P13" s="321">
        <f>VLOOKUP(O13,Tarifa,1)</f>
        <v>15487.72</v>
      </c>
      <c r="Q13" s="300">
        <f>O13-P13</f>
        <v>10512.386666666667</v>
      </c>
      <c r="R13" s="301">
        <f>VLOOKUP(O13,Tarifa,3)</f>
        <v>0.21360000000000001</v>
      </c>
      <c r="S13" s="300">
        <f>Q13*R13</f>
        <v>2245.4457920000004</v>
      </c>
      <c r="T13" s="302">
        <f>VLOOKUP(O13,Tarifa,2)</f>
        <v>1640.18</v>
      </c>
      <c r="U13" s="300">
        <f>S13+T13</f>
        <v>3885.6257920000007</v>
      </c>
      <c r="V13" s="300">
        <f>VLOOKUP(O13,Credito,2)</f>
        <v>0</v>
      </c>
      <c r="W13" s="300">
        <f>ROUND((U13-V13)/30.4*I13,2)</f>
        <v>1917.25</v>
      </c>
      <c r="X13" s="299">
        <f>-IF(W13&gt;0,0,0)</f>
        <v>0</v>
      </c>
      <c r="Y13" s="299">
        <f>IF(K13/15&lt;=SMG,0,IF(W13&lt;0,0,W13))</f>
        <v>1917.25</v>
      </c>
      <c r="Z13" s="303">
        <v>0</v>
      </c>
      <c r="AA13" s="299">
        <f>SUM(Y13:Z13)</f>
        <v>1917.25</v>
      </c>
      <c r="AB13" s="299">
        <f>M13+X13-AA13</f>
        <v>10911.75</v>
      </c>
      <c r="AC13" s="280"/>
    </row>
    <row r="14" spans="1:30" ht="40.5" customHeight="1" thickBot="1" x14ac:dyDescent="0.3">
      <c r="A14" s="452" t="s">
        <v>44</v>
      </c>
      <c r="B14" s="453"/>
      <c r="C14" s="453"/>
      <c r="D14" s="453"/>
      <c r="E14" s="453"/>
      <c r="F14" s="453"/>
      <c r="G14" s="453"/>
      <c r="H14" s="453"/>
      <c r="I14" s="453"/>
      <c r="J14" s="454"/>
      <c r="K14" s="158">
        <f>K10+K12</f>
        <v>21128</v>
      </c>
      <c r="L14" s="158">
        <f>L10+L12</f>
        <v>0</v>
      </c>
      <c r="M14" s="158">
        <f>M10+M12</f>
        <v>21128</v>
      </c>
      <c r="N14" s="137" t="e">
        <f>SUM(#REF!)</f>
        <v>#REF!</v>
      </c>
      <c r="O14" s="137" t="e">
        <f>SUM(#REF!)</f>
        <v>#REF!</v>
      </c>
      <c r="P14" s="137" t="e">
        <f>SUM(#REF!)</f>
        <v>#REF!</v>
      </c>
      <c r="Q14" s="137" t="e">
        <f>SUM(#REF!)</f>
        <v>#REF!</v>
      </c>
      <c r="R14" s="137" t="e">
        <f>SUM(#REF!)</f>
        <v>#REF!</v>
      </c>
      <c r="S14" s="137" t="e">
        <f>SUM(#REF!)</f>
        <v>#REF!</v>
      </c>
      <c r="T14" s="137" t="e">
        <f>SUM(#REF!)</f>
        <v>#REF!</v>
      </c>
      <c r="U14" s="137" t="e">
        <f>SUM(#REF!)</f>
        <v>#REF!</v>
      </c>
      <c r="V14" s="137" t="e">
        <f>SUM(#REF!)</f>
        <v>#REF!</v>
      </c>
      <c r="W14" s="137" t="e">
        <f>SUM(#REF!)</f>
        <v>#REF!</v>
      </c>
      <c r="X14" s="158">
        <f>X10+X12</f>
        <v>0</v>
      </c>
      <c r="Y14" s="158">
        <f>Y10+Y12</f>
        <v>2866.89</v>
      </c>
      <c r="Z14" s="158">
        <f>Z10+Z12</f>
        <v>0</v>
      </c>
      <c r="AA14" s="158">
        <f>AA10+AA12</f>
        <v>2866.89</v>
      </c>
      <c r="AB14" s="158">
        <f>AB10+AB12</f>
        <v>18261.11</v>
      </c>
      <c r="AC14" s="108"/>
    </row>
    <row r="15" spans="1:30" ht="13.5" thickTop="1" x14ac:dyDescent="0.2"/>
    <row r="27" spans="4:41" ht="18" x14ac:dyDescent="0.25">
      <c r="D27" s="108"/>
      <c r="E27" s="108"/>
      <c r="F27" s="108"/>
      <c r="G27" s="108"/>
      <c r="H27" s="108"/>
      <c r="I27" s="108"/>
      <c r="J27" s="108"/>
      <c r="K27" s="108"/>
      <c r="L27" s="108"/>
      <c r="M27" s="108"/>
      <c r="N27" s="108"/>
      <c r="O27" s="108"/>
      <c r="P27" s="108"/>
      <c r="Q27" s="108"/>
      <c r="R27" s="108"/>
      <c r="S27" s="108"/>
      <c r="T27" s="108"/>
      <c r="U27" s="108"/>
      <c r="V27" s="108"/>
      <c r="W27" s="108"/>
      <c r="X27" s="108"/>
      <c r="Y27" s="108"/>
      <c r="Z27" s="108"/>
      <c r="AA27" s="108"/>
      <c r="AB27" s="108"/>
      <c r="AC27" s="108"/>
    </row>
    <row r="28" spans="4:41" ht="18" x14ac:dyDescent="0.25">
      <c r="D28" s="215" t="s">
        <v>521</v>
      </c>
      <c r="E28" s="108"/>
      <c r="F28" s="108"/>
      <c r="G28" s="108"/>
      <c r="H28" s="108"/>
      <c r="I28" s="108"/>
      <c r="J28" s="108"/>
      <c r="K28" s="108"/>
      <c r="L28" s="108"/>
      <c r="M28" s="108"/>
      <c r="N28" s="108"/>
      <c r="O28" s="108"/>
      <c r="P28" s="108"/>
      <c r="Q28" s="108"/>
      <c r="R28" s="108"/>
      <c r="S28" s="108"/>
      <c r="T28" s="108"/>
      <c r="U28" s="108"/>
      <c r="V28" s="108"/>
      <c r="W28" s="108"/>
      <c r="X28" s="108"/>
      <c r="Y28" s="215" t="s">
        <v>148</v>
      </c>
      <c r="Z28" s="108"/>
      <c r="AA28" s="108"/>
      <c r="AB28" s="108"/>
      <c r="AC28" s="108"/>
    </row>
    <row r="29" spans="4:41" ht="18" x14ac:dyDescent="0.25">
      <c r="D29" s="215" t="s">
        <v>542</v>
      </c>
      <c r="E29" s="215"/>
      <c r="F29" s="215"/>
      <c r="G29" s="215"/>
      <c r="H29" s="215"/>
      <c r="I29" s="215"/>
      <c r="J29" s="215"/>
      <c r="K29" s="215"/>
      <c r="L29" s="215"/>
      <c r="M29" s="108"/>
      <c r="N29" s="108"/>
      <c r="O29" s="108"/>
      <c r="P29" s="108"/>
      <c r="Q29" s="108"/>
      <c r="R29" s="108"/>
      <c r="S29" s="108"/>
      <c r="T29" s="108"/>
      <c r="U29" s="108"/>
      <c r="V29" s="108"/>
      <c r="W29" s="108"/>
      <c r="X29" s="108"/>
      <c r="Y29" s="215" t="s">
        <v>218</v>
      </c>
      <c r="Z29" s="108"/>
      <c r="AA29" s="215"/>
      <c r="AB29" s="215"/>
      <c r="AC29" s="215"/>
      <c r="AD29" s="42"/>
      <c r="AE29" s="42"/>
      <c r="AF29" s="42"/>
      <c r="AG29" s="42"/>
      <c r="AH29" s="42"/>
      <c r="AI29" s="42"/>
      <c r="AJ29" s="42"/>
      <c r="AK29" s="42"/>
      <c r="AN29" s="42"/>
      <c r="AO29" s="42"/>
    </row>
    <row r="30" spans="4:41" ht="18" x14ac:dyDescent="0.25">
      <c r="D30" s="108"/>
      <c r="E30" s="108"/>
      <c r="F30" s="108"/>
      <c r="G30" s="108"/>
      <c r="H30" s="108"/>
      <c r="I30" s="108"/>
      <c r="J30" s="108"/>
      <c r="K30" s="108"/>
      <c r="L30" s="108"/>
      <c r="M30" s="108"/>
      <c r="N30" s="108"/>
      <c r="O30" s="108"/>
      <c r="P30" s="108"/>
      <c r="Q30" s="108"/>
      <c r="R30" s="108"/>
      <c r="S30" s="108"/>
      <c r="T30" s="108"/>
      <c r="U30" s="108"/>
      <c r="V30" s="108"/>
      <c r="W30" s="108"/>
      <c r="X30" s="108"/>
      <c r="Y30" s="108"/>
      <c r="Z30" s="108"/>
      <c r="AA30" s="108"/>
      <c r="AB30" s="108"/>
      <c r="AC30" s="108"/>
    </row>
    <row r="31" spans="4:41" ht="18" x14ac:dyDescent="0.25">
      <c r="D31" s="108"/>
      <c r="E31" s="108"/>
      <c r="F31" s="108"/>
      <c r="G31" s="108"/>
      <c r="H31" s="108"/>
      <c r="I31" s="108"/>
      <c r="J31" s="108"/>
      <c r="K31" s="108"/>
      <c r="L31" s="108"/>
      <c r="M31" s="108"/>
      <c r="N31" s="108"/>
      <c r="O31" s="108"/>
      <c r="P31" s="108"/>
      <c r="Q31" s="108"/>
      <c r="R31" s="108"/>
      <c r="S31" s="108"/>
      <c r="T31" s="108"/>
      <c r="U31" s="108"/>
      <c r="V31" s="108"/>
      <c r="W31" s="108"/>
      <c r="X31" s="108"/>
      <c r="Y31" s="108"/>
      <c r="Z31" s="108"/>
      <c r="AA31" s="108"/>
      <c r="AB31" s="108"/>
      <c r="AC31" s="108"/>
    </row>
  </sheetData>
  <mergeCells count="7">
    <mergeCell ref="A14:J14"/>
    <mergeCell ref="A1:AC1"/>
    <mergeCell ref="A2:AC2"/>
    <mergeCell ref="K5:M5"/>
    <mergeCell ref="P5:U5"/>
    <mergeCell ref="Y5:AA5"/>
    <mergeCell ref="B3:AD3"/>
  </mergeCells>
  <pageMargins left="0.27559055118110237" right="0.27559055118110237" top="0.74803149606299213" bottom="0.35433070866141736" header="0.31496062992125984" footer="0.31496062992125984"/>
  <pageSetup scale="40" orientation="landscape" horizontalDpi="4294967293" verticalDpi="36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I52"/>
  <sheetViews>
    <sheetView topLeftCell="B34" zoomScale="66" zoomScaleNormal="66" workbookViewId="0">
      <selection activeCell="L38" sqref="L38"/>
    </sheetView>
  </sheetViews>
  <sheetFormatPr baseColWidth="10" defaultColWidth="11.42578125" defaultRowHeight="12.75" x14ac:dyDescent="0.2"/>
  <cols>
    <col min="1" max="1" width="5.5703125" hidden="1" customWidth="1"/>
    <col min="2" max="2" width="11.42578125" customWidth="1"/>
    <col min="3" max="3" width="9.28515625" customWidth="1"/>
    <col min="4" max="4" width="25.7109375" customWidth="1"/>
    <col min="5" max="5" width="23.42578125" customWidth="1"/>
    <col min="6" max="6" width="31.85546875" customWidth="1"/>
    <col min="7" max="7" width="17.85546875" customWidth="1"/>
    <col min="8" max="8" width="32.28515625" customWidth="1"/>
    <col min="9" max="9" width="10" hidden="1" customWidth="1"/>
    <col min="10" max="10" width="12.7109375" hidden="1" customWidth="1"/>
    <col min="11" max="11" width="18" customWidth="1"/>
    <col min="12" max="12" width="17.42578125" customWidth="1"/>
    <col min="13" max="13" width="18.28515625" customWidth="1"/>
    <col min="14" max="14" width="13.140625" hidden="1" customWidth="1"/>
    <col min="15" max="15" width="15.140625" hidden="1" customWidth="1"/>
    <col min="16" max="16" width="14" hidden="1" customWidth="1"/>
    <col min="17" max="17" width="14.5703125" hidden="1" customWidth="1"/>
    <col min="18" max="19" width="13.140625" hidden="1" customWidth="1"/>
    <col min="20" max="21" width="14.28515625" hidden="1" customWidth="1"/>
    <col min="22" max="23" width="13.140625" hidden="1" customWidth="1"/>
    <col min="24" max="24" width="9.7109375" customWidth="1"/>
    <col min="25" max="25" width="16.42578125" customWidth="1"/>
    <col min="26" max="27" width="15.7109375" customWidth="1"/>
    <col min="28" max="28" width="18.28515625" customWidth="1"/>
    <col min="29" max="29" width="79.28515625" customWidth="1"/>
    <col min="30" max="30" width="1.42578125" customWidth="1"/>
  </cols>
  <sheetData>
    <row r="1" spans="1:35" ht="19.5" x14ac:dyDescent="0.25">
      <c r="A1" s="455" t="s">
        <v>77</v>
      </c>
      <c r="B1" s="455"/>
      <c r="C1" s="455"/>
      <c r="D1" s="455"/>
      <c r="E1" s="455"/>
      <c r="F1" s="455"/>
      <c r="G1" s="455"/>
      <c r="H1" s="455"/>
      <c r="I1" s="455"/>
      <c r="J1" s="455"/>
      <c r="K1" s="455"/>
      <c r="L1" s="455"/>
      <c r="M1" s="455"/>
      <c r="N1" s="455"/>
      <c r="O1" s="455"/>
      <c r="P1" s="455"/>
      <c r="Q1" s="455"/>
      <c r="R1" s="455"/>
      <c r="S1" s="455"/>
      <c r="T1" s="455"/>
      <c r="U1" s="455"/>
      <c r="V1" s="455"/>
      <c r="W1" s="455"/>
      <c r="X1" s="455"/>
      <c r="Y1" s="455"/>
      <c r="Z1" s="455"/>
      <c r="AA1" s="455"/>
      <c r="AB1" s="455"/>
      <c r="AC1" s="455"/>
    </row>
    <row r="2" spans="1:35" ht="19.5" x14ac:dyDescent="0.25">
      <c r="A2" s="455" t="s">
        <v>64</v>
      </c>
      <c r="B2" s="455"/>
      <c r="C2" s="455"/>
      <c r="D2" s="455"/>
      <c r="E2" s="455"/>
      <c r="F2" s="455"/>
      <c r="G2" s="455"/>
      <c r="H2" s="455"/>
      <c r="I2" s="455"/>
      <c r="J2" s="455"/>
      <c r="K2" s="455"/>
      <c r="L2" s="455"/>
      <c r="M2" s="455"/>
      <c r="N2" s="455"/>
      <c r="O2" s="455"/>
      <c r="P2" s="455"/>
      <c r="Q2" s="455"/>
      <c r="R2" s="455"/>
      <c r="S2" s="455"/>
      <c r="T2" s="455"/>
      <c r="U2" s="455"/>
      <c r="V2" s="455"/>
      <c r="W2" s="455"/>
      <c r="X2" s="455"/>
      <c r="Y2" s="455"/>
      <c r="Z2" s="455"/>
      <c r="AA2" s="455"/>
      <c r="AB2" s="455"/>
      <c r="AC2" s="455"/>
    </row>
    <row r="3" spans="1:35" ht="19.5" x14ac:dyDescent="0.25">
      <c r="A3" s="456" t="str">
        <f>PRESIDENCIA!A3</f>
        <v>SUELDO  DEL 16 AL 30 DE ABRIL DE 2025</v>
      </c>
      <c r="B3" s="456"/>
      <c r="C3" s="456"/>
      <c r="D3" s="456"/>
      <c r="E3" s="456"/>
      <c r="F3" s="456"/>
      <c r="G3" s="456"/>
      <c r="H3" s="456"/>
      <c r="I3" s="456"/>
      <c r="J3" s="456"/>
      <c r="K3" s="456"/>
      <c r="L3" s="456"/>
      <c r="M3" s="456"/>
      <c r="N3" s="456"/>
      <c r="O3" s="456"/>
      <c r="P3" s="456"/>
      <c r="Q3" s="456"/>
      <c r="R3" s="456"/>
      <c r="S3" s="456"/>
      <c r="T3" s="456"/>
      <c r="U3" s="456"/>
      <c r="V3" s="456"/>
      <c r="W3" s="456"/>
      <c r="X3" s="456"/>
      <c r="Y3" s="456"/>
      <c r="Z3" s="456"/>
      <c r="AA3" s="456"/>
      <c r="AB3" s="456"/>
      <c r="AC3" s="456"/>
    </row>
    <row r="4" spans="1:35" ht="15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</row>
    <row r="5" spans="1:35" s="52" customFormat="1" ht="12.75" customHeight="1" x14ac:dyDescent="0.2">
      <c r="A5" s="48"/>
      <c r="B5" s="48"/>
      <c r="C5" s="478" t="s">
        <v>119</v>
      </c>
      <c r="D5" s="48"/>
      <c r="E5" s="48"/>
      <c r="F5" s="48"/>
      <c r="G5" s="48"/>
      <c r="H5" s="48"/>
      <c r="I5" s="49" t="s">
        <v>22</v>
      </c>
      <c r="J5" s="49" t="s">
        <v>5</v>
      </c>
      <c r="K5" s="481" t="s">
        <v>1</v>
      </c>
      <c r="L5" s="482"/>
      <c r="M5" s="483"/>
      <c r="N5" s="50" t="s">
        <v>25</v>
      </c>
      <c r="O5" s="51"/>
      <c r="P5" s="484" t="s">
        <v>8</v>
      </c>
      <c r="Q5" s="485"/>
      <c r="R5" s="485"/>
      <c r="S5" s="485"/>
      <c r="T5" s="485"/>
      <c r="U5" s="486"/>
      <c r="V5" s="50" t="s">
        <v>29</v>
      </c>
      <c r="W5" s="50" t="s">
        <v>9</v>
      </c>
      <c r="X5" s="49" t="s">
        <v>52</v>
      </c>
      <c r="Y5" s="487" t="s">
        <v>2</v>
      </c>
      <c r="Z5" s="488"/>
      <c r="AA5" s="489"/>
      <c r="AB5" s="49" t="s">
        <v>0</v>
      </c>
      <c r="AC5" s="48"/>
    </row>
    <row r="6" spans="1:35" s="52" customFormat="1" ht="24" x14ac:dyDescent="0.2">
      <c r="A6" s="53" t="s">
        <v>20</v>
      </c>
      <c r="B6" s="47" t="s">
        <v>97</v>
      </c>
      <c r="C6" s="479"/>
      <c r="D6" s="53" t="s">
        <v>21</v>
      </c>
      <c r="E6" s="53"/>
      <c r="F6" s="53"/>
      <c r="G6" s="53"/>
      <c r="H6" s="53"/>
      <c r="I6" s="54" t="s">
        <v>23</v>
      </c>
      <c r="J6" s="53" t="s">
        <v>24</v>
      </c>
      <c r="K6" s="49" t="s">
        <v>5</v>
      </c>
      <c r="L6" s="49" t="s">
        <v>58</v>
      </c>
      <c r="M6" s="49" t="s">
        <v>27</v>
      </c>
      <c r="N6" s="55" t="s">
        <v>26</v>
      </c>
      <c r="O6" s="51" t="s">
        <v>31</v>
      </c>
      <c r="P6" s="51" t="s">
        <v>11</v>
      </c>
      <c r="Q6" s="51" t="s">
        <v>33</v>
      </c>
      <c r="R6" s="51" t="s">
        <v>35</v>
      </c>
      <c r="S6" s="51" t="s">
        <v>36</v>
      </c>
      <c r="T6" s="51" t="s">
        <v>13</v>
      </c>
      <c r="U6" s="51" t="s">
        <v>9</v>
      </c>
      <c r="V6" s="55" t="s">
        <v>39</v>
      </c>
      <c r="W6" s="55" t="s">
        <v>40</v>
      </c>
      <c r="X6" s="53" t="s">
        <v>30</v>
      </c>
      <c r="Y6" s="49" t="s">
        <v>281</v>
      </c>
      <c r="Z6" s="49" t="s">
        <v>56</v>
      </c>
      <c r="AA6" s="49" t="s">
        <v>6</v>
      </c>
      <c r="AB6" s="53" t="s">
        <v>3</v>
      </c>
      <c r="AC6" s="53" t="s">
        <v>57</v>
      </c>
    </row>
    <row r="7" spans="1:35" s="52" customFormat="1" ht="12" x14ac:dyDescent="0.2">
      <c r="A7" s="62"/>
      <c r="B7" s="62"/>
      <c r="C7" s="480"/>
      <c r="D7" s="62"/>
      <c r="E7" s="62"/>
      <c r="F7" s="62"/>
      <c r="G7" s="62"/>
      <c r="H7" s="62"/>
      <c r="I7" s="62"/>
      <c r="J7" s="62"/>
      <c r="K7" s="62" t="s">
        <v>46</v>
      </c>
      <c r="L7" s="62" t="s">
        <v>59</v>
      </c>
      <c r="M7" s="62" t="s">
        <v>28</v>
      </c>
      <c r="N7" s="63" t="s">
        <v>42</v>
      </c>
      <c r="O7" s="50" t="s">
        <v>32</v>
      </c>
      <c r="P7" s="50" t="s">
        <v>12</v>
      </c>
      <c r="Q7" s="50" t="s">
        <v>34</v>
      </c>
      <c r="R7" s="50" t="s">
        <v>34</v>
      </c>
      <c r="S7" s="50" t="s">
        <v>37</v>
      </c>
      <c r="T7" s="50" t="s">
        <v>14</v>
      </c>
      <c r="U7" s="50" t="s">
        <v>38</v>
      </c>
      <c r="V7" s="55" t="s">
        <v>18</v>
      </c>
      <c r="W7" s="56" t="s">
        <v>125</v>
      </c>
      <c r="X7" s="62" t="s">
        <v>51</v>
      </c>
      <c r="Y7" s="62"/>
      <c r="Z7" s="62"/>
      <c r="AA7" s="62" t="s">
        <v>43</v>
      </c>
      <c r="AB7" s="62" t="s">
        <v>4</v>
      </c>
      <c r="AC7" s="58"/>
    </row>
    <row r="8" spans="1:35" s="52" customFormat="1" ht="35.25" customHeight="1" x14ac:dyDescent="0.25">
      <c r="A8" s="64"/>
      <c r="B8" s="127"/>
      <c r="C8" s="127"/>
      <c r="D8" s="126" t="s">
        <v>68</v>
      </c>
      <c r="E8" s="127" t="s">
        <v>98</v>
      </c>
      <c r="F8" s="127" t="s">
        <v>229</v>
      </c>
      <c r="G8" s="125" t="s">
        <v>291</v>
      </c>
      <c r="H8" s="127" t="s">
        <v>61</v>
      </c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28"/>
      <c r="X8" s="127"/>
      <c r="Y8" s="127"/>
      <c r="Z8" s="127"/>
      <c r="AA8" s="127"/>
      <c r="AB8" s="127"/>
      <c r="AC8" s="65"/>
    </row>
    <row r="9" spans="1:35" s="282" customFormat="1" ht="217.5" customHeight="1" x14ac:dyDescent="0.2">
      <c r="A9" s="267" t="s">
        <v>85</v>
      </c>
      <c r="B9" s="268" t="s">
        <v>494</v>
      </c>
      <c r="C9" s="269" t="s">
        <v>118</v>
      </c>
      <c r="D9" s="270" t="s">
        <v>444</v>
      </c>
      <c r="E9" s="271" t="s">
        <v>522</v>
      </c>
      <c r="F9" s="271" t="s">
        <v>445</v>
      </c>
      <c r="G9" s="272">
        <v>45566</v>
      </c>
      <c r="H9" s="273" t="s">
        <v>569</v>
      </c>
      <c r="I9" s="274">
        <v>15</v>
      </c>
      <c r="J9" s="275">
        <f t="shared" ref="J9:J12" si="0">K9/I9</f>
        <v>803.4</v>
      </c>
      <c r="K9" s="276">
        <v>12051</v>
      </c>
      <c r="L9" s="277">
        <v>0</v>
      </c>
      <c r="M9" s="278">
        <f>SUM(K9:L9)</f>
        <v>12051</v>
      </c>
      <c r="N9" s="300">
        <f t="shared" ref="N9:N12" si="1">IF(K9/15&lt;=SMG,0,L9/2)</f>
        <v>0</v>
      </c>
      <c r="O9" s="321">
        <f t="shared" ref="O9:O12" si="2">(K9+N9)/I9*30.4</f>
        <v>24423.359999999997</v>
      </c>
      <c r="P9" s="321">
        <f t="shared" ref="P9:P12" si="3">VLOOKUP(O9,Tarifa,1)</f>
        <v>15487.72</v>
      </c>
      <c r="Q9" s="300">
        <f t="shared" ref="Q9:Q12" si="4">O9-P9</f>
        <v>8935.6399999999976</v>
      </c>
      <c r="R9" s="301">
        <f t="shared" ref="R9:R12" si="5">VLOOKUP(O9,Tarifa,3)</f>
        <v>0.21360000000000001</v>
      </c>
      <c r="S9" s="300">
        <f t="shared" ref="S9:S12" si="6">Q9*R9</f>
        <v>1908.6527039999996</v>
      </c>
      <c r="T9" s="302">
        <f t="shared" ref="T9:T12" si="7">VLOOKUP(O9,Tarifa,2)</f>
        <v>1640.18</v>
      </c>
      <c r="U9" s="300">
        <f t="shared" ref="U9:U12" si="8">S9+T9</f>
        <v>3548.8327039999995</v>
      </c>
      <c r="V9" s="300">
        <f t="shared" ref="V9:V12" si="9">VLOOKUP(O9,Credito,2)</f>
        <v>0</v>
      </c>
      <c r="W9" s="300">
        <f t="shared" ref="W9:W12" si="10">ROUND((U9-V9)/30.4*I9,2)</f>
        <v>1751.07</v>
      </c>
      <c r="X9" s="278">
        <f>-IF(W9&gt;0,0,0)</f>
        <v>0</v>
      </c>
      <c r="Y9" s="278">
        <f t="shared" ref="Y9" si="11">IF(K9/15&lt;=SMG,0,IF(W9&lt;0,0,W9))</f>
        <v>1751.07</v>
      </c>
      <c r="Z9" s="279">
        <v>0</v>
      </c>
      <c r="AA9" s="278">
        <f t="shared" ref="AA9:AA12" si="12">SUM(Y9:Z9)</f>
        <v>1751.07</v>
      </c>
      <c r="AB9" s="278">
        <f t="shared" ref="AB9" si="13">M9+X9-AA9</f>
        <v>10299.93</v>
      </c>
      <c r="AC9" s="280"/>
      <c r="AD9" s="281"/>
      <c r="AI9" s="283"/>
    </row>
    <row r="10" spans="1:35" s="282" customFormat="1" ht="217.5" customHeight="1" x14ac:dyDescent="0.2">
      <c r="A10" s="267"/>
      <c r="B10" s="268" t="s">
        <v>534</v>
      </c>
      <c r="C10" s="269" t="s">
        <v>118</v>
      </c>
      <c r="D10" s="270" t="s">
        <v>535</v>
      </c>
      <c r="E10" s="271" t="s">
        <v>536</v>
      </c>
      <c r="F10" s="271" t="s">
        <v>537</v>
      </c>
      <c r="G10" s="272">
        <v>45581</v>
      </c>
      <c r="H10" s="273" t="s">
        <v>573</v>
      </c>
      <c r="I10" s="274">
        <v>15</v>
      </c>
      <c r="J10" s="275">
        <f t="shared" si="0"/>
        <v>803.4</v>
      </c>
      <c r="K10" s="276">
        <v>12051</v>
      </c>
      <c r="L10" s="277">
        <v>0</v>
      </c>
      <c r="M10" s="278">
        <f>SUM(K10:L10)</f>
        <v>12051</v>
      </c>
      <c r="N10" s="300">
        <f t="shared" si="1"/>
        <v>0</v>
      </c>
      <c r="O10" s="321">
        <f t="shared" si="2"/>
        <v>24423.359999999997</v>
      </c>
      <c r="P10" s="321">
        <f t="shared" si="3"/>
        <v>15487.72</v>
      </c>
      <c r="Q10" s="300">
        <f t="shared" si="4"/>
        <v>8935.6399999999976</v>
      </c>
      <c r="R10" s="301">
        <f t="shared" si="5"/>
        <v>0.21360000000000001</v>
      </c>
      <c r="S10" s="300">
        <f t="shared" si="6"/>
        <v>1908.6527039999996</v>
      </c>
      <c r="T10" s="302">
        <f t="shared" si="7"/>
        <v>1640.18</v>
      </c>
      <c r="U10" s="300">
        <f t="shared" si="8"/>
        <v>3548.8327039999995</v>
      </c>
      <c r="V10" s="300">
        <f t="shared" si="9"/>
        <v>0</v>
      </c>
      <c r="W10" s="300">
        <f t="shared" si="10"/>
        <v>1751.07</v>
      </c>
      <c r="X10" s="278">
        <f>-IF(W10&gt;0,0,0)</f>
        <v>0</v>
      </c>
      <c r="Y10" s="278">
        <f t="shared" ref="Y10" si="14">IF(K10/15&lt;=SMG,0,IF(W10&lt;0,0,W10))</f>
        <v>1751.07</v>
      </c>
      <c r="Z10" s="279">
        <v>0</v>
      </c>
      <c r="AA10" s="278">
        <f t="shared" ref="AA10" si="15">SUM(Y10:Z10)</f>
        <v>1751.07</v>
      </c>
      <c r="AB10" s="278">
        <f t="shared" ref="AB10" si="16">M10+X10-AA10</f>
        <v>10299.93</v>
      </c>
      <c r="AC10" s="280"/>
      <c r="AD10" s="281"/>
      <c r="AI10" s="283"/>
    </row>
    <row r="11" spans="1:35" s="282" customFormat="1" ht="217.5" customHeight="1" x14ac:dyDescent="0.2">
      <c r="A11" s="267"/>
      <c r="B11" s="268" t="s">
        <v>315</v>
      </c>
      <c r="C11" s="269" t="s">
        <v>118</v>
      </c>
      <c r="D11" s="270" t="s">
        <v>326</v>
      </c>
      <c r="E11" s="271" t="s">
        <v>327</v>
      </c>
      <c r="F11" s="271" t="s">
        <v>329</v>
      </c>
      <c r="G11" s="272">
        <v>45139</v>
      </c>
      <c r="H11" s="273" t="s">
        <v>328</v>
      </c>
      <c r="I11" s="274">
        <v>15</v>
      </c>
      <c r="J11" s="275">
        <f t="shared" si="0"/>
        <v>309.60000000000002</v>
      </c>
      <c r="K11" s="276">
        <v>4644</v>
      </c>
      <c r="L11" s="277">
        <v>0</v>
      </c>
      <c r="M11" s="278">
        <f>SUM(K11:L11)</f>
        <v>4644</v>
      </c>
      <c r="N11" s="300">
        <f t="shared" si="1"/>
        <v>0</v>
      </c>
      <c r="O11" s="321">
        <f t="shared" si="2"/>
        <v>9411.84</v>
      </c>
      <c r="P11" s="321">
        <f t="shared" si="3"/>
        <v>6332.06</v>
      </c>
      <c r="Q11" s="300">
        <f t="shared" si="4"/>
        <v>3079.7799999999997</v>
      </c>
      <c r="R11" s="301">
        <f t="shared" si="5"/>
        <v>0.10879999999999999</v>
      </c>
      <c r="S11" s="300">
        <f t="shared" si="6"/>
        <v>335.08006399999994</v>
      </c>
      <c r="T11" s="302">
        <f t="shared" si="7"/>
        <v>371.83</v>
      </c>
      <c r="U11" s="300">
        <f t="shared" si="8"/>
        <v>706.91006399999992</v>
      </c>
      <c r="V11" s="300">
        <f t="shared" si="9"/>
        <v>475</v>
      </c>
      <c r="W11" s="300">
        <f t="shared" si="10"/>
        <v>114.43</v>
      </c>
      <c r="X11" s="278">
        <f t="shared" ref="X11:X12" si="17">-IF(W11&gt;0,0,0)</f>
        <v>0</v>
      </c>
      <c r="Y11" s="278">
        <f>IF(K11/15&lt;=SMG,0,IF(W11&lt;0,0,W11))</f>
        <v>114.43</v>
      </c>
      <c r="Z11" s="279">
        <v>0</v>
      </c>
      <c r="AA11" s="278">
        <f>SUM(Y11:Z11)</f>
        <v>114.43</v>
      </c>
      <c r="AB11" s="278">
        <f>M11+X11-AA11</f>
        <v>4529.57</v>
      </c>
      <c r="AC11" s="280"/>
      <c r="AD11" s="281"/>
      <c r="AI11" s="283"/>
    </row>
    <row r="12" spans="1:35" s="282" customFormat="1" ht="217.5" customHeight="1" x14ac:dyDescent="0.2">
      <c r="A12" s="267"/>
      <c r="B12" s="269" t="s">
        <v>189</v>
      </c>
      <c r="C12" s="269" t="s">
        <v>118</v>
      </c>
      <c r="D12" s="270" t="s">
        <v>190</v>
      </c>
      <c r="E12" s="271" t="s">
        <v>191</v>
      </c>
      <c r="F12" s="271" t="s">
        <v>255</v>
      </c>
      <c r="G12" s="272">
        <v>43983</v>
      </c>
      <c r="H12" s="273" t="s">
        <v>570</v>
      </c>
      <c r="I12" s="274">
        <v>15</v>
      </c>
      <c r="J12" s="275">
        <f t="shared" si="0"/>
        <v>803.4</v>
      </c>
      <c r="K12" s="276">
        <v>12051</v>
      </c>
      <c r="L12" s="277">
        <v>0</v>
      </c>
      <c r="M12" s="278">
        <f>SUM(K12:L12)</f>
        <v>12051</v>
      </c>
      <c r="N12" s="300">
        <f t="shared" si="1"/>
        <v>0</v>
      </c>
      <c r="O12" s="321">
        <f t="shared" si="2"/>
        <v>24423.359999999997</v>
      </c>
      <c r="P12" s="321">
        <f t="shared" si="3"/>
        <v>15487.72</v>
      </c>
      <c r="Q12" s="300">
        <f t="shared" si="4"/>
        <v>8935.6399999999976</v>
      </c>
      <c r="R12" s="301">
        <f t="shared" si="5"/>
        <v>0.21360000000000001</v>
      </c>
      <c r="S12" s="300">
        <f t="shared" si="6"/>
        <v>1908.6527039999996</v>
      </c>
      <c r="T12" s="302">
        <f t="shared" si="7"/>
        <v>1640.18</v>
      </c>
      <c r="U12" s="300">
        <f t="shared" si="8"/>
        <v>3548.8327039999995</v>
      </c>
      <c r="V12" s="300">
        <f t="shared" si="9"/>
        <v>0</v>
      </c>
      <c r="W12" s="300">
        <f t="shared" si="10"/>
        <v>1751.07</v>
      </c>
      <c r="X12" s="278">
        <f t="shared" si="17"/>
        <v>0</v>
      </c>
      <c r="Y12" s="278">
        <f t="shared" ref="Y12" si="18">IF(K12/15&lt;=SMG,0,IF(W12&lt;0,0,W12))</f>
        <v>1751.07</v>
      </c>
      <c r="Z12" s="279">
        <v>0</v>
      </c>
      <c r="AA12" s="278">
        <f t="shared" si="12"/>
        <v>1751.07</v>
      </c>
      <c r="AB12" s="278">
        <f t="shared" ref="AB12" si="19">M12+X12-AA12</f>
        <v>10299.93</v>
      </c>
      <c r="AC12" s="280"/>
      <c r="AD12" s="281"/>
      <c r="AI12" s="283"/>
    </row>
    <row r="13" spans="1:35" s="282" customFormat="1" ht="221.25" customHeight="1" x14ac:dyDescent="0.2">
      <c r="A13" s="267"/>
      <c r="B13" s="291" t="s">
        <v>285</v>
      </c>
      <c r="C13" s="285" t="s">
        <v>118</v>
      </c>
      <c r="D13" s="292" t="s">
        <v>282</v>
      </c>
      <c r="E13" s="293" t="s">
        <v>283</v>
      </c>
      <c r="F13" s="293" t="s">
        <v>284</v>
      </c>
      <c r="G13" s="294">
        <v>44958</v>
      </c>
      <c r="H13" s="288" t="s">
        <v>141</v>
      </c>
      <c r="I13" s="289">
        <v>15</v>
      </c>
      <c r="J13" s="275">
        <f t="shared" ref="J13:J14" si="20">K13/I13</f>
        <v>380.43333333333334</v>
      </c>
      <c r="K13" s="276">
        <v>5706.5</v>
      </c>
      <c r="L13" s="277">
        <v>0</v>
      </c>
      <c r="M13" s="278">
        <f>SUM(K13:L13)</f>
        <v>5706.5</v>
      </c>
      <c r="N13" s="300">
        <f t="shared" ref="N13:N14" si="21">IF(K13/15&lt;=SMG,0,L13/2)</f>
        <v>0</v>
      </c>
      <c r="O13" s="321">
        <f t="shared" ref="O13:O14" si="22">(K13+N13)/I13*30.4</f>
        <v>11565.173333333332</v>
      </c>
      <c r="P13" s="321">
        <f t="shared" ref="P13:P14" si="23">VLOOKUP(O13,Tarifa,1)</f>
        <v>11128.02</v>
      </c>
      <c r="Q13" s="300">
        <f t="shared" ref="Q13:Q14" si="24">O13-P13</f>
        <v>437.15333333333183</v>
      </c>
      <c r="R13" s="301">
        <f t="shared" ref="R13:R14" si="25">VLOOKUP(O13,Tarifa,3)</f>
        <v>0.16</v>
      </c>
      <c r="S13" s="300">
        <f t="shared" ref="S13:S14" si="26">Q13*R13</f>
        <v>69.944533333333098</v>
      </c>
      <c r="T13" s="302">
        <f t="shared" ref="T13:T14" si="27">VLOOKUP(O13,Tarifa,2)</f>
        <v>893.63</v>
      </c>
      <c r="U13" s="300">
        <f t="shared" ref="U13:U14" si="28">S13+T13</f>
        <v>963.57453333333308</v>
      </c>
      <c r="V13" s="300">
        <f t="shared" ref="V13:V14" si="29">VLOOKUP(O13,Credito,2)</f>
        <v>0</v>
      </c>
      <c r="W13" s="300">
        <f t="shared" ref="W13:W14" si="30">ROUND((U13-V13)/30.4*I13,2)</f>
        <v>475.45</v>
      </c>
      <c r="X13" s="278">
        <f>-IF(W13&gt;0,0,0)</f>
        <v>0</v>
      </c>
      <c r="Y13" s="278">
        <f>IF(K13/15&lt;=SMG,0,IF(W13&lt;0,0,W13))</f>
        <v>475.45</v>
      </c>
      <c r="Z13" s="279">
        <v>0</v>
      </c>
      <c r="AA13" s="278">
        <f>SUM(Y13:Z13)</f>
        <v>475.45</v>
      </c>
      <c r="AB13" s="278">
        <f>M13+X13-AA13</f>
        <v>5231.05</v>
      </c>
      <c r="AC13" s="290"/>
      <c r="AD13" s="281"/>
      <c r="AI13" s="283"/>
    </row>
    <row r="14" spans="1:35" s="282" customFormat="1" ht="223.5" customHeight="1" x14ac:dyDescent="0.2">
      <c r="A14" s="267"/>
      <c r="B14" s="268" t="s">
        <v>617</v>
      </c>
      <c r="C14" s="268" t="s">
        <v>118</v>
      </c>
      <c r="D14" s="292" t="s">
        <v>605</v>
      </c>
      <c r="E14" s="293" t="s">
        <v>606</v>
      </c>
      <c r="F14" s="280" t="s">
        <v>607</v>
      </c>
      <c r="G14" s="331">
        <v>45698</v>
      </c>
      <c r="H14" s="273" t="s">
        <v>67</v>
      </c>
      <c r="I14" s="289">
        <v>15</v>
      </c>
      <c r="J14" s="275">
        <f t="shared" si="20"/>
        <v>506.81133333333332</v>
      </c>
      <c r="K14" s="276">
        <v>7602.17</v>
      </c>
      <c r="L14" s="277">
        <v>1118.03</v>
      </c>
      <c r="M14" s="278">
        <f t="shared" ref="M14" si="31">SUM(K14:L14)</f>
        <v>8720.2000000000007</v>
      </c>
      <c r="N14" s="300">
        <f t="shared" si="21"/>
        <v>559.01499999999999</v>
      </c>
      <c r="O14" s="321">
        <f t="shared" si="22"/>
        <v>16540.0016</v>
      </c>
      <c r="P14" s="321">
        <f t="shared" si="23"/>
        <v>15487.72</v>
      </c>
      <c r="Q14" s="300">
        <f t="shared" si="24"/>
        <v>1052.2816000000003</v>
      </c>
      <c r="R14" s="301">
        <f t="shared" si="25"/>
        <v>0.21360000000000001</v>
      </c>
      <c r="S14" s="300">
        <f t="shared" si="26"/>
        <v>224.76734976000006</v>
      </c>
      <c r="T14" s="302">
        <f t="shared" si="27"/>
        <v>1640.18</v>
      </c>
      <c r="U14" s="300">
        <f t="shared" si="28"/>
        <v>1864.9473497600002</v>
      </c>
      <c r="V14" s="300">
        <f t="shared" si="29"/>
        <v>0</v>
      </c>
      <c r="W14" s="300">
        <f t="shared" si="30"/>
        <v>920.2</v>
      </c>
      <c r="X14" s="278">
        <f t="shared" ref="X14" si="32">-IF(W14&gt;0,0,0)</f>
        <v>0</v>
      </c>
      <c r="Y14" s="278">
        <f t="shared" ref="Y14" si="33">IF(K14/15&lt;=SMG,0,IF(W14&lt;0,0,W14))</f>
        <v>920.2</v>
      </c>
      <c r="Z14" s="279">
        <v>0</v>
      </c>
      <c r="AA14" s="278">
        <f t="shared" ref="AA14" si="34">SUM(Y14:Z14)</f>
        <v>920.2</v>
      </c>
      <c r="AB14" s="278">
        <f t="shared" ref="AB14" si="35">M14+X14-AA14</f>
        <v>7800.0000000000009</v>
      </c>
      <c r="AC14" s="290"/>
      <c r="AD14" s="281"/>
      <c r="AI14" s="283"/>
    </row>
    <row r="15" spans="1:35" s="91" customFormat="1" ht="42.75" customHeight="1" x14ac:dyDescent="0.3">
      <c r="A15" s="143"/>
      <c r="B15" s="246"/>
      <c r="C15" s="216"/>
      <c r="D15" s="217"/>
      <c r="E15" s="218"/>
      <c r="F15" s="218"/>
      <c r="G15" s="245"/>
      <c r="H15" s="150"/>
      <c r="I15" s="151"/>
      <c r="J15" s="152"/>
      <c r="K15" s="222"/>
      <c r="L15" s="223"/>
      <c r="M15" s="224"/>
      <c r="N15" s="225"/>
      <c r="O15" s="225"/>
      <c r="P15" s="225"/>
      <c r="Q15" s="225"/>
      <c r="R15" s="226"/>
      <c r="S15" s="225"/>
      <c r="T15" s="227"/>
      <c r="U15" s="225"/>
      <c r="V15" s="225"/>
      <c r="W15" s="225"/>
      <c r="X15" s="224"/>
      <c r="Y15" s="224"/>
      <c r="Z15" s="228"/>
      <c r="AA15" s="224"/>
      <c r="AB15" s="224"/>
      <c r="AD15" s="92"/>
      <c r="AI15" s="93"/>
    </row>
    <row r="16" spans="1:35" s="91" customFormat="1" ht="42.75" customHeight="1" x14ac:dyDescent="0.3">
      <c r="A16" s="143"/>
      <c r="B16" s="246"/>
      <c r="C16" s="216"/>
      <c r="D16" s="217"/>
      <c r="E16" s="218"/>
      <c r="F16" s="218"/>
      <c r="G16" s="245"/>
      <c r="H16" s="150"/>
      <c r="I16" s="151"/>
      <c r="J16" s="152"/>
      <c r="K16" s="222"/>
      <c r="L16" s="223"/>
      <c r="M16" s="224"/>
      <c r="N16" s="225"/>
      <c r="O16" s="225"/>
      <c r="P16" s="225"/>
      <c r="Q16" s="225"/>
      <c r="R16" s="226"/>
      <c r="S16" s="225"/>
      <c r="T16" s="227"/>
      <c r="U16" s="225"/>
      <c r="V16" s="225"/>
      <c r="W16" s="225"/>
      <c r="X16" s="224"/>
      <c r="Y16" s="224"/>
      <c r="Z16" s="228"/>
      <c r="AA16" s="224"/>
      <c r="AB16" s="224"/>
      <c r="AD16" s="92"/>
      <c r="AI16" s="93"/>
    </row>
    <row r="17" spans="1:35" s="91" customFormat="1" ht="32.25" customHeight="1" x14ac:dyDescent="0.25">
      <c r="A17" s="143"/>
      <c r="B17" s="455" t="s">
        <v>77</v>
      </c>
      <c r="C17" s="455"/>
      <c r="D17" s="455"/>
      <c r="E17" s="455"/>
      <c r="F17" s="455"/>
      <c r="G17" s="455"/>
      <c r="H17" s="455"/>
      <c r="I17" s="455"/>
      <c r="J17" s="455"/>
      <c r="K17" s="455"/>
      <c r="L17" s="455"/>
      <c r="M17" s="455"/>
      <c r="N17" s="455"/>
      <c r="O17" s="455"/>
      <c r="P17" s="455"/>
      <c r="Q17" s="455"/>
      <c r="R17" s="455"/>
      <c r="S17" s="455"/>
      <c r="T17" s="455"/>
      <c r="U17" s="455"/>
      <c r="V17" s="455"/>
      <c r="W17" s="455"/>
      <c r="X17" s="455"/>
      <c r="Y17" s="455"/>
      <c r="Z17" s="455"/>
      <c r="AA17" s="455"/>
      <c r="AB17" s="455"/>
      <c r="AC17" s="455"/>
      <c r="AD17" s="455"/>
      <c r="AI17" s="93"/>
    </row>
    <row r="18" spans="1:35" s="91" customFormat="1" ht="24" customHeight="1" x14ac:dyDescent="0.25">
      <c r="A18" s="143"/>
      <c r="B18" s="455" t="s">
        <v>64</v>
      </c>
      <c r="C18" s="455"/>
      <c r="D18" s="455"/>
      <c r="E18" s="455"/>
      <c r="F18" s="455"/>
      <c r="G18" s="455"/>
      <c r="H18" s="455"/>
      <c r="I18" s="455"/>
      <c r="J18" s="455"/>
      <c r="K18" s="455"/>
      <c r="L18" s="455"/>
      <c r="M18" s="455"/>
      <c r="N18" s="455"/>
      <c r="O18" s="455"/>
      <c r="P18" s="455"/>
      <c r="Q18" s="455"/>
      <c r="R18" s="455"/>
      <c r="S18" s="455"/>
      <c r="T18" s="455"/>
      <c r="U18" s="455"/>
      <c r="V18" s="455"/>
      <c r="W18" s="455"/>
      <c r="X18" s="455"/>
      <c r="Y18" s="455"/>
      <c r="Z18" s="455"/>
      <c r="AA18" s="455"/>
      <c r="AB18" s="455"/>
      <c r="AC18" s="455"/>
      <c r="AD18" s="455"/>
      <c r="AI18" s="93"/>
    </row>
    <row r="19" spans="1:35" s="91" customFormat="1" ht="27.75" customHeight="1" x14ac:dyDescent="0.3">
      <c r="A19" s="143"/>
      <c r="B19" s="476" t="str">
        <f>PRESIDENCIA!A3</f>
        <v>SUELDO  DEL 16 AL 30 DE ABRIL DE 2025</v>
      </c>
      <c r="C19" s="476"/>
      <c r="D19" s="476"/>
      <c r="E19" s="476"/>
      <c r="F19" s="476"/>
      <c r="G19" s="476"/>
      <c r="H19" s="476"/>
      <c r="I19" s="476"/>
      <c r="J19" s="476"/>
      <c r="K19" s="476"/>
      <c r="L19" s="476"/>
      <c r="M19" s="476"/>
      <c r="N19" s="476"/>
      <c r="O19" s="476"/>
      <c r="P19" s="476"/>
      <c r="Q19" s="476"/>
      <c r="R19" s="476"/>
      <c r="S19" s="476"/>
      <c r="T19" s="476"/>
      <c r="U19" s="476"/>
      <c r="V19" s="476"/>
      <c r="W19" s="476"/>
      <c r="X19" s="476"/>
      <c r="Y19" s="476"/>
      <c r="Z19" s="476"/>
      <c r="AA19" s="476"/>
      <c r="AB19" s="476"/>
      <c r="AC19" s="476"/>
      <c r="AD19" s="92"/>
      <c r="AI19" s="93"/>
    </row>
    <row r="20" spans="1:35" s="91" customFormat="1" ht="26.25" customHeight="1" x14ac:dyDescent="0.3">
      <c r="A20" s="143"/>
      <c r="B20" s="246"/>
      <c r="C20" s="216"/>
      <c r="D20" s="217"/>
      <c r="E20" s="218"/>
      <c r="F20" s="218"/>
      <c r="G20" s="245"/>
      <c r="H20" s="150"/>
      <c r="I20" s="151"/>
      <c r="J20" s="152"/>
      <c r="K20" s="222"/>
      <c r="L20" s="223"/>
      <c r="M20" s="224"/>
      <c r="N20" s="225"/>
      <c r="O20" s="225"/>
      <c r="P20" s="225"/>
      <c r="Q20" s="225"/>
      <c r="R20" s="226"/>
      <c r="S20" s="225"/>
      <c r="T20" s="227"/>
      <c r="U20" s="225"/>
      <c r="V20" s="225"/>
      <c r="W20" s="225"/>
      <c r="X20" s="224"/>
      <c r="Y20" s="224"/>
      <c r="Z20" s="228"/>
      <c r="AA20" s="224"/>
      <c r="AB20" s="224"/>
      <c r="AD20" s="92"/>
      <c r="AI20" s="93"/>
    </row>
    <row r="21" spans="1:35" s="282" customFormat="1" ht="232.5" customHeight="1" x14ac:dyDescent="0.2">
      <c r="A21" s="267"/>
      <c r="B21" s="268" t="s">
        <v>298</v>
      </c>
      <c r="C21" s="268" t="s">
        <v>118</v>
      </c>
      <c r="D21" s="292" t="s">
        <v>296</v>
      </c>
      <c r="E21" s="332" t="s">
        <v>299</v>
      </c>
      <c r="F21" s="333" t="s">
        <v>297</v>
      </c>
      <c r="G21" s="331">
        <v>45042</v>
      </c>
      <c r="H21" s="273" t="s">
        <v>572</v>
      </c>
      <c r="I21" s="289">
        <v>15</v>
      </c>
      <c r="J21" s="275">
        <f t="shared" ref="J21:J26" si="36">K21/I21</f>
        <v>604.86666666666667</v>
      </c>
      <c r="K21" s="276">
        <v>9073</v>
      </c>
      <c r="L21" s="277">
        <v>0</v>
      </c>
      <c r="M21" s="278">
        <f t="shared" ref="M21:M26" si="37">SUM(K21:L21)</f>
        <v>9073</v>
      </c>
      <c r="N21" s="300">
        <f t="shared" ref="N21:N26" si="38">IF(K21/15&lt;=SMG,0,L21/2)</f>
        <v>0</v>
      </c>
      <c r="O21" s="321">
        <f t="shared" ref="O21:O26" si="39">(K21+N21)/I21*30.4</f>
        <v>18387.946666666667</v>
      </c>
      <c r="P21" s="321">
        <f t="shared" ref="P21:P26" si="40">VLOOKUP(O21,Tarifa,1)</f>
        <v>15487.72</v>
      </c>
      <c r="Q21" s="300">
        <f t="shared" ref="Q21:Q26" si="41">O21-P21</f>
        <v>2900.2266666666674</v>
      </c>
      <c r="R21" s="301">
        <f t="shared" ref="R21:R26" si="42">VLOOKUP(O21,Tarifa,3)</f>
        <v>0.21360000000000001</v>
      </c>
      <c r="S21" s="300">
        <f t="shared" ref="S21:S26" si="43">Q21*R21</f>
        <v>619.48841600000014</v>
      </c>
      <c r="T21" s="302">
        <f t="shared" ref="T21:T26" si="44">VLOOKUP(O21,Tarifa,2)</f>
        <v>1640.18</v>
      </c>
      <c r="U21" s="300">
        <f t="shared" ref="U21:U26" si="45">S21+T21</f>
        <v>2259.6684160000004</v>
      </c>
      <c r="V21" s="300">
        <f t="shared" ref="V21:V26" si="46">VLOOKUP(O21,Credito,2)</f>
        <v>0</v>
      </c>
      <c r="W21" s="300">
        <f t="shared" ref="W21:W26" si="47">ROUND((U21-V21)/30.4*I21,2)</f>
        <v>1114.97</v>
      </c>
      <c r="X21" s="278">
        <f t="shared" ref="X21:X26" si="48">-IF(W21&gt;0,0,0)</f>
        <v>0</v>
      </c>
      <c r="Y21" s="278">
        <f t="shared" ref="Y21:Y26" si="49">IF(K21/15&lt;=SMG,0,IF(W21&lt;0,0,W21))</f>
        <v>1114.97</v>
      </c>
      <c r="Z21" s="279">
        <v>0</v>
      </c>
      <c r="AA21" s="278">
        <f t="shared" ref="AA21:AA26" si="50">SUM(Y21:Z21)</f>
        <v>1114.97</v>
      </c>
      <c r="AB21" s="278">
        <f t="shared" ref="AB21:AB24" si="51">M21+X21-AA21</f>
        <v>7958.03</v>
      </c>
      <c r="AC21" s="280"/>
      <c r="AD21" s="281"/>
      <c r="AI21" s="283"/>
    </row>
    <row r="22" spans="1:35" s="282" customFormat="1" ht="232.5" customHeight="1" x14ac:dyDescent="0.2">
      <c r="A22" s="267"/>
      <c r="B22" s="268" t="s">
        <v>300</v>
      </c>
      <c r="C22" s="268" t="s">
        <v>118</v>
      </c>
      <c r="D22" s="292" t="s">
        <v>301</v>
      </c>
      <c r="E22" s="332" t="s">
        <v>302</v>
      </c>
      <c r="F22" s="333" t="s">
        <v>303</v>
      </c>
      <c r="G22" s="331">
        <v>45078</v>
      </c>
      <c r="H22" s="273" t="s">
        <v>571</v>
      </c>
      <c r="I22" s="289">
        <v>15</v>
      </c>
      <c r="J22" s="275">
        <f t="shared" si="36"/>
        <v>604.86666666666667</v>
      </c>
      <c r="K22" s="276">
        <v>9073</v>
      </c>
      <c r="L22" s="277">
        <v>0</v>
      </c>
      <c r="M22" s="278">
        <f t="shared" si="37"/>
        <v>9073</v>
      </c>
      <c r="N22" s="300">
        <f t="shared" si="38"/>
        <v>0</v>
      </c>
      <c r="O22" s="321">
        <f t="shared" si="39"/>
        <v>18387.946666666667</v>
      </c>
      <c r="P22" s="321">
        <f t="shared" si="40"/>
        <v>15487.72</v>
      </c>
      <c r="Q22" s="300">
        <f t="shared" si="41"/>
        <v>2900.2266666666674</v>
      </c>
      <c r="R22" s="301">
        <f t="shared" si="42"/>
        <v>0.21360000000000001</v>
      </c>
      <c r="S22" s="300">
        <f t="shared" si="43"/>
        <v>619.48841600000014</v>
      </c>
      <c r="T22" s="302">
        <f t="shared" si="44"/>
        <v>1640.18</v>
      </c>
      <c r="U22" s="300">
        <f t="shared" si="45"/>
        <v>2259.6684160000004</v>
      </c>
      <c r="V22" s="300">
        <f t="shared" si="46"/>
        <v>0</v>
      </c>
      <c r="W22" s="300">
        <f t="shared" si="47"/>
        <v>1114.97</v>
      </c>
      <c r="X22" s="278">
        <f t="shared" si="48"/>
        <v>0</v>
      </c>
      <c r="Y22" s="278">
        <f t="shared" si="49"/>
        <v>1114.97</v>
      </c>
      <c r="Z22" s="279">
        <v>0</v>
      </c>
      <c r="AA22" s="278">
        <f t="shared" si="50"/>
        <v>1114.97</v>
      </c>
      <c r="AB22" s="278">
        <f t="shared" si="51"/>
        <v>7958.03</v>
      </c>
      <c r="AC22" s="280"/>
      <c r="AD22" s="281"/>
      <c r="AI22" s="283"/>
    </row>
    <row r="23" spans="1:35" s="282" customFormat="1" ht="232.5" customHeight="1" x14ac:dyDescent="0.2">
      <c r="A23" s="267"/>
      <c r="B23" s="269" t="s">
        <v>586</v>
      </c>
      <c r="C23" s="269" t="s">
        <v>118</v>
      </c>
      <c r="D23" s="335" t="s">
        <v>164</v>
      </c>
      <c r="E23" s="134" t="s">
        <v>169</v>
      </c>
      <c r="F23" s="134" t="s">
        <v>247</v>
      </c>
      <c r="G23" s="211">
        <v>43512</v>
      </c>
      <c r="H23" s="273" t="s">
        <v>572</v>
      </c>
      <c r="I23" s="289">
        <v>15</v>
      </c>
      <c r="J23" s="275">
        <f t="shared" si="36"/>
        <v>604.86666666666667</v>
      </c>
      <c r="K23" s="276">
        <v>9073</v>
      </c>
      <c r="L23" s="277">
        <v>2117</v>
      </c>
      <c r="M23" s="278">
        <f t="shared" si="37"/>
        <v>11190</v>
      </c>
      <c r="N23" s="300">
        <f t="shared" si="38"/>
        <v>1058.5</v>
      </c>
      <c r="O23" s="321">
        <f t="shared" si="39"/>
        <v>20533.173333333332</v>
      </c>
      <c r="P23" s="321">
        <f t="shared" si="40"/>
        <v>15487.72</v>
      </c>
      <c r="Q23" s="300">
        <f t="shared" si="41"/>
        <v>5045.4533333333329</v>
      </c>
      <c r="R23" s="301">
        <f t="shared" si="42"/>
        <v>0.21360000000000001</v>
      </c>
      <c r="S23" s="300">
        <f t="shared" si="43"/>
        <v>1077.708832</v>
      </c>
      <c r="T23" s="302">
        <f t="shared" si="44"/>
        <v>1640.18</v>
      </c>
      <c r="U23" s="300">
        <f t="shared" si="45"/>
        <v>2717.8888320000001</v>
      </c>
      <c r="V23" s="300">
        <f t="shared" si="46"/>
        <v>0</v>
      </c>
      <c r="W23" s="300">
        <f t="shared" si="47"/>
        <v>1341.06</v>
      </c>
      <c r="X23" s="278">
        <f t="shared" si="48"/>
        <v>0</v>
      </c>
      <c r="Y23" s="278">
        <f t="shared" si="49"/>
        <v>1341.06</v>
      </c>
      <c r="Z23" s="279">
        <v>0</v>
      </c>
      <c r="AA23" s="278">
        <f t="shared" si="50"/>
        <v>1341.06</v>
      </c>
      <c r="AB23" s="278">
        <f t="shared" si="51"/>
        <v>9848.94</v>
      </c>
      <c r="AC23" s="280"/>
      <c r="AI23" s="283"/>
    </row>
    <row r="24" spans="1:35" s="282" customFormat="1" ht="232.5" customHeight="1" x14ac:dyDescent="0.2">
      <c r="A24" s="334"/>
      <c r="B24" s="269" t="s">
        <v>265</v>
      </c>
      <c r="C24" s="269" t="s">
        <v>118</v>
      </c>
      <c r="D24" s="335" t="s">
        <v>266</v>
      </c>
      <c r="E24" s="134" t="s">
        <v>267</v>
      </c>
      <c r="F24" s="134" t="s">
        <v>268</v>
      </c>
      <c r="G24" s="211">
        <v>44728</v>
      </c>
      <c r="H24" s="273" t="s">
        <v>572</v>
      </c>
      <c r="I24" s="289">
        <v>15</v>
      </c>
      <c r="J24" s="275">
        <f t="shared" si="36"/>
        <v>604.86666666666667</v>
      </c>
      <c r="K24" s="276">
        <v>9073</v>
      </c>
      <c r="L24" s="277">
        <v>0</v>
      </c>
      <c r="M24" s="278">
        <f t="shared" si="37"/>
        <v>9073</v>
      </c>
      <c r="N24" s="300">
        <f t="shared" si="38"/>
        <v>0</v>
      </c>
      <c r="O24" s="321">
        <f t="shared" si="39"/>
        <v>18387.946666666667</v>
      </c>
      <c r="P24" s="321">
        <f t="shared" si="40"/>
        <v>15487.72</v>
      </c>
      <c r="Q24" s="300">
        <f t="shared" si="41"/>
        <v>2900.2266666666674</v>
      </c>
      <c r="R24" s="301">
        <f t="shared" si="42"/>
        <v>0.21360000000000001</v>
      </c>
      <c r="S24" s="300">
        <f t="shared" si="43"/>
        <v>619.48841600000014</v>
      </c>
      <c r="T24" s="302">
        <f t="shared" si="44"/>
        <v>1640.18</v>
      </c>
      <c r="U24" s="300">
        <f t="shared" si="45"/>
        <v>2259.6684160000004</v>
      </c>
      <c r="V24" s="300">
        <f t="shared" si="46"/>
        <v>0</v>
      </c>
      <c r="W24" s="300">
        <f t="shared" si="47"/>
        <v>1114.97</v>
      </c>
      <c r="X24" s="278">
        <f t="shared" si="48"/>
        <v>0</v>
      </c>
      <c r="Y24" s="278">
        <f t="shared" si="49"/>
        <v>1114.97</v>
      </c>
      <c r="Z24" s="279">
        <v>0</v>
      </c>
      <c r="AA24" s="278">
        <f t="shared" si="50"/>
        <v>1114.97</v>
      </c>
      <c r="AB24" s="278">
        <f t="shared" si="51"/>
        <v>7958.03</v>
      </c>
      <c r="AC24" s="280"/>
      <c r="AI24" s="283"/>
    </row>
    <row r="25" spans="1:35" s="282" customFormat="1" ht="232.5" customHeight="1" x14ac:dyDescent="0.2">
      <c r="A25" s="334"/>
      <c r="B25" s="269" t="s">
        <v>351</v>
      </c>
      <c r="C25" s="269" t="s">
        <v>118</v>
      </c>
      <c r="D25" s="270" t="s">
        <v>352</v>
      </c>
      <c r="E25" s="271" t="s">
        <v>353</v>
      </c>
      <c r="F25" s="271" t="s">
        <v>354</v>
      </c>
      <c r="G25" s="337">
        <v>45475</v>
      </c>
      <c r="H25" s="273" t="s">
        <v>572</v>
      </c>
      <c r="I25" s="289">
        <v>15</v>
      </c>
      <c r="J25" s="275">
        <f t="shared" si="36"/>
        <v>483.93333333333334</v>
      </c>
      <c r="K25" s="276">
        <v>7259</v>
      </c>
      <c r="L25" s="277">
        <v>0</v>
      </c>
      <c r="M25" s="278">
        <f t="shared" si="37"/>
        <v>7259</v>
      </c>
      <c r="N25" s="300">
        <f t="shared" si="38"/>
        <v>0</v>
      </c>
      <c r="O25" s="321">
        <f t="shared" si="39"/>
        <v>14711.573333333332</v>
      </c>
      <c r="P25" s="321">
        <f t="shared" si="40"/>
        <v>12935.83</v>
      </c>
      <c r="Q25" s="300">
        <f t="shared" si="41"/>
        <v>1775.743333333332</v>
      </c>
      <c r="R25" s="301">
        <f t="shared" si="42"/>
        <v>0.1792</v>
      </c>
      <c r="S25" s="300">
        <f t="shared" si="43"/>
        <v>318.21320533333306</v>
      </c>
      <c r="T25" s="302">
        <f t="shared" si="44"/>
        <v>1182.8800000000001</v>
      </c>
      <c r="U25" s="300">
        <f t="shared" si="45"/>
        <v>1501.0932053333331</v>
      </c>
      <c r="V25" s="300">
        <f t="shared" si="46"/>
        <v>0</v>
      </c>
      <c r="W25" s="300">
        <f t="shared" si="47"/>
        <v>740.67</v>
      </c>
      <c r="X25" s="278">
        <f t="shared" si="48"/>
        <v>0</v>
      </c>
      <c r="Y25" s="278">
        <f t="shared" si="49"/>
        <v>740.67</v>
      </c>
      <c r="Z25" s="279">
        <v>1000</v>
      </c>
      <c r="AA25" s="278">
        <f t="shared" si="50"/>
        <v>1740.67</v>
      </c>
      <c r="AB25" s="278">
        <f>M25+X25-AA25</f>
        <v>5518.33</v>
      </c>
      <c r="AC25" s="280"/>
      <c r="AD25" s="336"/>
      <c r="AI25" s="283"/>
    </row>
    <row r="26" spans="1:35" s="282" customFormat="1" ht="232.5" customHeight="1" x14ac:dyDescent="0.2">
      <c r="A26" s="334"/>
      <c r="B26" s="269" t="s">
        <v>631</v>
      </c>
      <c r="C26" s="269"/>
      <c r="D26" s="270" t="s">
        <v>622</v>
      </c>
      <c r="E26" s="271" t="s">
        <v>623</v>
      </c>
      <c r="F26" s="271" t="s">
        <v>624</v>
      </c>
      <c r="G26" s="337">
        <v>45720</v>
      </c>
      <c r="H26" s="273" t="s">
        <v>625</v>
      </c>
      <c r="I26" s="289">
        <v>15</v>
      </c>
      <c r="J26" s="275">
        <f t="shared" si="36"/>
        <v>604.86666666666667</v>
      </c>
      <c r="K26" s="276">
        <v>9073</v>
      </c>
      <c r="L26" s="277">
        <v>5261.98</v>
      </c>
      <c r="M26" s="278">
        <f t="shared" si="37"/>
        <v>14334.98</v>
      </c>
      <c r="N26" s="300">
        <f t="shared" si="38"/>
        <v>2630.99</v>
      </c>
      <c r="O26" s="321">
        <f t="shared" si="39"/>
        <v>23720.086399999997</v>
      </c>
      <c r="P26" s="321">
        <f t="shared" si="40"/>
        <v>15487.72</v>
      </c>
      <c r="Q26" s="300">
        <f t="shared" si="41"/>
        <v>8232.3663999999972</v>
      </c>
      <c r="R26" s="301">
        <f t="shared" si="42"/>
        <v>0.21360000000000001</v>
      </c>
      <c r="S26" s="300">
        <f t="shared" si="43"/>
        <v>1758.4334630399994</v>
      </c>
      <c r="T26" s="302">
        <f t="shared" si="44"/>
        <v>1640.18</v>
      </c>
      <c r="U26" s="300">
        <f t="shared" si="45"/>
        <v>3398.6134630399993</v>
      </c>
      <c r="V26" s="300">
        <f t="shared" si="46"/>
        <v>0</v>
      </c>
      <c r="W26" s="300">
        <f t="shared" si="47"/>
        <v>1676.95</v>
      </c>
      <c r="X26" s="278">
        <f t="shared" si="48"/>
        <v>0</v>
      </c>
      <c r="Y26" s="278">
        <f t="shared" si="49"/>
        <v>1676.95</v>
      </c>
      <c r="Z26" s="279"/>
      <c r="AA26" s="278">
        <f t="shared" si="50"/>
        <v>1676.95</v>
      </c>
      <c r="AB26" s="278">
        <f t="shared" ref="AB26" si="52">M26+X26-AA26</f>
        <v>12658.029999999999</v>
      </c>
      <c r="AC26" s="280"/>
      <c r="AD26" s="336"/>
      <c r="AI26" s="283"/>
    </row>
    <row r="27" spans="1:35" s="91" customFormat="1" ht="16.5" customHeight="1" x14ac:dyDescent="0.35">
      <c r="A27" s="143"/>
      <c r="B27" s="146"/>
      <c r="C27" s="146"/>
      <c r="D27" s="249"/>
      <c r="E27" s="248"/>
      <c r="F27" s="248"/>
      <c r="G27" s="250"/>
      <c r="H27" s="207"/>
      <c r="I27" s="220"/>
      <c r="J27" s="221"/>
      <c r="K27" s="222"/>
      <c r="L27" s="223"/>
      <c r="M27" s="224"/>
      <c r="N27" s="225"/>
      <c r="O27" s="225"/>
      <c r="P27" s="225"/>
      <c r="Q27" s="225"/>
      <c r="R27" s="226"/>
      <c r="S27" s="225"/>
      <c r="T27" s="227"/>
      <c r="U27" s="225"/>
      <c r="V27" s="225"/>
      <c r="W27" s="225"/>
      <c r="X27" s="224"/>
      <c r="Y27" s="224"/>
      <c r="Z27" s="228"/>
      <c r="AA27" s="224"/>
      <c r="AB27" s="224"/>
      <c r="AC27" s="108"/>
      <c r="AI27" s="93"/>
    </row>
    <row r="28" spans="1:35" s="91" customFormat="1" ht="16.5" customHeight="1" x14ac:dyDescent="0.35">
      <c r="A28" s="143"/>
      <c r="B28" s="146"/>
      <c r="C28" s="146"/>
      <c r="D28" s="249"/>
      <c r="E28" s="248"/>
      <c r="F28" s="248"/>
      <c r="G28" s="250"/>
      <c r="H28" s="207"/>
      <c r="I28" s="220"/>
      <c r="J28" s="221"/>
      <c r="K28" s="222"/>
      <c r="L28" s="223"/>
      <c r="M28" s="224"/>
      <c r="N28" s="225"/>
      <c r="O28" s="225"/>
      <c r="P28" s="225"/>
      <c r="Q28" s="225"/>
      <c r="R28" s="226"/>
      <c r="S28" s="225"/>
      <c r="T28" s="227"/>
      <c r="U28" s="225"/>
      <c r="V28" s="225"/>
      <c r="W28" s="225"/>
      <c r="X28" s="224"/>
      <c r="Y28" s="224"/>
      <c r="Z28" s="228"/>
      <c r="AA28" s="224"/>
      <c r="AB28" s="224"/>
      <c r="AC28" s="108"/>
      <c r="AI28" s="93"/>
    </row>
    <row r="29" spans="1:35" s="91" customFormat="1" ht="27.75" customHeight="1" x14ac:dyDescent="0.25">
      <c r="A29" s="143"/>
      <c r="B29" s="455" t="s">
        <v>77</v>
      </c>
      <c r="C29" s="455"/>
      <c r="D29" s="455"/>
      <c r="E29" s="455"/>
      <c r="F29" s="455"/>
      <c r="G29" s="455"/>
      <c r="H29" s="455"/>
      <c r="I29" s="455"/>
      <c r="J29" s="455"/>
      <c r="K29" s="455"/>
      <c r="L29" s="455"/>
      <c r="M29" s="455"/>
      <c r="N29" s="455"/>
      <c r="O29" s="455"/>
      <c r="P29" s="455"/>
      <c r="Q29" s="455"/>
      <c r="R29" s="455"/>
      <c r="S29" s="455"/>
      <c r="T29" s="455"/>
      <c r="U29" s="455"/>
      <c r="V29" s="455"/>
      <c r="W29" s="455"/>
      <c r="X29" s="455"/>
      <c r="Y29" s="455"/>
      <c r="Z29" s="455"/>
      <c r="AA29" s="455"/>
      <c r="AB29" s="455"/>
      <c r="AC29" s="455"/>
      <c r="AD29" s="455"/>
      <c r="AI29" s="93"/>
    </row>
    <row r="30" spans="1:35" s="91" customFormat="1" ht="27.75" customHeight="1" x14ac:dyDescent="0.25">
      <c r="A30" s="143"/>
      <c r="B30" s="455" t="s">
        <v>64</v>
      </c>
      <c r="C30" s="455"/>
      <c r="D30" s="455"/>
      <c r="E30" s="455"/>
      <c r="F30" s="455"/>
      <c r="G30" s="455"/>
      <c r="H30" s="455"/>
      <c r="I30" s="455"/>
      <c r="J30" s="455"/>
      <c r="K30" s="455"/>
      <c r="L30" s="455"/>
      <c r="M30" s="455"/>
      <c r="N30" s="455"/>
      <c r="O30" s="455"/>
      <c r="P30" s="455"/>
      <c r="Q30" s="455"/>
      <c r="R30" s="455"/>
      <c r="S30" s="455"/>
      <c r="T30" s="455"/>
      <c r="U30" s="455"/>
      <c r="V30" s="455"/>
      <c r="W30" s="455"/>
      <c r="X30" s="455"/>
      <c r="Y30" s="455"/>
      <c r="Z30" s="455"/>
      <c r="AA30" s="455"/>
      <c r="AB30" s="455"/>
      <c r="AC30" s="455"/>
      <c r="AD30" s="455"/>
      <c r="AI30" s="93"/>
    </row>
    <row r="31" spans="1:35" s="91" customFormat="1" ht="27.75" customHeight="1" x14ac:dyDescent="0.3">
      <c r="A31" s="143"/>
      <c r="B31" s="477" t="str">
        <f>PRESIDENCIA!A3</f>
        <v>SUELDO  DEL 16 AL 30 DE ABRIL DE 2025</v>
      </c>
      <c r="C31" s="477"/>
      <c r="D31" s="477"/>
      <c r="E31" s="477"/>
      <c r="F31" s="477"/>
      <c r="G31" s="477"/>
      <c r="H31" s="477"/>
      <c r="I31" s="477"/>
      <c r="J31" s="477"/>
      <c r="K31" s="477"/>
      <c r="L31" s="477"/>
      <c r="M31" s="477"/>
      <c r="N31" s="477"/>
      <c r="O31" s="477"/>
      <c r="P31" s="477"/>
      <c r="Q31" s="477"/>
      <c r="R31" s="477"/>
      <c r="S31" s="477"/>
      <c r="T31" s="477"/>
      <c r="U31" s="477"/>
      <c r="V31" s="477"/>
      <c r="W31" s="477"/>
      <c r="X31" s="477"/>
      <c r="Y31" s="477"/>
      <c r="Z31" s="477"/>
      <c r="AA31" s="477"/>
      <c r="AB31" s="477"/>
      <c r="AC31" s="477"/>
      <c r="AI31" s="93"/>
    </row>
    <row r="32" spans="1:35" s="91" customFormat="1" ht="30.75" customHeight="1" x14ac:dyDescent="0.35">
      <c r="A32" s="143"/>
      <c r="B32" s="146"/>
      <c r="C32" s="146"/>
      <c r="D32" s="249"/>
      <c r="E32" s="248"/>
      <c r="F32" s="248"/>
      <c r="G32" s="250"/>
      <c r="H32" s="207"/>
      <c r="I32" s="220"/>
      <c r="J32" s="221"/>
      <c r="K32" s="222"/>
      <c r="L32" s="223"/>
      <c r="M32" s="224"/>
      <c r="N32" s="225"/>
      <c r="O32" s="225"/>
      <c r="P32" s="225"/>
      <c r="Q32" s="225"/>
      <c r="R32" s="226"/>
      <c r="S32" s="225"/>
      <c r="T32" s="227"/>
      <c r="U32" s="225"/>
      <c r="V32" s="225"/>
      <c r="W32" s="225"/>
      <c r="X32" s="224"/>
      <c r="Y32" s="224"/>
      <c r="Z32" s="228"/>
      <c r="AA32" s="224"/>
      <c r="AB32" s="224"/>
      <c r="AC32" s="108"/>
      <c r="AI32" s="93"/>
    </row>
    <row r="33" spans="1:35" s="282" customFormat="1" ht="176.25" customHeight="1" x14ac:dyDescent="0.2">
      <c r="A33" s="267"/>
      <c r="B33" s="269" t="s">
        <v>476</v>
      </c>
      <c r="C33" s="269" t="s">
        <v>118</v>
      </c>
      <c r="D33" s="270" t="s">
        <v>477</v>
      </c>
      <c r="E33" s="271" t="s">
        <v>478</v>
      </c>
      <c r="F33" s="271" t="s">
        <v>479</v>
      </c>
      <c r="G33" s="337">
        <v>45566</v>
      </c>
      <c r="H33" s="273" t="s">
        <v>574</v>
      </c>
      <c r="I33" s="289">
        <v>15</v>
      </c>
      <c r="J33" s="275">
        <f t="shared" ref="J33:J35" si="53">K33/I33</f>
        <v>455.06666666666666</v>
      </c>
      <c r="K33" s="276">
        <v>6826</v>
      </c>
      <c r="L33" s="277">
        <v>0</v>
      </c>
      <c r="M33" s="278">
        <f t="shared" ref="M33:M35" si="54">SUM(K33:L33)</f>
        <v>6826</v>
      </c>
      <c r="N33" s="300">
        <f t="shared" ref="N33:N35" si="55">IF(K33/15&lt;=SMG,0,L33/2)</f>
        <v>0</v>
      </c>
      <c r="O33" s="321">
        <f t="shared" ref="O33:O35" si="56">(K33+N33)/I33*30.4</f>
        <v>13834.026666666667</v>
      </c>
      <c r="P33" s="321">
        <f t="shared" ref="P33:P35" si="57">VLOOKUP(O33,Tarifa,1)</f>
        <v>12935.83</v>
      </c>
      <c r="Q33" s="300">
        <f t="shared" ref="Q33:Q35" si="58">O33-P33</f>
        <v>898.19666666666672</v>
      </c>
      <c r="R33" s="301">
        <f t="shared" ref="R33:R35" si="59">VLOOKUP(O33,Tarifa,3)</f>
        <v>0.1792</v>
      </c>
      <c r="S33" s="300">
        <f t="shared" ref="S33:S35" si="60">Q33*R33</f>
        <v>160.95684266666666</v>
      </c>
      <c r="T33" s="302">
        <f t="shared" ref="T33:T35" si="61">VLOOKUP(O33,Tarifa,2)</f>
        <v>1182.8800000000001</v>
      </c>
      <c r="U33" s="300">
        <f t="shared" ref="U33:U35" si="62">S33+T33</f>
        <v>1343.8368426666668</v>
      </c>
      <c r="V33" s="300">
        <f t="shared" ref="V33:V35" si="63">VLOOKUP(O33,Credito,2)</f>
        <v>0</v>
      </c>
      <c r="W33" s="300">
        <f t="shared" ref="W33:W35" si="64">ROUND((U33-V33)/30.4*I33,2)</f>
        <v>663.08</v>
      </c>
      <c r="X33" s="278">
        <f t="shared" ref="X33:X36" si="65">-IF(W33&gt;0,0,0)</f>
        <v>0</v>
      </c>
      <c r="Y33" s="278">
        <f t="shared" ref="Y33:Y36" si="66">IF(K33/15&lt;=SMG,0,IF(W33&lt;0,0,W33))</f>
        <v>663.08</v>
      </c>
      <c r="Z33" s="279">
        <v>0</v>
      </c>
      <c r="AA33" s="278">
        <f t="shared" ref="AA33:AA36" si="67">SUM(Y33:Z33)</f>
        <v>663.08</v>
      </c>
      <c r="AB33" s="278">
        <f t="shared" ref="AB33:AB35" si="68">M33+X33-AA33</f>
        <v>6162.92</v>
      </c>
      <c r="AC33" s="280"/>
      <c r="AI33" s="283"/>
    </row>
    <row r="34" spans="1:35" s="282" customFormat="1" ht="176.25" customHeight="1" x14ac:dyDescent="0.2">
      <c r="A34" s="267"/>
      <c r="B34" s="291" t="s">
        <v>407</v>
      </c>
      <c r="C34" s="285" t="s">
        <v>118</v>
      </c>
      <c r="D34" s="270" t="s">
        <v>408</v>
      </c>
      <c r="E34" s="271" t="s">
        <v>409</v>
      </c>
      <c r="F34" s="271" t="s">
        <v>410</v>
      </c>
      <c r="G34" s="272">
        <v>45459</v>
      </c>
      <c r="H34" s="273" t="s">
        <v>575</v>
      </c>
      <c r="I34" s="289">
        <v>15</v>
      </c>
      <c r="J34" s="275">
        <f t="shared" si="53"/>
        <v>373.2</v>
      </c>
      <c r="K34" s="276">
        <v>5598</v>
      </c>
      <c r="L34" s="277">
        <v>0</v>
      </c>
      <c r="M34" s="278">
        <f t="shared" si="54"/>
        <v>5598</v>
      </c>
      <c r="N34" s="300">
        <f t="shared" si="55"/>
        <v>0</v>
      </c>
      <c r="O34" s="321">
        <f t="shared" si="56"/>
        <v>11345.279999999999</v>
      </c>
      <c r="P34" s="321">
        <f t="shared" si="57"/>
        <v>11128.02</v>
      </c>
      <c r="Q34" s="300">
        <f t="shared" si="58"/>
        <v>217.2599999999984</v>
      </c>
      <c r="R34" s="301">
        <f t="shared" si="59"/>
        <v>0.16</v>
      </c>
      <c r="S34" s="300">
        <f t="shared" si="60"/>
        <v>34.761599999999746</v>
      </c>
      <c r="T34" s="302">
        <f t="shared" si="61"/>
        <v>893.63</v>
      </c>
      <c r="U34" s="300">
        <f t="shared" si="62"/>
        <v>928.3915999999997</v>
      </c>
      <c r="V34" s="300">
        <f t="shared" si="63"/>
        <v>0</v>
      </c>
      <c r="W34" s="300">
        <f t="shared" si="64"/>
        <v>458.09</v>
      </c>
      <c r="X34" s="278">
        <f t="shared" si="65"/>
        <v>0</v>
      </c>
      <c r="Y34" s="278">
        <f t="shared" si="66"/>
        <v>458.09</v>
      </c>
      <c r="Z34" s="279">
        <v>0</v>
      </c>
      <c r="AA34" s="278">
        <f t="shared" si="67"/>
        <v>458.09</v>
      </c>
      <c r="AB34" s="278">
        <f t="shared" si="68"/>
        <v>5139.91</v>
      </c>
      <c r="AC34" s="280"/>
      <c r="AI34" s="283"/>
    </row>
    <row r="35" spans="1:35" s="282" customFormat="1" ht="176.25" customHeight="1" x14ac:dyDescent="0.2">
      <c r="A35" s="267"/>
      <c r="B35" s="285" t="s">
        <v>411</v>
      </c>
      <c r="C35" s="285" t="s">
        <v>118</v>
      </c>
      <c r="D35" s="266" t="s">
        <v>412</v>
      </c>
      <c r="E35" s="135" t="s">
        <v>414</v>
      </c>
      <c r="F35" s="135" t="s">
        <v>415</v>
      </c>
      <c r="G35" s="161">
        <v>45459</v>
      </c>
      <c r="H35" s="273" t="s">
        <v>575</v>
      </c>
      <c r="I35" s="289">
        <v>15</v>
      </c>
      <c r="J35" s="275">
        <f t="shared" si="53"/>
        <v>373.2</v>
      </c>
      <c r="K35" s="276">
        <v>5598</v>
      </c>
      <c r="L35" s="277">
        <v>0</v>
      </c>
      <c r="M35" s="278">
        <f t="shared" si="54"/>
        <v>5598</v>
      </c>
      <c r="N35" s="300">
        <f t="shared" si="55"/>
        <v>0</v>
      </c>
      <c r="O35" s="321">
        <f t="shared" si="56"/>
        <v>11345.279999999999</v>
      </c>
      <c r="P35" s="321">
        <f t="shared" si="57"/>
        <v>11128.02</v>
      </c>
      <c r="Q35" s="300">
        <f t="shared" si="58"/>
        <v>217.2599999999984</v>
      </c>
      <c r="R35" s="301">
        <f t="shared" si="59"/>
        <v>0.16</v>
      </c>
      <c r="S35" s="300">
        <f t="shared" si="60"/>
        <v>34.761599999999746</v>
      </c>
      <c r="T35" s="302">
        <f t="shared" si="61"/>
        <v>893.63</v>
      </c>
      <c r="U35" s="300">
        <f t="shared" si="62"/>
        <v>928.3915999999997</v>
      </c>
      <c r="V35" s="300">
        <f t="shared" si="63"/>
        <v>0</v>
      </c>
      <c r="W35" s="300">
        <f t="shared" si="64"/>
        <v>458.09</v>
      </c>
      <c r="X35" s="278">
        <f t="shared" si="65"/>
        <v>0</v>
      </c>
      <c r="Y35" s="278">
        <f t="shared" si="66"/>
        <v>458.09</v>
      </c>
      <c r="Z35" s="279">
        <v>0</v>
      </c>
      <c r="AA35" s="278">
        <f t="shared" si="67"/>
        <v>458.09</v>
      </c>
      <c r="AB35" s="278">
        <f t="shared" si="68"/>
        <v>5139.91</v>
      </c>
      <c r="AC35" s="290"/>
      <c r="AI35" s="283"/>
    </row>
    <row r="36" spans="1:35" s="282" customFormat="1" ht="176.25" customHeight="1" x14ac:dyDescent="0.2">
      <c r="A36" s="267"/>
      <c r="B36" s="269" t="s">
        <v>273</v>
      </c>
      <c r="C36" s="269" t="s">
        <v>118</v>
      </c>
      <c r="D36" s="335" t="s">
        <v>271</v>
      </c>
      <c r="E36" s="134" t="s">
        <v>269</v>
      </c>
      <c r="F36" s="134" t="s">
        <v>270</v>
      </c>
      <c r="G36" s="272">
        <v>44728</v>
      </c>
      <c r="H36" s="273" t="s">
        <v>272</v>
      </c>
      <c r="I36" s="289">
        <v>15</v>
      </c>
      <c r="J36" s="275">
        <f>K36/I36</f>
        <v>442.26666666666665</v>
      </c>
      <c r="K36" s="276">
        <v>6634</v>
      </c>
      <c r="L36" s="277">
        <v>0</v>
      </c>
      <c r="M36" s="276">
        <f>K36</f>
        <v>6634</v>
      </c>
      <c r="N36" s="300">
        <f>IF(K36/15&lt;=SMG,0,L36/2)</f>
        <v>0</v>
      </c>
      <c r="O36" s="321">
        <f>(K36+N36)/I36*30.4</f>
        <v>13444.906666666666</v>
      </c>
      <c r="P36" s="321">
        <f>VLOOKUP(O36,Tarifa,1)</f>
        <v>12935.83</v>
      </c>
      <c r="Q36" s="300">
        <f>O36-P36</f>
        <v>509.07666666666591</v>
      </c>
      <c r="R36" s="301">
        <f>VLOOKUP(O36,Tarifa,3)</f>
        <v>0.1792</v>
      </c>
      <c r="S36" s="300">
        <f>Q36*R36</f>
        <v>91.226538666666528</v>
      </c>
      <c r="T36" s="302">
        <f>VLOOKUP(O36,Tarifa,2)</f>
        <v>1182.8800000000001</v>
      </c>
      <c r="U36" s="300">
        <f>S36+T36</f>
        <v>1274.1065386666667</v>
      </c>
      <c r="V36" s="300">
        <f>VLOOKUP(O36,Credito,2)</f>
        <v>0</v>
      </c>
      <c r="W36" s="300">
        <f>ROUND((U36-V36)/30.4*I36,2)</f>
        <v>628.66999999999996</v>
      </c>
      <c r="X36" s="278">
        <f t="shared" si="65"/>
        <v>0</v>
      </c>
      <c r="Y36" s="278">
        <f t="shared" si="66"/>
        <v>628.66999999999996</v>
      </c>
      <c r="Z36" s="279">
        <v>400.35</v>
      </c>
      <c r="AA36" s="278">
        <f t="shared" si="67"/>
        <v>1029.02</v>
      </c>
      <c r="AB36" s="278">
        <f>M36+X36-AA36+L36</f>
        <v>5604.98</v>
      </c>
      <c r="AC36" s="287"/>
      <c r="AI36" s="283"/>
    </row>
    <row r="37" spans="1:35" s="282" customFormat="1" ht="176.25" customHeight="1" x14ac:dyDescent="0.2">
      <c r="A37" s="267"/>
      <c r="B37" s="285" t="s">
        <v>307</v>
      </c>
      <c r="C37" s="285" t="s">
        <v>118</v>
      </c>
      <c r="D37" s="292" t="s">
        <v>308</v>
      </c>
      <c r="E37" s="293" t="s">
        <v>309</v>
      </c>
      <c r="F37" s="293" t="s">
        <v>310</v>
      </c>
      <c r="G37" s="338">
        <v>45078</v>
      </c>
      <c r="H37" s="273" t="s">
        <v>578</v>
      </c>
      <c r="I37" s="289">
        <v>15</v>
      </c>
      <c r="J37" s="275">
        <f>K37/I37</f>
        <v>317.46666666666664</v>
      </c>
      <c r="K37" s="276">
        <v>4762</v>
      </c>
      <c r="L37" s="277">
        <v>2388.11</v>
      </c>
      <c r="M37" s="278">
        <f t="shared" ref="M37" si="69">SUM(K37:L37)</f>
        <v>7150.1100000000006</v>
      </c>
      <c r="N37" s="300">
        <f>IF(K37/15&lt;=SMG,0,L37/2)</f>
        <v>1194.0550000000001</v>
      </c>
      <c r="O37" s="321">
        <f>(K37+N37)/I37*30.4</f>
        <v>12070.938133333333</v>
      </c>
      <c r="P37" s="321">
        <f>VLOOKUP(O37,Tarifa,1)</f>
        <v>11128.02</v>
      </c>
      <c r="Q37" s="300">
        <f>O37-P37</f>
        <v>942.91813333333266</v>
      </c>
      <c r="R37" s="301">
        <f>VLOOKUP(O37,Tarifa,3)</f>
        <v>0.16</v>
      </c>
      <c r="S37" s="300">
        <f>Q37*R37</f>
        <v>150.86690133333323</v>
      </c>
      <c r="T37" s="302">
        <f>VLOOKUP(O37,Tarifa,2)</f>
        <v>893.63</v>
      </c>
      <c r="U37" s="300">
        <f>S37+T37</f>
        <v>1044.4969013333332</v>
      </c>
      <c r="V37" s="300">
        <f>VLOOKUP(O37,Credito,2)</f>
        <v>0</v>
      </c>
      <c r="W37" s="300">
        <f>ROUND((U37-V37)/30.4*I37,2)</f>
        <v>515.38</v>
      </c>
      <c r="X37" s="278">
        <f>-IF(W37&gt;0,0,0)</f>
        <v>0</v>
      </c>
      <c r="Y37" s="278">
        <f>IF(K37/15&lt;=SMG,0,IF(W37&lt;0,0,W37))</f>
        <v>515.38</v>
      </c>
      <c r="Z37" s="279">
        <v>0</v>
      </c>
      <c r="AA37" s="278">
        <f>SUM(Y37:Z37)</f>
        <v>515.38</v>
      </c>
      <c r="AB37" s="278">
        <f>M37+X37-AA37</f>
        <v>6634.7300000000005</v>
      </c>
      <c r="AC37" s="287"/>
      <c r="AI37" s="283"/>
    </row>
    <row r="38" spans="1:35" s="52" customFormat="1" ht="39" customHeight="1" thickBot="1" x14ac:dyDescent="0.35">
      <c r="A38" s="452" t="s">
        <v>44</v>
      </c>
      <c r="B38" s="453"/>
      <c r="C38" s="453"/>
      <c r="D38" s="453"/>
      <c r="E38" s="453"/>
      <c r="F38" s="453"/>
      <c r="G38" s="453"/>
      <c r="H38" s="453"/>
      <c r="I38" s="453"/>
      <c r="J38" s="454"/>
      <c r="K38" s="209">
        <f t="shared" ref="K38:AB38" si="70">SUM(K9:K37)</f>
        <v>136147.66999999998</v>
      </c>
      <c r="L38" s="209">
        <f t="shared" si="70"/>
        <v>10885.119999999999</v>
      </c>
      <c r="M38" s="209">
        <f t="shared" si="70"/>
        <v>147032.78999999998</v>
      </c>
      <c r="N38" s="210">
        <f t="shared" si="70"/>
        <v>5442.5599999999995</v>
      </c>
      <c r="O38" s="210">
        <f t="shared" si="70"/>
        <v>286956.19946666667</v>
      </c>
      <c r="P38" s="210">
        <f t="shared" si="70"/>
        <v>229041.10999999993</v>
      </c>
      <c r="Q38" s="210">
        <f t="shared" si="70"/>
        <v>57915.089466666643</v>
      </c>
      <c r="R38" s="210">
        <f t="shared" si="70"/>
        <v>3.2088000000000001</v>
      </c>
      <c r="S38" s="210">
        <f t="shared" si="70"/>
        <v>11841.144290133328</v>
      </c>
      <c r="T38" s="210">
        <f t="shared" si="70"/>
        <v>22256.610000000008</v>
      </c>
      <c r="U38" s="210">
        <f t="shared" si="70"/>
        <v>34097.754290133329</v>
      </c>
      <c r="V38" s="210">
        <f t="shared" si="70"/>
        <v>475</v>
      </c>
      <c r="W38" s="210">
        <f t="shared" si="70"/>
        <v>16590.189999999999</v>
      </c>
      <c r="X38" s="209">
        <f t="shared" si="70"/>
        <v>0</v>
      </c>
      <c r="Y38" s="209">
        <f t="shared" si="70"/>
        <v>16590.189999999999</v>
      </c>
      <c r="Z38" s="209">
        <f t="shared" si="70"/>
        <v>1400.35</v>
      </c>
      <c r="AA38" s="209">
        <f t="shared" si="70"/>
        <v>17990.54</v>
      </c>
      <c r="AB38" s="209">
        <f t="shared" si="70"/>
        <v>129042.25</v>
      </c>
      <c r="AC38" s="108"/>
    </row>
    <row r="39" spans="1:35" s="52" customFormat="1" ht="26.25" customHeight="1" thickTop="1" x14ac:dyDescent="0.25">
      <c r="A39" s="103"/>
      <c r="B39" s="103"/>
      <c r="C39" s="103"/>
      <c r="D39" s="103"/>
      <c r="E39" s="103"/>
      <c r="F39" s="103"/>
      <c r="G39" s="103"/>
      <c r="H39" s="103"/>
      <c r="I39" s="103"/>
      <c r="J39" s="103"/>
      <c r="K39" s="104"/>
      <c r="L39" s="104"/>
      <c r="M39" s="104"/>
      <c r="N39" s="105"/>
      <c r="O39" s="105"/>
      <c r="P39" s="105"/>
      <c r="Q39" s="105"/>
      <c r="R39" s="105"/>
      <c r="S39" s="105"/>
      <c r="T39" s="105"/>
      <c r="U39" s="105"/>
      <c r="V39" s="105"/>
      <c r="W39" s="105"/>
      <c r="X39" s="104"/>
      <c r="Y39" s="104"/>
      <c r="Z39" s="104"/>
      <c r="AA39" s="104"/>
      <c r="AB39" s="104"/>
    </row>
    <row r="40" spans="1:35" s="52" customFormat="1" ht="26.25" customHeight="1" x14ac:dyDescent="0.25">
      <c r="A40" s="103"/>
      <c r="B40" s="103"/>
      <c r="C40" s="103"/>
      <c r="D40" s="103"/>
      <c r="E40" s="103"/>
      <c r="F40" s="103"/>
      <c r="G40" s="103"/>
      <c r="H40" s="103"/>
      <c r="I40" s="103"/>
      <c r="J40" s="103"/>
      <c r="K40" s="104"/>
      <c r="L40" s="104"/>
      <c r="M40" s="104"/>
      <c r="N40" s="105"/>
      <c r="O40" s="105"/>
      <c r="P40" s="105"/>
      <c r="Q40" s="105"/>
      <c r="R40" s="105"/>
      <c r="S40" s="105"/>
      <c r="T40" s="105"/>
      <c r="U40" s="105"/>
      <c r="V40" s="105"/>
      <c r="W40" s="105"/>
      <c r="X40" s="104"/>
      <c r="Y40" s="104"/>
      <c r="Z40" s="104"/>
      <c r="AA40" s="104"/>
      <c r="AB40" s="104"/>
    </row>
    <row r="41" spans="1:35" s="52" customFormat="1" ht="26.25" customHeight="1" x14ac:dyDescent="0.25">
      <c r="A41" s="103"/>
      <c r="B41" s="103"/>
      <c r="C41" s="103"/>
      <c r="D41" s="103"/>
      <c r="E41" s="103"/>
      <c r="F41" s="103"/>
      <c r="G41" s="103"/>
      <c r="H41" s="103"/>
      <c r="I41" s="103"/>
      <c r="J41" s="103"/>
      <c r="K41" s="104"/>
      <c r="L41" s="104"/>
      <c r="M41" s="104"/>
      <c r="N41" s="105"/>
      <c r="O41" s="105"/>
      <c r="P41" s="105"/>
      <c r="Q41" s="105"/>
      <c r="R41" s="105"/>
      <c r="S41" s="105"/>
      <c r="T41" s="105"/>
      <c r="U41" s="105"/>
      <c r="V41" s="105"/>
      <c r="W41" s="105"/>
      <c r="X41" s="104"/>
      <c r="Y41" s="104"/>
      <c r="Z41" s="104"/>
      <c r="AA41" s="104"/>
      <c r="AB41" s="104"/>
    </row>
    <row r="42" spans="1:35" s="52" customFormat="1" ht="26.25" customHeight="1" x14ac:dyDescent="0.25">
      <c r="A42" s="103"/>
      <c r="B42" s="103"/>
      <c r="C42" s="103"/>
      <c r="D42" s="103"/>
      <c r="E42" s="103"/>
      <c r="F42" s="103"/>
      <c r="G42" s="103"/>
      <c r="H42" s="103"/>
      <c r="I42" s="103"/>
      <c r="J42" s="103"/>
      <c r="K42" s="104"/>
      <c r="L42" s="104"/>
      <c r="M42" s="104"/>
      <c r="N42" s="105"/>
      <c r="O42" s="105"/>
      <c r="P42" s="105"/>
      <c r="Q42" s="105"/>
      <c r="R42" s="105"/>
      <c r="S42" s="105"/>
      <c r="T42" s="105"/>
      <c r="U42" s="105"/>
      <c r="V42" s="105"/>
      <c r="W42" s="105"/>
      <c r="X42" s="104"/>
      <c r="Y42" s="104"/>
      <c r="Z42" s="104"/>
      <c r="AA42" s="104"/>
      <c r="AB42" s="104"/>
    </row>
    <row r="43" spans="1:35" s="52" customFormat="1" ht="26.25" customHeight="1" x14ac:dyDescent="0.25">
      <c r="A43" s="103"/>
      <c r="B43" s="103"/>
      <c r="C43" s="103"/>
      <c r="D43" s="103"/>
      <c r="E43" s="103"/>
      <c r="F43" s="103"/>
      <c r="G43" s="103"/>
      <c r="H43" s="103"/>
      <c r="I43" s="103"/>
      <c r="J43" s="103"/>
      <c r="K43" s="104"/>
      <c r="L43" s="104"/>
      <c r="M43" s="104"/>
      <c r="N43" s="105"/>
      <c r="O43" s="105"/>
      <c r="P43" s="105"/>
      <c r="Q43" s="105"/>
      <c r="R43" s="105"/>
      <c r="S43" s="105"/>
      <c r="T43" s="105"/>
      <c r="U43" s="105"/>
      <c r="V43" s="105"/>
      <c r="W43" s="105"/>
      <c r="X43" s="104"/>
      <c r="Y43" s="104"/>
      <c r="Z43" s="104"/>
      <c r="AA43" s="104"/>
      <c r="AB43" s="104"/>
    </row>
    <row r="44" spans="1:35" s="52" customFormat="1" ht="26.25" customHeight="1" x14ac:dyDescent="0.25">
      <c r="A44" s="103"/>
      <c r="B44" s="103"/>
      <c r="C44" s="103"/>
      <c r="D44" s="103"/>
      <c r="E44" s="103"/>
      <c r="F44" s="103"/>
      <c r="G44" s="103"/>
      <c r="H44" s="103"/>
      <c r="I44" s="103"/>
      <c r="J44" s="103"/>
      <c r="K44" s="104"/>
      <c r="L44" s="104"/>
      <c r="M44" s="104"/>
      <c r="N44" s="105"/>
      <c r="O44" s="105"/>
      <c r="P44" s="105"/>
      <c r="Q44" s="105"/>
      <c r="R44" s="105"/>
      <c r="S44" s="105"/>
      <c r="T44" s="105"/>
      <c r="U44" s="105"/>
      <c r="V44" s="105"/>
      <c r="W44" s="105"/>
      <c r="X44" s="104"/>
      <c r="Y44" s="104"/>
      <c r="Z44" s="104"/>
      <c r="AA44" s="104"/>
      <c r="AB44" s="104"/>
    </row>
    <row r="45" spans="1:35" s="52" customFormat="1" ht="26.25" customHeight="1" x14ac:dyDescent="0.25">
      <c r="A45" s="103"/>
      <c r="B45" s="103"/>
      <c r="C45" s="103"/>
      <c r="D45" s="103"/>
      <c r="E45" s="103"/>
      <c r="F45" s="103"/>
      <c r="G45" s="103"/>
      <c r="H45" s="103"/>
      <c r="I45" s="103"/>
      <c r="J45" s="103"/>
      <c r="K45" s="104"/>
      <c r="L45" s="104"/>
      <c r="M45" s="104"/>
      <c r="N45" s="105"/>
      <c r="O45" s="105"/>
      <c r="P45" s="105"/>
      <c r="Q45" s="105"/>
      <c r="R45" s="105"/>
      <c r="S45" s="105"/>
      <c r="T45" s="105"/>
      <c r="U45" s="105"/>
      <c r="V45" s="105"/>
      <c r="W45" s="105"/>
      <c r="X45" s="104"/>
      <c r="Y45" s="104"/>
      <c r="Z45" s="104"/>
      <c r="AA45" s="104"/>
      <c r="AB45" s="104"/>
    </row>
    <row r="46" spans="1:35" s="52" customFormat="1" ht="26.25" customHeight="1" x14ac:dyDescent="0.25">
      <c r="A46" s="103"/>
      <c r="B46" s="103"/>
      <c r="C46" s="103"/>
      <c r="D46" s="103"/>
      <c r="E46" s="103"/>
      <c r="F46" s="103"/>
      <c r="G46" s="103"/>
      <c r="H46" s="103"/>
      <c r="I46" s="103"/>
      <c r="J46" s="103"/>
      <c r="K46" s="104"/>
      <c r="L46" s="104"/>
      <c r="M46" s="104"/>
      <c r="N46" s="105"/>
      <c r="O46" s="105"/>
      <c r="P46" s="105"/>
      <c r="Q46" s="105"/>
      <c r="R46" s="105"/>
      <c r="S46" s="105"/>
      <c r="T46" s="105"/>
      <c r="U46" s="105"/>
      <c r="V46" s="105"/>
      <c r="W46" s="105"/>
      <c r="X46" s="104"/>
      <c r="Y46" s="104"/>
      <c r="Z46" s="104"/>
      <c r="AA46" s="104"/>
      <c r="AB46" s="104"/>
    </row>
    <row r="47" spans="1:35" s="52" customFormat="1" ht="26.25" customHeight="1" x14ac:dyDescent="0.25">
      <c r="A47" s="103"/>
      <c r="B47" s="103"/>
      <c r="C47" s="103"/>
      <c r="D47" s="103"/>
      <c r="E47" s="103"/>
      <c r="F47" s="103"/>
      <c r="G47" s="103"/>
      <c r="H47" s="103"/>
      <c r="I47" s="103"/>
      <c r="J47" s="103"/>
      <c r="K47" s="104"/>
      <c r="L47" s="104"/>
      <c r="M47" s="104"/>
      <c r="N47" s="105"/>
      <c r="O47" s="105"/>
      <c r="P47" s="105"/>
      <c r="Q47" s="105"/>
      <c r="R47" s="105"/>
      <c r="S47" s="105"/>
      <c r="T47" s="105"/>
      <c r="U47" s="105"/>
      <c r="V47" s="105"/>
      <c r="W47" s="105"/>
      <c r="X47" s="104"/>
      <c r="Y47" s="104"/>
      <c r="Z47" s="104"/>
      <c r="AA47" s="104"/>
      <c r="AB47" s="104"/>
    </row>
    <row r="48" spans="1:35" s="52" customFormat="1" ht="24.75" customHeight="1" x14ac:dyDescent="0.25">
      <c r="A48" s="103"/>
      <c r="B48" s="103"/>
      <c r="C48" s="103"/>
      <c r="D48" s="103"/>
      <c r="E48" s="103"/>
      <c r="F48" s="103"/>
      <c r="G48" s="103"/>
      <c r="H48" s="103"/>
      <c r="I48" s="103"/>
      <c r="J48" s="103"/>
      <c r="K48" s="104"/>
      <c r="L48" s="104"/>
      <c r="M48" s="104"/>
      <c r="N48" s="105"/>
      <c r="O48" s="105"/>
      <c r="P48" s="105"/>
      <c r="Q48" s="105"/>
      <c r="R48" s="105"/>
      <c r="S48" s="105"/>
      <c r="T48" s="105"/>
      <c r="U48" s="105"/>
      <c r="V48" s="105"/>
      <c r="W48" s="105"/>
      <c r="X48" s="104"/>
      <c r="Y48" s="104"/>
      <c r="Z48" s="104"/>
      <c r="AA48" s="104"/>
      <c r="AB48" s="104"/>
    </row>
    <row r="49" spans="2:29" s="52" customFormat="1" ht="14.25" x14ac:dyDescent="0.2">
      <c r="B49" s="91"/>
      <c r="C49" s="91"/>
      <c r="D49" s="91"/>
      <c r="E49" s="91"/>
      <c r="F49" s="91"/>
      <c r="G49" s="91"/>
      <c r="H49" s="91"/>
      <c r="I49" s="91"/>
      <c r="J49" s="91"/>
      <c r="K49" s="91"/>
      <c r="L49" s="91"/>
      <c r="M49" s="91"/>
      <c r="N49" s="91"/>
      <c r="O49" s="91"/>
      <c r="P49" s="91"/>
      <c r="Q49" s="91"/>
      <c r="R49" s="91"/>
      <c r="S49" s="91"/>
      <c r="T49" s="91"/>
      <c r="U49" s="91"/>
      <c r="V49" s="91"/>
      <c r="W49" s="91"/>
      <c r="X49" s="91"/>
      <c r="Y49" s="91"/>
      <c r="Z49" s="91"/>
      <c r="AA49" s="91"/>
      <c r="AB49" s="91"/>
    </row>
    <row r="50" spans="2:29" s="52" customFormat="1" ht="18" x14ac:dyDescent="0.25">
      <c r="B50" s="91"/>
      <c r="C50" s="91"/>
      <c r="D50" s="215" t="s">
        <v>521</v>
      </c>
      <c r="E50" s="215"/>
      <c r="F50" s="215"/>
      <c r="G50" s="215"/>
      <c r="H50" s="215"/>
      <c r="I50" s="108"/>
      <c r="J50" s="108"/>
      <c r="K50" s="108"/>
      <c r="L50" s="108"/>
      <c r="M50" s="108"/>
      <c r="N50" s="108"/>
      <c r="O50" s="108"/>
      <c r="P50" s="108"/>
      <c r="Q50" s="108"/>
      <c r="R50" s="108"/>
      <c r="S50" s="108"/>
      <c r="T50" s="108"/>
      <c r="U50" s="108"/>
      <c r="V50" s="108"/>
      <c r="W50" s="108"/>
      <c r="X50" s="108"/>
      <c r="Y50" s="215" t="s">
        <v>147</v>
      </c>
      <c r="Z50" s="108"/>
      <c r="AA50" s="108"/>
      <c r="AB50" s="108"/>
    </row>
    <row r="51" spans="2:29" s="52" customFormat="1" ht="18" x14ac:dyDescent="0.25">
      <c r="B51" s="91"/>
      <c r="C51" s="91"/>
      <c r="D51" s="215" t="s">
        <v>543</v>
      </c>
      <c r="E51" s="215"/>
      <c r="F51" s="215"/>
      <c r="G51" s="215"/>
      <c r="H51" s="215"/>
      <c r="I51" s="215"/>
      <c r="J51" s="215"/>
      <c r="K51" s="215"/>
      <c r="L51" s="215"/>
      <c r="M51" s="108"/>
      <c r="N51" s="108"/>
      <c r="O51" s="108"/>
      <c r="P51" s="108"/>
      <c r="Q51" s="108"/>
      <c r="R51" s="108"/>
      <c r="S51" s="108"/>
      <c r="T51" s="108"/>
      <c r="U51" s="108"/>
      <c r="V51" s="108"/>
      <c r="W51" s="108"/>
      <c r="X51" s="108"/>
      <c r="Y51" s="215" t="s">
        <v>219</v>
      </c>
      <c r="Z51" s="108"/>
      <c r="AA51" s="215"/>
      <c r="AB51" s="215"/>
      <c r="AC51" s="61"/>
    </row>
    <row r="52" spans="2:29" s="52" customFormat="1" ht="14.25" x14ac:dyDescent="0.2">
      <c r="B52" s="91"/>
      <c r="C52" s="91"/>
      <c r="D52" s="91"/>
      <c r="E52" s="91"/>
      <c r="F52" s="91"/>
      <c r="G52" s="91"/>
      <c r="H52" s="91"/>
      <c r="I52" s="91"/>
      <c r="J52" s="91"/>
      <c r="K52" s="91"/>
      <c r="L52" s="91"/>
      <c r="M52" s="91"/>
      <c r="N52" s="91"/>
      <c r="O52" s="91"/>
      <c r="P52" s="91"/>
      <c r="Q52" s="91"/>
      <c r="R52" s="91"/>
      <c r="S52" s="91"/>
      <c r="T52" s="91"/>
      <c r="U52" s="91"/>
      <c r="V52" s="91"/>
      <c r="W52" s="91"/>
      <c r="X52" s="91"/>
      <c r="Y52" s="91"/>
      <c r="Z52" s="91"/>
      <c r="AA52" s="91"/>
      <c r="AB52" s="91"/>
    </row>
  </sheetData>
  <mergeCells count="14">
    <mergeCell ref="A1:AC1"/>
    <mergeCell ref="A2:AC2"/>
    <mergeCell ref="A3:AC3"/>
    <mergeCell ref="K5:M5"/>
    <mergeCell ref="P5:U5"/>
    <mergeCell ref="Y5:AA5"/>
    <mergeCell ref="B18:AD18"/>
    <mergeCell ref="B19:AC19"/>
    <mergeCell ref="B31:AC31"/>
    <mergeCell ref="A38:J38"/>
    <mergeCell ref="C5:C7"/>
    <mergeCell ref="B29:AD29"/>
    <mergeCell ref="B30:AD30"/>
    <mergeCell ref="B17:AD17"/>
  </mergeCells>
  <phoneticPr fontId="34" type="noConversion"/>
  <dataValidations count="1">
    <dataValidation allowBlank="1" showInputMessage="1" showErrorMessage="1" prompt="Captura el nombre asignado o el nombre como se le identifica a la plaza (ejem. Jefe de Ingresos, Secretario Particular, Oficial Mayor, etc.)" sqref="D36:F37 D27:G28 D35:G35 D32:G32 D23:G24 D25:F26 D33:F34" xr:uid="{00000000-0002-0000-0300-000000000000}"/>
  </dataValidations>
  <pageMargins left="0.27559055118110237" right="0.27559055118110237" top="0.74803149606299213" bottom="0.15748031496062992" header="0.31496062992125984" footer="0.31496062992125984"/>
  <pageSetup scale="36" orientation="landscape" horizontalDpi="4294967293" verticalDpi="36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O51"/>
  <sheetViews>
    <sheetView topLeftCell="B1" zoomScale="69" zoomScaleNormal="69" workbookViewId="0">
      <selection activeCell="D37" sqref="D37"/>
    </sheetView>
  </sheetViews>
  <sheetFormatPr baseColWidth="10" defaultColWidth="11.42578125" defaultRowHeight="12.75" x14ac:dyDescent="0.2"/>
  <cols>
    <col min="1" max="1" width="5.5703125" hidden="1" customWidth="1"/>
    <col min="2" max="2" width="13.140625" customWidth="1"/>
    <col min="3" max="3" width="10" customWidth="1"/>
    <col min="4" max="4" width="32" customWidth="1"/>
    <col min="5" max="5" width="24.5703125" customWidth="1"/>
    <col min="6" max="6" width="32.85546875" customWidth="1"/>
    <col min="7" max="7" width="16.42578125" customWidth="1"/>
    <col min="8" max="8" width="20.140625" customWidth="1"/>
    <col min="9" max="9" width="7.28515625" hidden="1" customWidth="1"/>
    <col min="10" max="10" width="17.85546875" hidden="1" customWidth="1"/>
    <col min="11" max="11" width="17.85546875" customWidth="1"/>
    <col min="12" max="12" width="14.5703125" customWidth="1"/>
    <col min="13" max="13" width="15.140625" customWidth="1"/>
    <col min="14" max="14" width="13.140625" hidden="1" customWidth="1"/>
    <col min="15" max="16" width="13" hidden="1" customWidth="1"/>
    <col min="17" max="17" width="14.5703125" hidden="1" customWidth="1"/>
    <col min="18" max="19" width="13.140625" hidden="1" customWidth="1"/>
    <col min="20" max="20" width="10.5703125" hidden="1" customWidth="1"/>
    <col min="21" max="21" width="10.42578125" hidden="1" customWidth="1"/>
    <col min="22" max="22" width="13.140625" hidden="1" customWidth="1"/>
    <col min="23" max="23" width="11.5703125" hidden="1" customWidth="1"/>
    <col min="24" max="24" width="9.7109375" customWidth="1"/>
    <col min="25" max="25" width="13.42578125" customWidth="1"/>
    <col min="26" max="26" width="13.140625" customWidth="1"/>
    <col min="27" max="27" width="14.7109375" customWidth="1"/>
    <col min="28" max="28" width="16.28515625" customWidth="1"/>
    <col min="29" max="29" width="55.5703125" customWidth="1"/>
  </cols>
  <sheetData>
    <row r="1" spans="1:30" ht="18" x14ac:dyDescent="0.25">
      <c r="A1" s="466" t="s">
        <v>77</v>
      </c>
      <c r="B1" s="466"/>
      <c r="C1" s="466"/>
      <c r="D1" s="466"/>
      <c r="E1" s="466"/>
      <c r="F1" s="466"/>
      <c r="G1" s="466"/>
      <c r="H1" s="466"/>
      <c r="I1" s="466"/>
      <c r="J1" s="466"/>
      <c r="K1" s="466"/>
      <c r="L1" s="466"/>
      <c r="M1" s="466"/>
      <c r="N1" s="466"/>
      <c r="O1" s="466"/>
      <c r="P1" s="466"/>
      <c r="Q1" s="466"/>
      <c r="R1" s="466"/>
      <c r="S1" s="466"/>
      <c r="T1" s="466"/>
      <c r="U1" s="466"/>
      <c r="V1" s="466"/>
      <c r="W1" s="466"/>
      <c r="X1" s="466"/>
      <c r="Y1" s="466"/>
      <c r="Z1" s="466"/>
      <c r="AA1" s="466"/>
      <c r="AB1" s="466"/>
      <c r="AC1" s="466"/>
    </row>
    <row r="2" spans="1:30" ht="18" x14ac:dyDescent="0.25">
      <c r="A2" s="466" t="s">
        <v>64</v>
      </c>
      <c r="B2" s="466"/>
      <c r="C2" s="466"/>
      <c r="D2" s="466"/>
      <c r="E2" s="466"/>
      <c r="F2" s="466"/>
      <c r="G2" s="466"/>
      <c r="H2" s="466"/>
      <c r="I2" s="466"/>
      <c r="J2" s="466"/>
      <c r="K2" s="466"/>
      <c r="L2" s="466"/>
      <c r="M2" s="466"/>
      <c r="N2" s="466"/>
      <c r="O2" s="466"/>
      <c r="P2" s="466"/>
      <c r="Q2" s="466"/>
      <c r="R2" s="466"/>
      <c r="S2" s="466"/>
      <c r="T2" s="466"/>
      <c r="U2" s="466"/>
      <c r="V2" s="466"/>
      <c r="W2" s="466"/>
      <c r="X2" s="466"/>
      <c r="Y2" s="466"/>
      <c r="Z2" s="466"/>
      <c r="AA2" s="466"/>
      <c r="AB2" s="466"/>
      <c r="AC2" s="466"/>
    </row>
    <row r="3" spans="1:30" ht="19.5" x14ac:dyDescent="0.25">
      <c r="A3" s="456" t="str">
        <f>PRESIDENCIA!A3</f>
        <v>SUELDO  DEL 16 AL 30 DE ABRIL DE 2025</v>
      </c>
      <c r="B3" s="456"/>
      <c r="C3" s="456"/>
      <c r="D3" s="456"/>
      <c r="E3" s="456"/>
      <c r="F3" s="456"/>
      <c r="G3" s="456"/>
      <c r="H3" s="456"/>
      <c r="I3" s="456"/>
      <c r="J3" s="456"/>
      <c r="K3" s="456"/>
      <c r="L3" s="456"/>
      <c r="M3" s="456"/>
      <c r="N3" s="456"/>
      <c r="O3" s="456"/>
      <c r="P3" s="456"/>
      <c r="Q3" s="456"/>
      <c r="R3" s="456"/>
      <c r="S3" s="456"/>
      <c r="T3" s="456"/>
      <c r="U3" s="456"/>
      <c r="V3" s="456"/>
      <c r="W3" s="456"/>
      <c r="X3" s="456"/>
      <c r="Y3" s="456"/>
      <c r="Z3" s="456"/>
      <c r="AA3" s="456"/>
      <c r="AB3" s="456"/>
      <c r="AC3" s="456"/>
    </row>
    <row r="4" spans="1:30" ht="24.75" customHeight="1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</row>
    <row r="5" spans="1:30" s="52" customFormat="1" ht="12" x14ac:dyDescent="0.2">
      <c r="A5" s="48"/>
      <c r="B5" s="48"/>
      <c r="C5" s="48"/>
      <c r="D5" s="48"/>
      <c r="E5" s="48"/>
      <c r="F5" s="48"/>
      <c r="G5" s="48"/>
      <c r="H5" s="48"/>
      <c r="I5" s="49" t="s">
        <v>22</v>
      </c>
      <c r="J5" s="49" t="s">
        <v>5</v>
      </c>
      <c r="K5" s="481" t="s">
        <v>1</v>
      </c>
      <c r="L5" s="482"/>
      <c r="M5" s="483"/>
      <c r="N5" s="50" t="s">
        <v>25</v>
      </c>
      <c r="O5" s="51"/>
      <c r="P5" s="484" t="s">
        <v>8</v>
      </c>
      <c r="Q5" s="485"/>
      <c r="R5" s="485"/>
      <c r="S5" s="485"/>
      <c r="T5" s="485"/>
      <c r="U5" s="486"/>
      <c r="V5" s="50" t="s">
        <v>29</v>
      </c>
      <c r="W5" s="50" t="s">
        <v>9</v>
      </c>
      <c r="X5" s="49" t="s">
        <v>52</v>
      </c>
      <c r="Y5" s="487" t="s">
        <v>2</v>
      </c>
      <c r="Z5" s="488"/>
      <c r="AA5" s="489"/>
      <c r="AB5" s="49" t="s">
        <v>0</v>
      </c>
      <c r="AC5" s="48"/>
    </row>
    <row r="6" spans="1:30" s="52" customFormat="1" ht="24" x14ac:dyDescent="0.2">
      <c r="A6" s="53" t="s">
        <v>104</v>
      </c>
      <c r="B6" s="47" t="s">
        <v>97</v>
      </c>
      <c r="C6" s="47" t="s">
        <v>124</v>
      </c>
      <c r="D6" s="53" t="s">
        <v>21</v>
      </c>
      <c r="E6" s="53"/>
      <c r="F6" s="53"/>
      <c r="G6" s="53"/>
      <c r="H6" s="53"/>
      <c r="I6" s="54" t="s">
        <v>23</v>
      </c>
      <c r="J6" s="53" t="s">
        <v>24</v>
      </c>
      <c r="K6" s="49" t="s">
        <v>5</v>
      </c>
      <c r="L6" s="49" t="s">
        <v>58</v>
      </c>
      <c r="M6" s="49" t="s">
        <v>27</v>
      </c>
      <c r="N6" s="55" t="s">
        <v>26</v>
      </c>
      <c r="O6" s="51" t="s">
        <v>31</v>
      </c>
      <c r="P6" s="51" t="s">
        <v>11</v>
      </c>
      <c r="Q6" s="51" t="s">
        <v>33</v>
      </c>
      <c r="R6" s="51" t="s">
        <v>35</v>
      </c>
      <c r="S6" s="51" t="s">
        <v>36</v>
      </c>
      <c r="T6" s="86" t="s">
        <v>13</v>
      </c>
      <c r="U6" s="51" t="s">
        <v>9</v>
      </c>
      <c r="V6" s="55" t="s">
        <v>39</v>
      </c>
      <c r="W6" s="55" t="s">
        <v>40</v>
      </c>
      <c r="X6" s="53" t="s">
        <v>30</v>
      </c>
      <c r="Y6" s="49" t="s">
        <v>281</v>
      </c>
      <c r="Z6" s="49" t="s">
        <v>56</v>
      </c>
      <c r="AA6" s="49" t="s">
        <v>6</v>
      </c>
      <c r="AB6" s="53" t="s">
        <v>3</v>
      </c>
      <c r="AC6" s="53" t="s">
        <v>57</v>
      </c>
    </row>
    <row r="7" spans="1:30" s="52" customFormat="1" ht="12" x14ac:dyDescent="0.2">
      <c r="A7" s="53"/>
      <c r="B7" s="53"/>
      <c r="C7" s="53"/>
      <c r="D7" s="53"/>
      <c r="E7" s="53"/>
      <c r="F7" s="53"/>
      <c r="G7" s="53"/>
      <c r="H7" s="53"/>
      <c r="I7" s="53"/>
      <c r="J7" s="53"/>
      <c r="K7" s="53" t="s">
        <v>46</v>
      </c>
      <c r="L7" s="53" t="s">
        <v>59</v>
      </c>
      <c r="M7" s="53" t="s">
        <v>28</v>
      </c>
      <c r="N7" s="55" t="s">
        <v>42</v>
      </c>
      <c r="O7" s="50" t="s">
        <v>32</v>
      </c>
      <c r="P7" s="50" t="s">
        <v>12</v>
      </c>
      <c r="Q7" s="50" t="s">
        <v>34</v>
      </c>
      <c r="R7" s="50" t="s">
        <v>34</v>
      </c>
      <c r="S7" s="50" t="s">
        <v>37</v>
      </c>
      <c r="T7" s="87" t="s">
        <v>14</v>
      </c>
      <c r="U7" s="50" t="s">
        <v>38</v>
      </c>
      <c r="V7" s="55" t="s">
        <v>18</v>
      </c>
      <c r="W7" s="56" t="s">
        <v>125</v>
      </c>
      <c r="X7" s="53" t="s">
        <v>51</v>
      </c>
      <c r="Y7" s="53"/>
      <c r="Z7" s="53"/>
      <c r="AA7" s="53" t="s">
        <v>43</v>
      </c>
      <c r="AB7" s="53" t="s">
        <v>4</v>
      </c>
      <c r="AC7" s="57"/>
    </row>
    <row r="8" spans="1:30" s="4" customFormat="1" ht="39.75" customHeight="1" x14ac:dyDescent="0.25">
      <c r="A8" s="95"/>
      <c r="B8" s="112"/>
      <c r="C8" s="112"/>
      <c r="D8" s="180" t="s">
        <v>69</v>
      </c>
      <c r="E8" s="180" t="s">
        <v>98</v>
      </c>
      <c r="F8" s="180" t="s">
        <v>229</v>
      </c>
      <c r="G8" s="148" t="s">
        <v>291</v>
      </c>
      <c r="H8" s="180" t="s">
        <v>61</v>
      </c>
      <c r="I8" s="180"/>
      <c r="J8" s="180"/>
      <c r="K8" s="181">
        <f>SUM(K9:K26)</f>
        <v>59027.28</v>
      </c>
      <c r="L8" s="181">
        <f>SUM(L9:L26)</f>
        <v>2180.2800000000002</v>
      </c>
      <c r="M8" s="181">
        <f>SUM(M9:M26)</f>
        <v>61207.56</v>
      </c>
      <c r="N8" s="180"/>
      <c r="O8" s="180"/>
      <c r="P8" s="180"/>
      <c r="Q8" s="180"/>
      <c r="R8" s="180"/>
      <c r="S8" s="180"/>
      <c r="T8" s="183"/>
      <c r="U8" s="180"/>
      <c r="V8" s="180"/>
      <c r="W8" s="180"/>
      <c r="X8" s="181">
        <f>SUM(X9:X26)</f>
        <v>0</v>
      </c>
      <c r="Y8" s="181">
        <f>SUM(Y9:Y26)</f>
        <v>3607.51</v>
      </c>
      <c r="Z8" s="181">
        <f>SUM(Z9:Z26)</f>
        <v>0</v>
      </c>
      <c r="AA8" s="181">
        <f>SUM(AA9:AA26)</f>
        <v>3607.51</v>
      </c>
      <c r="AB8" s="181">
        <f>SUM(AB9:AB26)</f>
        <v>57600.05</v>
      </c>
      <c r="AC8" s="96"/>
    </row>
    <row r="9" spans="1:30" s="341" customFormat="1" ht="220.5" customHeight="1" x14ac:dyDescent="0.2">
      <c r="A9" s="339"/>
      <c r="B9" s="285" t="s">
        <v>172</v>
      </c>
      <c r="C9" s="285" t="s">
        <v>118</v>
      </c>
      <c r="D9" s="270" t="s">
        <v>168</v>
      </c>
      <c r="E9" s="271" t="s">
        <v>171</v>
      </c>
      <c r="F9" s="271" t="s">
        <v>249</v>
      </c>
      <c r="G9" s="272">
        <v>43512</v>
      </c>
      <c r="H9" s="273" t="s">
        <v>167</v>
      </c>
      <c r="I9" s="274">
        <v>15</v>
      </c>
      <c r="J9" s="275">
        <f>K9/I9</f>
        <v>362.33333333333331</v>
      </c>
      <c r="K9" s="276">
        <v>5435</v>
      </c>
      <c r="L9" s="277">
        <v>0</v>
      </c>
      <c r="M9" s="278">
        <f>SUM(K9:L9)</f>
        <v>5435</v>
      </c>
      <c r="N9" s="300">
        <f>IF(K9/15&lt;=SMG,0,L9/2)</f>
        <v>0</v>
      </c>
      <c r="O9" s="321">
        <f>(K9+N9)/I9*30.4</f>
        <v>11014.933333333332</v>
      </c>
      <c r="P9" s="321">
        <f>VLOOKUP(O9,Tarifa,1)</f>
        <v>6332.06</v>
      </c>
      <c r="Q9" s="300">
        <f>O9-P9</f>
        <v>4682.8733333333321</v>
      </c>
      <c r="R9" s="301">
        <f>VLOOKUP(O9,Tarifa,3)</f>
        <v>0.10879999999999999</v>
      </c>
      <c r="S9" s="300">
        <f>Q9*R9</f>
        <v>509.49661866666651</v>
      </c>
      <c r="T9" s="302">
        <f>VLOOKUP(O9,Tarifa,2)</f>
        <v>371.83</v>
      </c>
      <c r="U9" s="300">
        <f>S9+T9</f>
        <v>881.32661866666649</v>
      </c>
      <c r="V9" s="300">
        <f>VLOOKUP(O9,Credito,2)</f>
        <v>0</v>
      </c>
      <c r="W9" s="300">
        <f>ROUND((U9-V9)/30.4*I9,2)</f>
        <v>434.87</v>
      </c>
      <c r="X9" s="278">
        <f>-IF(W9&gt;0,0,0)</f>
        <v>0</v>
      </c>
      <c r="Y9" s="278">
        <f>IF(K9/15&lt;=SMG,0,IF(W9&lt;0,0,W9))</f>
        <v>434.87</v>
      </c>
      <c r="Z9" s="279">
        <v>0</v>
      </c>
      <c r="AA9" s="278">
        <f>SUM(Y9:Z9)</f>
        <v>434.87</v>
      </c>
      <c r="AB9" s="278">
        <f>M9+X9-AA9</f>
        <v>5000.13</v>
      </c>
      <c r="AC9" s="340"/>
    </row>
    <row r="10" spans="1:30" s="341" customFormat="1" ht="220.5" customHeight="1" x14ac:dyDescent="0.2">
      <c r="A10" s="339"/>
      <c r="B10" s="285" t="s">
        <v>274</v>
      </c>
      <c r="C10" s="285" t="s">
        <v>118</v>
      </c>
      <c r="D10" s="270" t="s">
        <v>277</v>
      </c>
      <c r="E10" s="280" t="s">
        <v>278</v>
      </c>
      <c r="F10" s="280" t="s">
        <v>279</v>
      </c>
      <c r="G10" s="331">
        <v>44743</v>
      </c>
      <c r="H10" s="273" t="s">
        <v>167</v>
      </c>
      <c r="I10" s="274">
        <v>15</v>
      </c>
      <c r="J10" s="275">
        <f>K10/I10</f>
        <v>362.33333333333331</v>
      </c>
      <c r="K10" s="276">
        <v>5435</v>
      </c>
      <c r="L10" s="277">
        <v>0</v>
      </c>
      <c r="M10" s="278">
        <f>SUM(K10:L10)</f>
        <v>5435</v>
      </c>
      <c r="N10" s="300">
        <f>IF(K10/15&lt;=SMG,0,L10/2)</f>
        <v>0</v>
      </c>
      <c r="O10" s="321">
        <f>(K10+N10)/I10*30.4</f>
        <v>11014.933333333332</v>
      </c>
      <c r="P10" s="321">
        <f>VLOOKUP(O10,Tarifa,1)</f>
        <v>6332.06</v>
      </c>
      <c r="Q10" s="300">
        <f>O10-P10</f>
        <v>4682.8733333333321</v>
      </c>
      <c r="R10" s="301">
        <f>VLOOKUP(O10,Tarifa,3)</f>
        <v>0.10879999999999999</v>
      </c>
      <c r="S10" s="300">
        <f>Q10*R10</f>
        <v>509.49661866666651</v>
      </c>
      <c r="T10" s="302">
        <f>VLOOKUP(O10,Tarifa,2)</f>
        <v>371.83</v>
      </c>
      <c r="U10" s="300">
        <f>S10+T10</f>
        <v>881.32661866666649</v>
      </c>
      <c r="V10" s="300">
        <f>VLOOKUP(O10,Credito,2)</f>
        <v>0</v>
      </c>
      <c r="W10" s="300">
        <f>ROUND((U10-V10)/30.4*I10,2)</f>
        <v>434.87</v>
      </c>
      <c r="X10" s="278">
        <f t="shared" ref="X10" si="0">-IF(W10&gt;0,0,0)</f>
        <v>0</v>
      </c>
      <c r="Y10" s="278">
        <f>IF(K10/15&lt;=SMG,0,IF(W10&lt;0,0,W10))</f>
        <v>434.87</v>
      </c>
      <c r="Z10" s="279">
        <v>0</v>
      </c>
      <c r="AA10" s="278">
        <f>SUM(Y10:Z10)</f>
        <v>434.87</v>
      </c>
      <c r="AB10" s="278">
        <f>M10+X10-AA10</f>
        <v>5000.13</v>
      </c>
      <c r="AC10" s="340"/>
    </row>
    <row r="11" spans="1:30" s="341" customFormat="1" ht="220.5" customHeight="1" x14ac:dyDescent="0.2">
      <c r="A11" s="339"/>
      <c r="B11" s="285" t="s">
        <v>100</v>
      </c>
      <c r="C11" s="285" t="s">
        <v>118</v>
      </c>
      <c r="D11" s="270" t="s">
        <v>70</v>
      </c>
      <c r="E11" s="271" t="s">
        <v>102</v>
      </c>
      <c r="F11" s="271" t="s">
        <v>233</v>
      </c>
      <c r="G11" s="272">
        <v>39448</v>
      </c>
      <c r="H11" s="273" t="s">
        <v>576</v>
      </c>
      <c r="I11" s="274">
        <v>15</v>
      </c>
      <c r="J11" s="275">
        <f>K11/I11</f>
        <v>362.33333333333331</v>
      </c>
      <c r="K11" s="276">
        <v>5435</v>
      </c>
      <c r="L11" s="277">
        <v>0</v>
      </c>
      <c r="M11" s="278">
        <f>SUM(K11:L11)</f>
        <v>5435</v>
      </c>
      <c r="N11" s="300">
        <f>IF(K11/15&lt;=SMG,0,L11/2)</f>
        <v>0</v>
      </c>
      <c r="O11" s="321">
        <f>(K11+N11)/I11*30.4</f>
        <v>11014.933333333332</v>
      </c>
      <c r="P11" s="321">
        <f>VLOOKUP(O11,Tarifa,1)</f>
        <v>6332.06</v>
      </c>
      <c r="Q11" s="300">
        <f>O11-P11</f>
        <v>4682.8733333333321</v>
      </c>
      <c r="R11" s="301">
        <f>VLOOKUP(O11,Tarifa,3)</f>
        <v>0.10879999999999999</v>
      </c>
      <c r="S11" s="300">
        <f>Q11*R11</f>
        <v>509.49661866666651</v>
      </c>
      <c r="T11" s="302">
        <f>VLOOKUP(O11,Tarifa,2)</f>
        <v>371.83</v>
      </c>
      <c r="U11" s="300">
        <f>S11+T11</f>
        <v>881.32661866666649</v>
      </c>
      <c r="V11" s="300">
        <f>VLOOKUP(O11,Credito,2)</f>
        <v>0</v>
      </c>
      <c r="W11" s="300">
        <f>ROUND((U11-V11)/30.4*I11,2)</f>
        <v>434.87</v>
      </c>
      <c r="X11" s="278">
        <f t="shared" ref="X11:X36" si="1">-IF(W11&gt;0,0,0)</f>
        <v>0</v>
      </c>
      <c r="Y11" s="278">
        <f>IF(K11/15&lt;=SMG,0,IF(W11&lt;0,0,W11))</f>
        <v>434.87</v>
      </c>
      <c r="Z11" s="279">
        <v>0</v>
      </c>
      <c r="AA11" s="278">
        <f>SUM(Y11:Z11)</f>
        <v>434.87</v>
      </c>
      <c r="AB11" s="278">
        <f>M11+X11-AA11</f>
        <v>5000.13</v>
      </c>
      <c r="AC11" s="340"/>
    </row>
    <row r="12" spans="1:30" s="341" customFormat="1" ht="220.5" customHeight="1" x14ac:dyDescent="0.2">
      <c r="A12" s="339"/>
      <c r="B12" s="291" t="s">
        <v>180</v>
      </c>
      <c r="C12" s="285" t="s">
        <v>118</v>
      </c>
      <c r="D12" s="292" t="s">
        <v>178</v>
      </c>
      <c r="E12" s="293" t="s">
        <v>179</v>
      </c>
      <c r="F12" s="293" t="s">
        <v>252</v>
      </c>
      <c r="G12" s="294">
        <v>43617</v>
      </c>
      <c r="H12" s="273" t="s">
        <v>576</v>
      </c>
      <c r="I12" s="274">
        <v>15</v>
      </c>
      <c r="J12" s="275">
        <f>K12/I12</f>
        <v>362.33333333333331</v>
      </c>
      <c r="K12" s="276">
        <v>5435</v>
      </c>
      <c r="L12" s="277">
        <v>0</v>
      </c>
      <c r="M12" s="278">
        <f>SUM(K12:L12)</f>
        <v>5435</v>
      </c>
      <c r="N12" s="300">
        <f>IF(K12/15&lt;=SMG,0,L12/2)</f>
        <v>0</v>
      </c>
      <c r="O12" s="321">
        <f>(K12+N12)/I12*30.4</f>
        <v>11014.933333333332</v>
      </c>
      <c r="P12" s="321">
        <f>VLOOKUP(O12,Tarifa,1)</f>
        <v>6332.06</v>
      </c>
      <c r="Q12" s="300">
        <f>O12-P12</f>
        <v>4682.8733333333321</v>
      </c>
      <c r="R12" s="301">
        <f>VLOOKUP(O12,Tarifa,3)</f>
        <v>0.10879999999999999</v>
      </c>
      <c r="S12" s="300">
        <f>Q12*R12</f>
        <v>509.49661866666651</v>
      </c>
      <c r="T12" s="302">
        <f>VLOOKUP(O12,Tarifa,2)</f>
        <v>371.83</v>
      </c>
      <c r="U12" s="300">
        <f>S12+T12</f>
        <v>881.32661866666649</v>
      </c>
      <c r="V12" s="300">
        <f>VLOOKUP(O12,Credito,2)</f>
        <v>0</v>
      </c>
      <c r="W12" s="300">
        <f>ROUND((U12-V12)/30.4*I12,2)</f>
        <v>434.87</v>
      </c>
      <c r="X12" s="278">
        <f t="shared" ref="X12" si="2">-IF(W12&gt;0,0,0)</f>
        <v>0</v>
      </c>
      <c r="Y12" s="278">
        <f>IF(K12/15&lt;=SMG,0,IF(W12&lt;0,0,W12))</f>
        <v>434.87</v>
      </c>
      <c r="Z12" s="279">
        <v>0</v>
      </c>
      <c r="AA12" s="278">
        <f>SUM(Y12:Z12)</f>
        <v>434.87</v>
      </c>
      <c r="AB12" s="278">
        <f>M12+X12-AA12</f>
        <v>5000.13</v>
      </c>
      <c r="AC12" s="340"/>
    </row>
    <row r="13" spans="1:30" s="341" customFormat="1" ht="220.5" customHeight="1" x14ac:dyDescent="0.2">
      <c r="A13" s="339"/>
      <c r="B13" s="285" t="s">
        <v>130</v>
      </c>
      <c r="C13" s="285" t="s">
        <v>118</v>
      </c>
      <c r="D13" s="292" t="s">
        <v>129</v>
      </c>
      <c r="E13" s="293" t="s">
        <v>131</v>
      </c>
      <c r="F13" s="293" t="s">
        <v>239</v>
      </c>
      <c r="G13" s="338">
        <v>42948</v>
      </c>
      <c r="H13" s="273" t="s">
        <v>577</v>
      </c>
      <c r="I13" s="274">
        <v>15</v>
      </c>
      <c r="J13" s="275">
        <f>K13/I13</f>
        <v>373.2</v>
      </c>
      <c r="K13" s="276">
        <v>5598</v>
      </c>
      <c r="L13" s="277">
        <v>2180.2800000000002</v>
      </c>
      <c r="M13" s="278">
        <f>SUM(K13:L13)</f>
        <v>7778.2800000000007</v>
      </c>
      <c r="N13" s="300">
        <f>IF(K13/15&lt;=SMG,0,L13/2)</f>
        <v>1090.1400000000001</v>
      </c>
      <c r="O13" s="321">
        <f>(K13+N13)/I13*30.4</f>
        <v>13554.6304</v>
      </c>
      <c r="P13" s="321">
        <f>VLOOKUP(O13,Tarifa,1)</f>
        <v>12935.83</v>
      </c>
      <c r="Q13" s="300">
        <f>O13-P13</f>
        <v>618.80040000000008</v>
      </c>
      <c r="R13" s="301">
        <f>VLOOKUP(O13,Tarifa,3)</f>
        <v>0.1792</v>
      </c>
      <c r="S13" s="300">
        <f>Q13*R13</f>
        <v>110.88903168000002</v>
      </c>
      <c r="T13" s="302">
        <f>VLOOKUP(O13,Tarifa,2)</f>
        <v>1182.8800000000001</v>
      </c>
      <c r="U13" s="300">
        <f>S13+T13</f>
        <v>1293.7690316800001</v>
      </c>
      <c r="V13" s="300">
        <f>VLOOKUP(O13,Credito,2)</f>
        <v>0</v>
      </c>
      <c r="W13" s="300">
        <f>ROUND((U13-V13)/30.4*I13,2)</f>
        <v>638.37</v>
      </c>
      <c r="X13" s="278">
        <f>-IF(W13&gt;0,0,0)</f>
        <v>0</v>
      </c>
      <c r="Y13" s="278">
        <f>IF(K13/15&lt;=SMG,0,IF(W13&lt;0,0,W13))</f>
        <v>638.37</v>
      </c>
      <c r="Z13" s="279">
        <v>0</v>
      </c>
      <c r="AA13" s="278">
        <f>SUM(Y13:Z13)</f>
        <v>638.37</v>
      </c>
      <c r="AB13" s="278">
        <f>M13+X13-AA13</f>
        <v>7139.9100000000008</v>
      </c>
      <c r="AC13" s="340"/>
    </row>
    <row r="14" spans="1:30" s="4" customFormat="1" ht="12.75" customHeight="1" x14ac:dyDescent="0.3">
      <c r="A14" s="205"/>
      <c r="B14" s="216"/>
      <c r="C14" s="216"/>
      <c r="D14" s="217"/>
      <c r="E14" s="218"/>
      <c r="F14" s="218"/>
      <c r="G14" s="219"/>
      <c r="H14" s="207"/>
      <c r="I14" s="220"/>
      <c r="J14" s="221"/>
      <c r="K14" s="222"/>
      <c r="L14" s="223"/>
      <c r="M14" s="224"/>
      <c r="N14" s="225"/>
      <c r="O14" s="225"/>
      <c r="P14" s="225"/>
      <c r="Q14" s="225"/>
      <c r="R14" s="226"/>
      <c r="S14" s="225"/>
      <c r="T14" s="227"/>
      <c r="U14" s="225"/>
      <c r="V14" s="225"/>
      <c r="W14" s="225"/>
      <c r="X14" s="224"/>
      <c r="Y14" s="224"/>
      <c r="Z14" s="228"/>
      <c r="AA14" s="224"/>
      <c r="AB14" s="224"/>
    </row>
    <row r="15" spans="1:30" s="4" customFormat="1" ht="12.75" customHeight="1" x14ac:dyDescent="0.3">
      <c r="A15" s="205"/>
      <c r="B15" s="216"/>
      <c r="C15" s="216"/>
      <c r="D15" s="217"/>
      <c r="E15" s="218"/>
      <c r="F15" s="218"/>
      <c r="G15" s="219"/>
      <c r="H15" s="207"/>
      <c r="I15" s="220"/>
      <c r="J15" s="221"/>
      <c r="K15" s="222"/>
      <c r="L15" s="223"/>
      <c r="M15" s="224"/>
      <c r="N15" s="225"/>
      <c r="O15" s="225"/>
      <c r="P15" s="225"/>
      <c r="Q15" s="225"/>
      <c r="R15" s="226"/>
      <c r="S15" s="225"/>
      <c r="T15" s="227"/>
      <c r="U15" s="225"/>
      <c r="V15" s="225"/>
      <c r="W15" s="225"/>
      <c r="X15" s="224"/>
      <c r="Y15" s="224"/>
      <c r="Z15" s="228"/>
      <c r="AA15" s="224"/>
      <c r="AB15" s="224"/>
    </row>
    <row r="16" spans="1:30" s="4" customFormat="1" ht="27" customHeight="1" x14ac:dyDescent="0.25">
      <c r="A16" s="205"/>
      <c r="B16" s="466" t="s">
        <v>77</v>
      </c>
      <c r="C16" s="466"/>
      <c r="D16" s="466"/>
      <c r="E16" s="466"/>
      <c r="F16" s="466"/>
      <c r="G16" s="466"/>
      <c r="H16" s="466"/>
      <c r="I16" s="466"/>
      <c r="J16" s="466"/>
      <c r="K16" s="466"/>
      <c r="L16" s="466"/>
      <c r="M16" s="466"/>
      <c r="N16" s="466"/>
      <c r="O16" s="466"/>
      <c r="P16" s="466"/>
      <c r="Q16" s="466"/>
      <c r="R16" s="466"/>
      <c r="S16" s="466"/>
      <c r="T16" s="466"/>
      <c r="U16" s="466"/>
      <c r="V16" s="466"/>
      <c r="W16" s="466"/>
      <c r="X16" s="466"/>
      <c r="Y16" s="466"/>
      <c r="Z16" s="466"/>
      <c r="AA16" s="466"/>
      <c r="AB16" s="466"/>
      <c r="AC16" s="466"/>
      <c r="AD16" s="466"/>
    </row>
    <row r="17" spans="1:30" s="4" customFormat="1" ht="27" customHeight="1" x14ac:dyDescent="0.25">
      <c r="A17" s="205"/>
      <c r="B17" s="466" t="s">
        <v>64</v>
      </c>
      <c r="C17" s="466"/>
      <c r="D17" s="466"/>
      <c r="E17" s="466"/>
      <c r="F17" s="466"/>
      <c r="G17" s="466"/>
      <c r="H17" s="466"/>
      <c r="I17" s="466"/>
      <c r="J17" s="466"/>
      <c r="K17" s="466"/>
      <c r="L17" s="466"/>
      <c r="M17" s="466"/>
      <c r="N17" s="466"/>
      <c r="O17" s="466"/>
      <c r="P17" s="466"/>
      <c r="Q17" s="466"/>
      <c r="R17" s="466"/>
      <c r="S17" s="466"/>
      <c r="T17" s="466"/>
      <c r="U17" s="466"/>
      <c r="V17" s="466"/>
      <c r="W17" s="466"/>
      <c r="X17" s="466"/>
      <c r="Y17" s="466"/>
      <c r="Z17" s="466"/>
      <c r="AA17" s="466"/>
      <c r="AB17" s="466"/>
      <c r="AC17" s="466"/>
      <c r="AD17" s="466"/>
    </row>
    <row r="18" spans="1:30" s="4" customFormat="1" ht="27" customHeight="1" x14ac:dyDescent="0.3">
      <c r="A18" s="205"/>
      <c r="B18" s="490" t="str">
        <f>PRESIDENCIA!A3</f>
        <v>SUELDO  DEL 16 AL 30 DE ABRIL DE 2025</v>
      </c>
      <c r="C18" s="490"/>
      <c r="D18" s="490"/>
      <c r="E18" s="490"/>
      <c r="F18" s="490"/>
      <c r="G18" s="490"/>
      <c r="H18" s="490"/>
      <c r="I18" s="490"/>
      <c r="J18" s="490"/>
      <c r="K18" s="490"/>
      <c r="L18" s="490"/>
      <c r="M18" s="490"/>
      <c r="N18" s="490"/>
      <c r="O18" s="490"/>
      <c r="P18" s="490"/>
      <c r="Q18" s="490"/>
      <c r="R18" s="490"/>
      <c r="S18" s="490"/>
      <c r="T18" s="490"/>
      <c r="U18" s="490"/>
      <c r="V18" s="490"/>
      <c r="W18" s="490"/>
      <c r="X18" s="490"/>
      <c r="Y18" s="490"/>
      <c r="Z18" s="490"/>
      <c r="AA18" s="490"/>
      <c r="AB18" s="490"/>
      <c r="AC18" s="490"/>
    </row>
    <row r="19" spans="1:30" s="4" customFormat="1" ht="18.75" customHeight="1" x14ac:dyDescent="0.3">
      <c r="A19" s="205"/>
      <c r="B19" s="216"/>
      <c r="C19" s="216"/>
      <c r="D19" s="217"/>
      <c r="E19" s="218"/>
      <c r="F19" s="218"/>
      <c r="G19" s="219"/>
      <c r="H19" s="207"/>
      <c r="I19" s="220"/>
      <c r="J19" s="221"/>
      <c r="K19" s="222"/>
      <c r="L19" s="223"/>
      <c r="M19" s="224"/>
      <c r="N19" s="225"/>
      <c r="O19" s="225"/>
      <c r="P19" s="225"/>
      <c r="Q19" s="225"/>
      <c r="R19" s="226"/>
      <c r="S19" s="225"/>
      <c r="T19" s="227"/>
      <c r="U19" s="225"/>
      <c r="V19" s="225"/>
      <c r="W19" s="225"/>
      <c r="X19" s="224"/>
      <c r="Y19" s="224"/>
      <c r="Z19" s="228"/>
      <c r="AA19" s="224"/>
      <c r="AB19" s="224"/>
    </row>
    <row r="20" spans="1:30" s="341" customFormat="1" ht="160.5" customHeight="1" x14ac:dyDescent="0.2">
      <c r="A20" s="342"/>
      <c r="B20" s="343" t="s">
        <v>465</v>
      </c>
      <c r="C20" s="343" t="s">
        <v>118</v>
      </c>
      <c r="D20" s="344" t="s">
        <v>455</v>
      </c>
      <c r="E20" s="345" t="s">
        <v>466</v>
      </c>
      <c r="F20" s="345" t="s">
        <v>467</v>
      </c>
      <c r="G20" s="346">
        <v>45566</v>
      </c>
      <c r="H20" s="347" t="s">
        <v>99</v>
      </c>
      <c r="I20" s="274">
        <v>15</v>
      </c>
      <c r="J20" s="275">
        <f t="shared" ref="J20:J26" si="3">K20/I20</f>
        <v>317.46666666666664</v>
      </c>
      <c r="K20" s="348">
        <v>4762</v>
      </c>
      <c r="L20" s="349">
        <v>0</v>
      </c>
      <c r="M20" s="350">
        <f t="shared" ref="M20" si="4">SUM(K20:L20)</f>
        <v>4762</v>
      </c>
      <c r="N20" s="300">
        <f>IF(K20/15&lt;=SMG,0,L20/2)</f>
        <v>0</v>
      </c>
      <c r="O20" s="321">
        <f>(K20+N20)/I20*30.4</f>
        <v>9650.9866666666658</v>
      </c>
      <c r="P20" s="321">
        <f>VLOOKUP(O20,Tarifa,1)</f>
        <v>6332.06</v>
      </c>
      <c r="Q20" s="300">
        <f>O20-P20</f>
        <v>3318.9266666666654</v>
      </c>
      <c r="R20" s="301">
        <f>VLOOKUP(O20,Tarifa,3)</f>
        <v>0.10879999999999999</v>
      </c>
      <c r="S20" s="300">
        <f>Q20*R20</f>
        <v>361.09922133333316</v>
      </c>
      <c r="T20" s="302">
        <f>VLOOKUP(O20,Tarifa,2)</f>
        <v>371.83</v>
      </c>
      <c r="U20" s="300">
        <f>S20+T20</f>
        <v>732.92922133333309</v>
      </c>
      <c r="V20" s="300">
        <f>VLOOKUP(O20,Credito,2)</f>
        <v>475</v>
      </c>
      <c r="W20" s="300">
        <f>ROUND((U20-V20)/30.4*I20,2)</f>
        <v>127.27</v>
      </c>
      <c r="X20" s="350">
        <f t="shared" ref="X20:X21" si="5">-IF(W20&gt;0,0,0)</f>
        <v>0</v>
      </c>
      <c r="Y20" s="350">
        <f t="shared" ref="Y20:Y21" si="6">IF(K20/15&lt;=SMG,0,IF(W20&lt;0,0,W20))</f>
        <v>127.27</v>
      </c>
      <c r="Z20" s="351">
        <v>0</v>
      </c>
      <c r="AA20" s="350">
        <f t="shared" ref="AA20" si="7">SUM(Y20:Z20)</f>
        <v>127.27</v>
      </c>
      <c r="AB20" s="350">
        <f t="shared" ref="AB20" si="8">M20+X20-AA20</f>
        <v>4634.7299999999996</v>
      </c>
      <c r="AC20" s="352"/>
    </row>
    <row r="21" spans="1:30" s="341" customFormat="1" ht="160.5" customHeight="1" x14ac:dyDescent="0.2">
      <c r="A21" s="342"/>
      <c r="B21" s="285" t="s">
        <v>323</v>
      </c>
      <c r="C21" s="285" t="s">
        <v>118</v>
      </c>
      <c r="D21" s="292" t="s">
        <v>322</v>
      </c>
      <c r="E21" s="293" t="s">
        <v>324</v>
      </c>
      <c r="F21" s="293" t="s">
        <v>325</v>
      </c>
      <c r="G21" s="338">
        <v>45123</v>
      </c>
      <c r="H21" s="273" t="s">
        <v>321</v>
      </c>
      <c r="I21" s="274">
        <v>15</v>
      </c>
      <c r="J21" s="275">
        <f t="shared" si="3"/>
        <v>305.06666666666666</v>
      </c>
      <c r="K21" s="276">
        <v>4576</v>
      </c>
      <c r="L21" s="277">
        <v>0</v>
      </c>
      <c r="M21" s="278">
        <f>SUM(K21:L21)</f>
        <v>4576</v>
      </c>
      <c r="N21" s="300">
        <f>IF(K21/15&lt;=SMG,0,L21/2)</f>
        <v>0</v>
      </c>
      <c r="O21" s="321">
        <f>(K21+N21)/I21*30.4</f>
        <v>9274.0266666666666</v>
      </c>
      <c r="P21" s="321">
        <f>VLOOKUP(O21,Tarifa,1)</f>
        <v>6332.06</v>
      </c>
      <c r="Q21" s="300">
        <f>O21-P21</f>
        <v>2941.9666666666662</v>
      </c>
      <c r="R21" s="301">
        <f>VLOOKUP(O21,Tarifa,3)</f>
        <v>0.10879999999999999</v>
      </c>
      <c r="S21" s="300">
        <f>Q21*R21</f>
        <v>320.08597333333324</v>
      </c>
      <c r="T21" s="302">
        <f>VLOOKUP(O21,Tarifa,2)</f>
        <v>371.83</v>
      </c>
      <c r="U21" s="300">
        <f>S21+T21</f>
        <v>691.91597333333323</v>
      </c>
      <c r="V21" s="300">
        <f>VLOOKUP(O21,Credito,2)</f>
        <v>475</v>
      </c>
      <c r="W21" s="300">
        <f>ROUND((U21-V21)/30.4*I21,2)</f>
        <v>107.03</v>
      </c>
      <c r="X21" s="278">
        <f t="shared" si="5"/>
        <v>0</v>
      </c>
      <c r="Y21" s="278">
        <f t="shared" si="6"/>
        <v>107.03</v>
      </c>
      <c r="Z21" s="279">
        <v>0</v>
      </c>
      <c r="AA21" s="278">
        <f>SUM(Y21:Z21)</f>
        <v>107.03</v>
      </c>
      <c r="AB21" s="278">
        <f>M21+X21-AA21</f>
        <v>4468.97</v>
      </c>
      <c r="AC21" s="352"/>
    </row>
    <row r="22" spans="1:30" s="341" customFormat="1" ht="160.5" customHeight="1" x14ac:dyDescent="0.2">
      <c r="A22" s="339"/>
      <c r="B22" s="285" t="s">
        <v>181</v>
      </c>
      <c r="C22" s="285" t="s">
        <v>118</v>
      </c>
      <c r="D22" s="292" t="s">
        <v>182</v>
      </c>
      <c r="E22" s="293" t="s">
        <v>183</v>
      </c>
      <c r="F22" s="293" t="s">
        <v>253</v>
      </c>
      <c r="G22" s="338">
        <v>43709</v>
      </c>
      <c r="H22" s="273" t="s">
        <v>221</v>
      </c>
      <c r="I22" s="274">
        <v>15</v>
      </c>
      <c r="J22" s="275">
        <f t="shared" si="3"/>
        <v>288</v>
      </c>
      <c r="K22" s="276">
        <v>4320</v>
      </c>
      <c r="L22" s="277">
        <v>0</v>
      </c>
      <c r="M22" s="278">
        <f>SUM(K22:L22)</f>
        <v>4320</v>
      </c>
      <c r="N22" s="300">
        <f>IF(K22/15&lt;=SMG,0,L22/2)</f>
        <v>0</v>
      </c>
      <c r="O22" s="321">
        <f>(K22+N22)/I22*30.4</f>
        <v>8755.1999999999989</v>
      </c>
      <c r="P22" s="321">
        <f>VLOOKUP(O22,Tarifa,1)</f>
        <v>6332.06</v>
      </c>
      <c r="Q22" s="300">
        <f>O22-P22</f>
        <v>2423.1399999999985</v>
      </c>
      <c r="R22" s="301">
        <f>VLOOKUP(O22,Tarifa,3)</f>
        <v>0.10879999999999999</v>
      </c>
      <c r="S22" s="300">
        <f>Q22*R22</f>
        <v>263.63763199999983</v>
      </c>
      <c r="T22" s="302">
        <f>VLOOKUP(O22,Tarifa,2)</f>
        <v>371.83</v>
      </c>
      <c r="U22" s="300">
        <f>S22+T22</f>
        <v>635.46763199999987</v>
      </c>
      <c r="V22" s="300">
        <f>VLOOKUP(O22,Credito,2)</f>
        <v>475</v>
      </c>
      <c r="W22" s="300">
        <f>ROUND((U22-V22)/30.4*I22,2)</f>
        <v>79.180000000000007</v>
      </c>
      <c r="X22" s="278">
        <f t="shared" si="1"/>
        <v>0</v>
      </c>
      <c r="Y22" s="278">
        <f>IF(K22/15&lt;=SMG,0,IF(W22&lt;0,0,W22))</f>
        <v>79.180000000000007</v>
      </c>
      <c r="Z22" s="279">
        <v>0</v>
      </c>
      <c r="AA22" s="278">
        <f>SUM(Y22:Z22)</f>
        <v>79.180000000000007</v>
      </c>
      <c r="AB22" s="278">
        <f>M22+X22-AA22</f>
        <v>4240.82</v>
      </c>
      <c r="AC22" s="340"/>
    </row>
    <row r="23" spans="1:30" s="341" customFormat="1" ht="160.5" customHeight="1" x14ac:dyDescent="0.2">
      <c r="A23" s="339"/>
      <c r="B23" s="291" t="s">
        <v>225</v>
      </c>
      <c r="C23" s="285" t="s">
        <v>118</v>
      </c>
      <c r="D23" s="270" t="s">
        <v>211</v>
      </c>
      <c r="E23" s="271" t="s">
        <v>212</v>
      </c>
      <c r="F23" s="271" t="s">
        <v>238</v>
      </c>
      <c r="G23" s="272">
        <v>44473</v>
      </c>
      <c r="H23" s="273" t="s">
        <v>454</v>
      </c>
      <c r="I23" s="274">
        <v>15</v>
      </c>
      <c r="J23" s="275">
        <f t="shared" si="3"/>
        <v>272.93333333333334</v>
      </c>
      <c r="K23" s="276">
        <v>4094</v>
      </c>
      <c r="L23" s="277">
        <v>0</v>
      </c>
      <c r="M23" s="278">
        <f>SUM(K23:L23)</f>
        <v>4094</v>
      </c>
      <c r="N23" s="300">
        <f>IF(K23/15&lt;=SMG,0,L23/2)</f>
        <v>0</v>
      </c>
      <c r="O23" s="321">
        <f>(K23+N23)/I23*30.4</f>
        <v>8297.1733333333323</v>
      </c>
      <c r="P23" s="321">
        <f>VLOOKUP(O23,Tarifa,1)</f>
        <v>6332.06</v>
      </c>
      <c r="Q23" s="300">
        <f>O23-P23</f>
        <v>1965.1133333333319</v>
      </c>
      <c r="R23" s="301">
        <f>VLOOKUP(O23,Tarifa,3)</f>
        <v>0.10879999999999999</v>
      </c>
      <c r="S23" s="300">
        <f>Q23*R23</f>
        <v>213.80433066666649</v>
      </c>
      <c r="T23" s="302">
        <f>VLOOKUP(O23,Tarifa,2)</f>
        <v>371.83</v>
      </c>
      <c r="U23" s="300">
        <f>S23+T23</f>
        <v>585.63433066666653</v>
      </c>
      <c r="V23" s="300">
        <f>VLOOKUP(O23,Credito,2)</f>
        <v>475</v>
      </c>
      <c r="W23" s="300">
        <f>ROUND((U23-V23)/30.4*I23,2)</f>
        <v>54.59</v>
      </c>
      <c r="X23" s="278">
        <f>-IF(W23&gt;0,0,0)</f>
        <v>0</v>
      </c>
      <c r="Y23" s="278">
        <f t="shared" ref="Y23:Y26" si="9">IF(K23/15&lt;=SMG,0,IF(W23&lt;0,0,W23))</f>
        <v>0</v>
      </c>
      <c r="Z23" s="279">
        <v>0</v>
      </c>
      <c r="AA23" s="278">
        <f>SUM(Y23:Z23)</f>
        <v>0</v>
      </c>
      <c r="AB23" s="278">
        <f>M23+X23-AA23</f>
        <v>4094</v>
      </c>
      <c r="AC23" s="340"/>
    </row>
    <row r="24" spans="1:30" s="341" customFormat="1" ht="160.5" customHeight="1" x14ac:dyDescent="0.2">
      <c r="A24" s="339"/>
      <c r="B24" s="291" t="s">
        <v>588</v>
      </c>
      <c r="C24" s="285" t="s">
        <v>118</v>
      </c>
      <c r="D24" s="270" t="s">
        <v>590</v>
      </c>
      <c r="E24" s="271" t="s">
        <v>591</v>
      </c>
      <c r="F24" s="271" t="s">
        <v>592</v>
      </c>
      <c r="G24" s="272">
        <v>45673</v>
      </c>
      <c r="H24" s="273" t="s">
        <v>413</v>
      </c>
      <c r="I24" s="274">
        <v>15</v>
      </c>
      <c r="J24" s="275">
        <f t="shared" si="3"/>
        <v>373.2</v>
      </c>
      <c r="K24" s="276">
        <v>5598</v>
      </c>
      <c r="L24" s="277">
        <v>0</v>
      </c>
      <c r="M24" s="278">
        <f t="shared" ref="M24:M26" si="10">SUM(K24:L24)</f>
        <v>5598</v>
      </c>
      <c r="N24" s="300">
        <f t="shared" ref="N24:N26" si="11">IF(K24/15&lt;=SMG,0,L24/2)</f>
        <v>0</v>
      </c>
      <c r="O24" s="321">
        <f t="shared" ref="O24:O26" si="12">(K24+N24)/I24*30.4</f>
        <v>11345.279999999999</v>
      </c>
      <c r="P24" s="321">
        <f t="shared" ref="P24:P26" si="13">VLOOKUP(O24,Tarifa,1)</f>
        <v>11128.02</v>
      </c>
      <c r="Q24" s="300">
        <f t="shared" ref="Q24:Q26" si="14">O24-P24</f>
        <v>217.2599999999984</v>
      </c>
      <c r="R24" s="301">
        <f t="shared" ref="R24:R26" si="15">VLOOKUP(O24,Tarifa,3)</f>
        <v>0.16</v>
      </c>
      <c r="S24" s="300">
        <f t="shared" ref="S24:S26" si="16">Q24*R24</f>
        <v>34.761599999999746</v>
      </c>
      <c r="T24" s="302">
        <f t="shared" ref="T24:T26" si="17">VLOOKUP(O24,Tarifa,2)</f>
        <v>893.63</v>
      </c>
      <c r="U24" s="300">
        <f t="shared" ref="U24:U26" si="18">S24+T24</f>
        <v>928.3915999999997</v>
      </c>
      <c r="V24" s="300">
        <f t="shared" ref="V24:V26" si="19">VLOOKUP(O24,Credito,2)</f>
        <v>0</v>
      </c>
      <c r="W24" s="300">
        <f t="shared" ref="W24:W26" si="20">ROUND((U24-V24)/30.4*I24,2)</f>
        <v>458.09</v>
      </c>
      <c r="X24" s="278">
        <f t="shared" ref="X24:X26" si="21">-IF(W24&gt;0,0,0)</f>
        <v>0</v>
      </c>
      <c r="Y24" s="278">
        <f t="shared" si="9"/>
        <v>458.09</v>
      </c>
      <c r="Z24" s="279">
        <v>0</v>
      </c>
      <c r="AA24" s="278">
        <f t="shared" ref="AA24:AA26" si="22">SUM(Y24:Z24)</f>
        <v>458.09</v>
      </c>
      <c r="AB24" s="278">
        <f t="shared" ref="AB24:AB26" si="23">M24+X24-AA24</f>
        <v>5139.91</v>
      </c>
      <c r="AC24" s="340"/>
    </row>
    <row r="25" spans="1:30" s="341" customFormat="1" ht="160.5" customHeight="1" x14ac:dyDescent="0.2">
      <c r="A25" s="339"/>
      <c r="B25" s="291" t="s">
        <v>589</v>
      </c>
      <c r="C25" s="285" t="s">
        <v>118</v>
      </c>
      <c r="D25" s="270" t="s">
        <v>593</v>
      </c>
      <c r="E25" s="271" t="s">
        <v>595</v>
      </c>
      <c r="F25" s="271" t="s">
        <v>594</v>
      </c>
      <c r="G25" s="272">
        <v>45673</v>
      </c>
      <c r="H25" s="273" t="s">
        <v>413</v>
      </c>
      <c r="I25" s="274">
        <v>15</v>
      </c>
      <c r="J25" s="275">
        <f t="shared" ref="J25" si="24">K25/I25</f>
        <v>373.2</v>
      </c>
      <c r="K25" s="276">
        <v>5598</v>
      </c>
      <c r="L25" s="277">
        <v>0</v>
      </c>
      <c r="M25" s="278">
        <f t="shared" ref="M25" si="25">SUM(K25:L25)</f>
        <v>5598</v>
      </c>
      <c r="N25" s="300">
        <f t="shared" ref="N25" si="26">IF(K25/15&lt;=SMG,0,L25/2)</f>
        <v>0</v>
      </c>
      <c r="O25" s="321">
        <f t="shared" ref="O25" si="27">(K25+N25)/I25*30.4</f>
        <v>11345.279999999999</v>
      </c>
      <c r="P25" s="321">
        <f t="shared" ref="P25" si="28">VLOOKUP(O25,Tarifa,1)</f>
        <v>11128.02</v>
      </c>
      <c r="Q25" s="300">
        <f t="shared" ref="Q25" si="29">O25-P25</f>
        <v>217.2599999999984</v>
      </c>
      <c r="R25" s="301">
        <f t="shared" ref="R25" si="30">VLOOKUP(O25,Tarifa,3)</f>
        <v>0.16</v>
      </c>
      <c r="S25" s="300">
        <f t="shared" ref="S25" si="31">Q25*R25</f>
        <v>34.761599999999746</v>
      </c>
      <c r="T25" s="302">
        <f t="shared" ref="T25" si="32">VLOOKUP(O25,Tarifa,2)</f>
        <v>893.63</v>
      </c>
      <c r="U25" s="300">
        <f t="shared" ref="U25" si="33">S25+T25</f>
        <v>928.3915999999997</v>
      </c>
      <c r="V25" s="300">
        <f t="shared" ref="V25" si="34">VLOOKUP(O25,Credito,2)</f>
        <v>0</v>
      </c>
      <c r="W25" s="300">
        <f t="shared" ref="W25" si="35">ROUND((U25-V25)/30.4*I25,2)</f>
        <v>458.09</v>
      </c>
      <c r="X25" s="278">
        <f t="shared" ref="X25" si="36">-IF(W25&gt;0,0,0)</f>
        <v>0</v>
      </c>
      <c r="Y25" s="278">
        <f t="shared" ref="Y25" si="37">IF(K25/15&lt;=SMG,0,IF(W25&lt;0,0,W25))</f>
        <v>458.09</v>
      </c>
      <c r="Z25" s="279">
        <v>0</v>
      </c>
      <c r="AA25" s="278">
        <f t="shared" ref="AA25" si="38">SUM(Y25:Z25)</f>
        <v>458.09</v>
      </c>
      <c r="AB25" s="278">
        <f t="shared" ref="AB25" si="39">M25+X25-AA25</f>
        <v>5139.91</v>
      </c>
      <c r="AC25" s="340"/>
    </row>
    <row r="26" spans="1:30" s="341" customFormat="1" ht="160.5" customHeight="1" x14ac:dyDescent="0.2">
      <c r="A26" s="339"/>
      <c r="B26" s="291" t="s">
        <v>670</v>
      </c>
      <c r="C26" s="285" t="s">
        <v>118</v>
      </c>
      <c r="D26" s="270" t="s">
        <v>671</v>
      </c>
      <c r="E26" s="271" t="s">
        <v>672</v>
      </c>
      <c r="F26" s="271" t="s">
        <v>673</v>
      </c>
      <c r="G26" s="272">
        <v>45754</v>
      </c>
      <c r="H26" s="273" t="s">
        <v>413</v>
      </c>
      <c r="I26" s="274">
        <v>15</v>
      </c>
      <c r="J26" s="275">
        <f t="shared" si="3"/>
        <v>182.75200000000001</v>
      </c>
      <c r="K26" s="276">
        <v>2741.28</v>
      </c>
      <c r="L26" s="277">
        <v>0</v>
      </c>
      <c r="M26" s="278">
        <f t="shared" si="10"/>
        <v>2741.28</v>
      </c>
      <c r="N26" s="300">
        <f t="shared" si="11"/>
        <v>0</v>
      </c>
      <c r="O26" s="321">
        <f t="shared" si="12"/>
        <v>5555.6607999999997</v>
      </c>
      <c r="P26" s="321">
        <f t="shared" si="13"/>
        <v>746.05</v>
      </c>
      <c r="Q26" s="300">
        <f t="shared" si="14"/>
        <v>4809.6107999999995</v>
      </c>
      <c r="R26" s="301">
        <f t="shared" si="15"/>
        <v>6.4000000000000001E-2</v>
      </c>
      <c r="S26" s="300">
        <f t="shared" si="16"/>
        <v>307.81509119999998</v>
      </c>
      <c r="T26" s="302">
        <f t="shared" si="17"/>
        <v>14.32</v>
      </c>
      <c r="U26" s="300">
        <f t="shared" si="18"/>
        <v>322.13509119999998</v>
      </c>
      <c r="V26" s="300">
        <f t="shared" si="19"/>
        <v>475</v>
      </c>
      <c r="W26" s="300">
        <f t="shared" si="20"/>
        <v>-75.430000000000007</v>
      </c>
      <c r="X26" s="278">
        <f t="shared" si="21"/>
        <v>0</v>
      </c>
      <c r="Y26" s="278">
        <f t="shared" si="9"/>
        <v>0</v>
      </c>
      <c r="Z26" s="279">
        <v>0</v>
      </c>
      <c r="AA26" s="278">
        <f t="shared" si="22"/>
        <v>0</v>
      </c>
      <c r="AB26" s="278">
        <f t="shared" si="23"/>
        <v>2741.28</v>
      </c>
      <c r="AC26" s="340"/>
    </row>
    <row r="27" spans="1:30" s="341" customFormat="1" ht="56.25" customHeight="1" x14ac:dyDescent="0.2">
      <c r="A27" s="434"/>
      <c r="B27" s="421"/>
      <c r="C27" s="422"/>
      <c r="D27" s="423"/>
      <c r="E27" s="424"/>
      <c r="F27" s="424"/>
      <c r="G27" s="425"/>
      <c r="H27" s="426"/>
      <c r="I27" s="427"/>
      <c r="J27" s="428"/>
      <c r="K27" s="429"/>
      <c r="L27" s="430"/>
      <c r="M27" s="431"/>
      <c r="N27" s="401"/>
      <c r="O27" s="402"/>
      <c r="P27" s="402"/>
      <c r="Q27" s="401"/>
      <c r="R27" s="403"/>
      <c r="S27" s="401"/>
      <c r="T27" s="404"/>
      <c r="U27" s="401"/>
      <c r="V27" s="401"/>
      <c r="W27" s="401"/>
      <c r="X27" s="431"/>
      <c r="Y27" s="431"/>
      <c r="Z27" s="432"/>
      <c r="AA27" s="431"/>
      <c r="AB27" s="431"/>
      <c r="AC27" s="435"/>
    </row>
    <row r="28" spans="1:30" s="4" customFormat="1" ht="29.25" customHeight="1" x14ac:dyDescent="0.25">
      <c r="A28" s="251"/>
      <c r="B28" s="466" t="s">
        <v>77</v>
      </c>
      <c r="C28" s="466"/>
      <c r="D28" s="466"/>
      <c r="E28" s="466"/>
      <c r="F28" s="466"/>
      <c r="G28" s="466"/>
      <c r="H28" s="466"/>
      <c r="I28" s="466"/>
      <c r="J28" s="466"/>
      <c r="K28" s="466"/>
      <c r="L28" s="466"/>
      <c r="M28" s="466"/>
      <c r="N28" s="466"/>
      <c r="O28" s="466"/>
      <c r="P28" s="466"/>
      <c r="Q28" s="466"/>
      <c r="R28" s="466"/>
      <c r="S28" s="466"/>
      <c r="T28" s="466"/>
      <c r="U28" s="466"/>
      <c r="V28" s="466"/>
      <c r="W28" s="466"/>
      <c r="X28" s="466"/>
      <c r="Y28" s="466"/>
      <c r="Z28" s="466"/>
      <c r="AA28" s="466"/>
      <c r="AB28" s="466"/>
      <c r="AC28" s="466"/>
      <c r="AD28" s="466"/>
    </row>
    <row r="29" spans="1:30" s="4" customFormat="1" ht="27" customHeight="1" x14ac:dyDescent="0.25">
      <c r="A29" s="251"/>
      <c r="B29" s="466" t="s">
        <v>64</v>
      </c>
      <c r="C29" s="466"/>
      <c r="D29" s="466"/>
      <c r="E29" s="466"/>
      <c r="F29" s="466"/>
      <c r="G29" s="466"/>
      <c r="H29" s="466"/>
      <c r="I29" s="466"/>
      <c r="J29" s="466"/>
      <c r="K29" s="466"/>
      <c r="L29" s="466"/>
      <c r="M29" s="466"/>
      <c r="N29" s="466"/>
      <c r="O29" s="466"/>
      <c r="P29" s="466"/>
      <c r="Q29" s="466"/>
      <c r="R29" s="466"/>
      <c r="S29" s="466"/>
      <c r="T29" s="466"/>
      <c r="U29" s="466"/>
      <c r="V29" s="466"/>
      <c r="W29" s="466"/>
      <c r="X29" s="466"/>
      <c r="Y29" s="466"/>
      <c r="Z29" s="466"/>
      <c r="AA29" s="466"/>
      <c r="AB29" s="466"/>
      <c r="AC29" s="466"/>
      <c r="AD29" s="466"/>
    </row>
    <row r="30" spans="1:30" s="4" customFormat="1" ht="24" customHeight="1" x14ac:dyDescent="0.25">
      <c r="A30" s="251"/>
      <c r="B30" s="456" t="str">
        <f>PRESIDENCIA!A3</f>
        <v>SUELDO  DEL 16 AL 30 DE ABRIL DE 2025</v>
      </c>
      <c r="C30" s="456"/>
      <c r="D30" s="456"/>
      <c r="E30" s="456"/>
      <c r="F30" s="456"/>
      <c r="G30" s="456"/>
      <c r="H30" s="456"/>
      <c r="I30" s="456"/>
      <c r="J30" s="456"/>
      <c r="K30" s="456"/>
      <c r="L30" s="456"/>
      <c r="M30" s="456"/>
      <c r="N30" s="456"/>
      <c r="O30" s="456"/>
      <c r="P30" s="456"/>
      <c r="Q30" s="456"/>
      <c r="R30" s="456"/>
      <c r="S30" s="456"/>
      <c r="T30" s="456"/>
      <c r="U30" s="456"/>
      <c r="V30" s="456"/>
      <c r="W30" s="456"/>
      <c r="X30" s="456"/>
      <c r="Y30" s="456"/>
      <c r="Z30" s="456"/>
      <c r="AA30" s="456"/>
      <c r="AB30" s="456"/>
      <c r="AC30" s="456"/>
      <c r="AD30" s="456"/>
    </row>
    <row r="31" spans="1:30" s="4" customFormat="1" ht="23.25" customHeight="1" x14ac:dyDescent="0.3">
      <c r="A31" s="251"/>
      <c r="B31" s="246"/>
      <c r="C31" s="216"/>
      <c r="D31" s="207"/>
      <c r="E31" s="208"/>
      <c r="F31" s="208"/>
      <c r="G31" s="255"/>
      <c r="H31" s="207"/>
      <c r="I31" s="220"/>
      <c r="J31" s="221"/>
      <c r="K31" s="222"/>
      <c r="L31" s="223"/>
      <c r="M31" s="224"/>
      <c r="N31" s="225"/>
      <c r="O31" s="225"/>
      <c r="P31" s="225"/>
      <c r="Q31" s="225"/>
      <c r="R31" s="226"/>
      <c r="S31" s="225"/>
      <c r="T31" s="227"/>
      <c r="U31" s="225"/>
      <c r="V31" s="225"/>
      <c r="W31" s="225"/>
      <c r="X31" s="224"/>
      <c r="Y31" s="224"/>
      <c r="Z31" s="228"/>
      <c r="AA31" s="224"/>
      <c r="AB31" s="224"/>
    </row>
    <row r="32" spans="1:30" s="4" customFormat="1" ht="48.75" customHeight="1" x14ac:dyDescent="0.25">
      <c r="A32" s="251"/>
      <c r="B32" s="111" t="s">
        <v>97</v>
      </c>
      <c r="C32" s="111" t="s">
        <v>124</v>
      </c>
      <c r="D32" s="180" t="s">
        <v>123</v>
      </c>
      <c r="E32" s="180" t="s">
        <v>98</v>
      </c>
      <c r="F32" s="180" t="s">
        <v>229</v>
      </c>
      <c r="G32" s="148" t="s">
        <v>291</v>
      </c>
      <c r="H32" s="180" t="s">
        <v>61</v>
      </c>
      <c r="I32" s="180"/>
      <c r="J32" s="180"/>
      <c r="K32" s="181">
        <f>SUM(K33:K33)</f>
        <v>7078</v>
      </c>
      <c r="L32" s="181">
        <f>SUM(L33:L33)</f>
        <v>0</v>
      </c>
      <c r="M32" s="181">
        <f>SUM(M33:M33)</f>
        <v>7078</v>
      </c>
      <c r="N32" s="180"/>
      <c r="O32" s="180"/>
      <c r="P32" s="180"/>
      <c r="Q32" s="180"/>
      <c r="R32" s="180"/>
      <c r="S32" s="180"/>
      <c r="T32" s="183"/>
      <c r="U32" s="180"/>
      <c r="V32" s="180"/>
      <c r="W32" s="180"/>
      <c r="X32" s="181">
        <f>SUM(X33:X33)</f>
        <v>0</v>
      </c>
      <c r="Y32" s="181">
        <f>SUM(Y33:Y33)</f>
        <v>708.24</v>
      </c>
      <c r="Z32" s="181">
        <f>SUM(Z33:Z33)</f>
        <v>0</v>
      </c>
      <c r="AA32" s="181">
        <f>SUM(AA33:AA33)</f>
        <v>708.24</v>
      </c>
      <c r="AB32" s="181">
        <f>SUM(AB33:AB33)</f>
        <v>6369.76</v>
      </c>
      <c r="AC32" s="96"/>
    </row>
    <row r="33" spans="1:41" s="4" customFormat="1" ht="209.25" customHeight="1" x14ac:dyDescent="0.2">
      <c r="A33" s="251"/>
      <c r="B33" s="291" t="s">
        <v>173</v>
      </c>
      <c r="C33" s="285" t="s">
        <v>118</v>
      </c>
      <c r="D33" s="270" t="s">
        <v>165</v>
      </c>
      <c r="E33" s="271" t="s">
        <v>170</v>
      </c>
      <c r="F33" s="271" t="s">
        <v>250</v>
      </c>
      <c r="G33" s="272">
        <v>43512</v>
      </c>
      <c r="H33" s="273" t="s">
        <v>579</v>
      </c>
      <c r="I33" s="274">
        <v>15</v>
      </c>
      <c r="J33" s="275">
        <f>K33/I33</f>
        <v>471.86666666666667</v>
      </c>
      <c r="K33" s="276">
        <v>7078</v>
      </c>
      <c r="L33" s="277">
        <v>0</v>
      </c>
      <c r="M33" s="278">
        <f>SUM(K33:L33)</f>
        <v>7078</v>
      </c>
      <c r="N33" s="300">
        <f>IF(K33/15&lt;=SMG,0,L33/2)</f>
        <v>0</v>
      </c>
      <c r="O33" s="321">
        <f>(K33+N33)/I33*30.4</f>
        <v>14344.746666666666</v>
      </c>
      <c r="P33" s="321">
        <f>VLOOKUP(O33,Tarifa,1)</f>
        <v>12935.83</v>
      </c>
      <c r="Q33" s="300">
        <f>O33-P33</f>
        <v>1408.9166666666661</v>
      </c>
      <c r="R33" s="301">
        <f>VLOOKUP(O33,Tarifa,3)</f>
        <v>0.1792</v>
      </c>
      <c r="S33" s="300">
        <f>Q33*R33</f>
        <v>252.47786666666656</v>
      </c>
      <c r="T33" s="302">
        <f>VLOOKUP(O33,Tarifa,2)</f>
        <v>1182.8800000000001</v>
      </c>
      <c r="U33" s="300">
        <f>S33+T33</f>
        <v>1435.3578666666667</v>
      </c>
      <c r="V33" s="300">
        <f>VLOOKUP(O33,Credito,2)</f>
        <v>0</v>
      </c>
      <c r="W33" s="300">
        <f>ROUND((U33-V33)/30.4*I33,2)</f>
        <v>708.24</v>
      </c>
      <c r="X33" s="278">
        <f>-IF(W33&gt;0,0,0)</f>
        <v>0</v>
      </c>
      <c r="Y33" s="278">
        <f>IF(K33/15&lt;=SMG,0,IF(W33&lt;0,0,W33))</f>
        <v>708.24</v>
      </c>
      <c r="Z33" s="279">
        <v>0</v>
      </c>
      <c r="AA33" s="278">
        <f>SUM(Y33:Z33)</f>
        <v>708.24</v>
      </c>
      <c r="AB33" s="278">
        <f>M33+X33-AA33</f>
        <v>6369.76</v>
      </c>
      <c r="AC33" s="340"/>
    </row>
    <row r="34" spans="1:41" s="4" customFormat="1" ht="48.75" customHeight="1" x14ac:dyDescent="0.25">
      <c r="A34" s="44"/>
      <c r="B34" s="111" t="s">
        <v>97</v>
      </c>
      <c r="C34" s="111" t="s">
        <v>124</v>
      </c>
      <c r="D34" s="180" t="s">
        <v>69</v>
      </c>
      <c r="E34" s="180" t="s">
        <v>98</v>
      </c>
      <c r="F34" s="180" t="s">
        <v>229</v>
      </c>
      <c r="G34" s="148" t="s">
        <v>291</v>
      </c>
      <c r="H34" s="180" t="s">
        <v>61</v>
      </c>
      <c r="I34" s="180"/>
      <c r="J34" s="180"/>
      <c r="K34" s="181">
        <f>SUM(K35:K36)</f>
        <v>13353.5</v>
      </c>
      <c r="L34" s="181">
        <f>SUM(L35:L36)</f>
        <v>2239.14</v>
      </c>
      <c r="M34" s="181">
        <f>SUM(M35:M36)</f>
        <v>15592.64</v>
      </c>
      <c r="N34" s="180"/>
      <c r="O34" s="180"/>
      <c r="P34" s="180"/>
      <c r="Q34" s="180"/>
      <c r="R34" s="180"/>
      <c r="S34" s="180"/>
      <c r="T34" s="183"/>
      <c r="U34" s="180"/>
      <c r="V34" s="180"/>
      <c r="W34" s="180"/>
      <c r="X34" s="181">
        <f>SUM(X35:X36)</f>
        <v>0</v>
      </c>
      <c r="Y34" s="181">
        <f>SUM(Y35:Y36)</f>
        <v>1542.38</v>
      </c>
      <c r="Z34" s="181">
        <f>SUM(Z35:Z36)</f>
        <v>0</v>
      </c>
      <c r="AA34" s="181">
        <f>SUM(AA35:AA36)</f>
        <v>1542.38</v>
      </c>
      <c r="AB34" s="181">
        <f>SUM(AB35:AB36)</f>
        <v>14050.259999999998</v>
      </c>
      <c r="AC34" s="96"/>
    </row>
    <row r="35" spans="1:41" s="341" customFormat="1" ht="210" customHeight="1" x14ac:dyDescent="0.2">
      <c r="A35" s="339"/>
      <c r="B35" s="291" t="s">
        <v>208</v>
      </c>
      <c r="C35" s="285" t="s">
        <v>118</v>
      </c>
      <c r="D35" s="270" t="s">
        <v>213</v>
      </c>
      <c r="E35" s="271" t="s">
        <v>214</v>
      </c>
      <c r="F35" s="271" t="s">
        <v>258</v>
      </c>
      <c r="G35" s="272">
        <v>44470</v>
      </c>
      <c r="H35" s="327" t="s">
        <v>71</v>
      </c>
      <c r="I35" s="274">
        <v>15</v>
      </c>
      <c r="J35" s="275">
        <f>K35/I35</f>
        <v>527.9</v>
      </c>
      <c r="K35" s="276">
        <v>7918.5</v>
      </c>
      <c r="L35" s="277">
        <v>2239.14</v>
      </c>
      <c r="M35" s="278">
        <f t="shared" ref="M35" si="40">SUM(K35:L35)</f>
        <v>10157.64</v>
      </c>
      <c r="N35" s="300">
        <f>IF(K35/15&lt;=SMG,0,L35/2)</f>
        <v>1119.57</v>
      </c>
      <c r="O35" s="321">
        <f>(K35+N35)/I35*30.4</f>
        <v>18317.155200000001</v>
      </c>
      <c r="P35" s="321">
        <f>VLOOKUP(O35,Tarifa,1)</f>
        <v>15487.72</v>
      </c>
      <c r="Q35" s="300">
        <f>O35-P35</f>
        <v>2829.4352000000017</v>
      </c>
      <c r="R35" s="301">
        <f>VLOOKUP(O35,Tarifa,3)</f>
        <v>0.21360000000000001</v>
      </c>
      <c r="S35" s="300">
        <f>Q35*R35</f>
        <v>604.36735872000042</v>
      </c>
      <c r="T35" s="302">
        <f>VLOOKUP(O35,Tarifa,2)</f>
        <v>1640.18</v>
      </c>
      <c r="U35" s="300">
        <f>S35+T35</f>
        <v>2244.5473587200004</v>
      </c>
      <c r="V35" s="300">
        <f>VLOOKUP(O35,Credito,2)</f>
        <v>0</v>
      </c>
      <c r="W35" s="300">
        <f>ROUND((U35-V35)/30.4*I35,2)</f>
        <v>1107.51</v>
      </c>
      <c r="X35" s="278">
        <f t="shared" si="1"/>
        <v>0</v>
      </c>
      <c r="Y35" s="278">
        <f t="shared" ref="Y35" si="41">IF(K35/15&lt;=SMG,0,IF(W35&lt;0,0,W35))</f>
        <v>1107.51</v>
      </c>
      <c r="Z35" s="279">
        <v>0</v>
      </c>
      <c r="AA35" s="278">
        <f t="shared" ref="AA35" si="42">SUM(Y35:Z35)</f>
        <v>1107.51</v>
      </c>
      <c r="AB35" s="278">
        <f t="shared" ref="AB35" si="43">M35+X35-AA35</f>
        <v>9050.1299999999992</v>
      </c>
      <c r="AC35" s="340"/>
    </row>
    <row r="36" spans="1:41" s="341" customFormat="1" ht="210" customHeight="1" x14ac:dyDescent="0.2">
      <c r="A36" s="339"/>
      <c r="B36" s="291" t="s">
        <v>331</v>
      </c>
      <c r="C36" s="285" t="s">
        <v>118</v>
      </c>
      <c r="D36" s="270" t="s">
        <v>332</v>
      </c>
      <c r="E36" s="271" t="s">
        <v>333</v>
      </c>
      <c r="F36" s="271" t="s">
        <v>334</v>
      </c>
      <c r="G36" s="272">
        <v>45173</v>
      </c>
      <c r="H36" s="273" t="s">
        <v>166</v>
      </c>
      <c r="I36" s="274">
        <v>15</v>
      </c>
      <c r="J36" s="275">
        <f>K36/I36</f>
        <v>362.33333333333331</v>
      </c>
      <c r="K36" s="276">
        <v>5435</v>
      </c>
      <c r="L36" s="277">
        <v>0</v>
      </c>
      <c r="M36" s="278">
        <f>SUM(K36:L36)</f>
        <v>5435</v>
      </c>
      <c r="N36" s="300">
        <f>IF(K36/15&lt;=SMG,0,L36/2)</f>
        <v>0</v>
      </c>
      <c r="O36" s="321">
        <f>(K36+N36)/I36*30.4</f>
        <v>11014.933333333332</v>
      </c>
      <c r="P36" s="321">
        <f>VLOOKUP(O36,Tarifa,1)</f>
        <v>6332.06</v>
      </c>
      <c r="Q36" s="300">
        <f>O36-P36</f>
        <v>4682.8733333333321</v>
      </c>
      <c r="R36" s="301">
        <f>VLOOKUP(O36,Tarifa,3)</f>
        <v>0.10879999999999999</v>
      </c>
      <c r="S36" s="300">
        <f>Q36*R36</f>
        <v>509.49661866666651</v>
      </c>
      <c r="T36" s="302">
        <f>VLOOKUP(O36,Tarifa,2)</f>
        <v>371.83</v>
      </c>
      <c r="U36" s="300">
        <f>S36+T36</f>
        <v>881.32661866666649</v>
      </c>
      <c r="V36" s="300">
        <f>VLOOKUP(O36,Credito,2)</f>
        <v>0</v>
      </c>
      <c r="W36" s="300">
        <f>ROUND((U36-V36)/30.4*I36,2)</f>
        <v>434.87</v>
      </c>
      <c r="X36" s="278">
        <f t="shared" si="1"/>
        <v>0</v>
      </c>
      <c r="Y36" s="278">
        <f t="shared" ref="Y36" si="44">IF(K36/15&lt;=SMG,0,IF(W36&lt;0,0,W36))</f>
        <v>434.87</v>
      </c>
      <c r="Z36" s="279">
        <v>0</v>
      </c>
      <c r="AA36" s="278">
        <f>SUM(Y36:Z36)</f>
        <v>434.87</v>
      </c>
      <c r="AB36" s="278">
        <f>M36+X36-AA36</f>
        <v>5000.13</v>
      </c>
      <c r="AC36" s="340"/>
    </row>
    <row r="37" spans="1:41" s="4" customFormat="1" ht="50.25" customHeight="1" x14ac:dyDescent="0.25">
      <c r="A37" s="106"/>
      <c r="B37" s="111" t="s">
        <v>97</v>
      </c>
      <c r="C37" s="111" t="s">
        <v>124</v>
      </c>
      <c r="D37" s="180" t="s">
        <v>123</v>
      </c>
      <c r="E37" s="180" t="s">
        <v>98</v>
      </c>
      <c r="F37" s="180" t="s">
        <v>229</v>
      </c>
      <c r="G37" s="148" t="s">
        <v>291</v>
      </c>
      <c r="H37" s="180" t="s">
        <v>61</v>
      </c>
      <c r="I37" s="180"/>
      <c r="J37" s="180"/>
      <c r="K37" s="181">
        <f>SUM(K38:K38)</f>
        <v>6826.5</v>
      </c>
      <c r="L37" s="181">
        <f>SUM(L38:L38)</f>
        <v>0</v>
      </c>
      <c r="M37" s="181">
        <f>SUM(M38:M38)</f>
        <v>6826.5</v>
      </c>
      <c r="N37" s="180"/>
      <c r="O37" s="180"/>
      <c r="P37" s="180"/>
      <c r="Q37" s="180"/>
      <c r="R37" s="180"/>
      <c r="S37" s="180"/>
      <c r="T37" s="183"/>
      <c r="U37" s="180"/>
      <c r="V37" s="180"/>
      <c r="W37" s="180"/>
      <c r="X37" s="181">
        <f>SUM(X38:X38)</f>
        <v>0</v>
      </c>
      <c r="Y37" s="181">
        <f>SUM(Y38:Y38)</f>
        <v>663.17</v>
      </c>
      <c r="Z37" s="181">
        <f>SUM(Z38:Z38)</f>
        <v>0</v>
      </c>
      <c r="AA37" s="181">
        <f>SUM(AA38:AA38)</f>
        <v>663.17</v>
      </c>
      <c r="AB37" s="181">
        <f>SUM(AB38:AB38)</f>
        <v>6163.33</v>
      </c>
      <c r="AC37" s="96"/>
    </row>
    <row r="38" spans="1:41" s="341" customFormat="1" ht="192.75" customHeight="1" x14ac:dyDescent="0.2">
      <c r="A38" s="267" t="s">
        <v>84</v>
      </c>
      <c r="B38" s="291" t="s">
        <v>159</v>
      </c>
      <c r="C38" s="285" t="s">
        <v>118</v>
      </c>
      <c r="D38" s="270" t="s">
        <v>140</v>
      </c>
      <c r="E38" s="271" t="s">
        <v>155</v>
      </c>
      <c r="F38" s="271" t="s">
        <v>242</v>
      </c>
      <c r="G38" s="272">
        <v>43374</v>
      </c>
      <c r="H38" s="273" t="s">
        <v>139</v>
      </c>
      <c r="I38" s="274">
        <v>15</v>
      </c>
      <c r="J38" s="275">
        <f>K38/I38</f>
        <v>455.1</v>
      </c>
      <c r="K38" s="276">
        <v>6826.5</v>
      </c>
      <c r="L38" s="277">
        <v>0</v>
      </c>
      <c r="M38" s="278">
        <f>SUM(K38:L38)</f>
        <v>6826.5</v>
      </c>
      <c r="N38" s="300">
        <f>IF(K38/15&lt;=SMG,0,L38/2)</f>
        <v>0</v>
      </c>
      <c r="O38" s="321">
        <f>(K38+N38)/I38*30.4</f>
        <v>13835.04</v>
      </c>
      <c r="P38" s="321">
        <f>VLOOKUP(O38,Tarifa,1)</f>
        <v>12935.83</v>
      </c>
      <c r="Q38" s="300">
        <f>O38-P38</f>
        <v>899.21000000000095</v>
      </c>
      <c r="R38" s="301">
        <f>VLOOKUP(O38,Tarifa,3)</f>
        <v>0.1792</v>
      </c>
      <c r="S38" s="300">
        <f>Q38*R38</f>
        <v>161.13843200000017</v>
      </c>
      <c r="T38" s="302">
        <f>VLOOKUP(O38,Tarifa,2)</f>
        <v>1182.8800000000001</v>
      </c>
      <c r="U38" s="300">
        <f>S38+T38</f>
        <v>1344.0184320000003</v>
      </c>
      <c r="V38" s="300">
        <f>VLOOKUP(O38,Credito,2)</f>
        <v>0</v>
      </c>
      <c r="W38" s="300">
        <f>ROUND((U38-V38)/30.4*I38,2)</f>
        <v>663.17</v>
      </c>
      <c r="X38" s="278">
        <f>-IF(W38&gt;0,0,0)</f>
        <v>0</v>
      </c>
      <c r="Y38" s="278">
        <f>IF(K38/15&lt;=SMG,0,IF(W38&lt;0,0,W38))</f>
        <v>663.17</v>
      </c>
      <c r="Z38" s="279">
        <v>0</v>
      </c>
      <c r="AA38" s="278">
        <f>SUM(Y38:Z38)</f>
        <v>663.17</v>
      </c>
      <c r="AB38" s="278">
        <f>M38+X38-AA38</f>
        <v>6163.33</v>
      </c>
      <c r="AC38" s="340"/>
      <c r="AI38" s="353"/>
    </row>
    <row r="39" spans="1:41" s="4" customFormat="1" ht="27.75" customHeight="1" x14ac:dyDescent="0.25">
      <c r="A39" s="138"/>
      <c r="B39" s="138"/>
      <c r="C39" s="138"/>
      <c r="D39" s="138"/>
      <c r="E39" s="138"/>
      <c r="F39" s="138"/>
      <c r="G39" s="138"/>
      <c r="H39" s="138"/>
      <c r="I39" s="138"/>
      <c r="J39" s="138"/>
      <c r="K39" s="144"/>
      <c r="L39" s="144"/>
      <c r="M39" s="144"/>
      <c r="N39" s="142"/>
      <c r="O39" s="142"/>
      <c r="P39" s="142"/>
      <c r="Q39" s="142"/>
      <c r="R39" s="142"/>
      <c r="S39" s="142"/>
      <c r="T39" s="142"/>
      <c r="U39" s="142"/>
      <c r="V39" s="142"/>
      <c r="W39" s="142"/>
      <c r="X39" s="142"/>
      <c r="Y39" s="142"/>
      <c r="Z39" s="142"/>
      <c r="AA39" s="142"/>
      <c r="AB39" s="142"/>
    </row>
    <row r="40" spans="1:41" s="4" customFormat="1" ht="39.75" customHeight="1" thickBot="1" x14ac:dyDescent="0.35">
      <c r="A40" s="452" t="s">
        <v>44</v>
      </c>
      <c r="B40" s="453"/>
      <c r="C40" s="453"/>
      <c r="D40" s="453"/>
      <c r="E40" s="453"/>
      <c r="F40" s="453"/>
      <c r="G40" s="453"/>
      <c r="H40" s="453"/>
      <c r="I40" s="453"/>
      <c r="J40" s="454"/>
      <c r="K40" s="209">
        <f>K8+K32+K34+K37</f>
        <v>86285.28</v>
      </c>
      <c r="L40" s="209">
        <f>L8+L32+L34+L37</f>
        <v>4419.42</v>
      </c>
      <c r="M40" s="209">
        <f>M8+M32+M34+M37</f>
        <v>90704.7</v>
      </c>
      <c r="N40" s="210">
        <f t="shared" ref="N40:W40" si="45">SUM(N9:N39)</f>
        <v>2209.71</v>
      </c>
      <c r="O40" s="210">
        <f t="shared" si="45"/>
        <v>179349.84639999998</v>
      </c>
      <c r="P40" s="210">
        <f t="shared" si="45"/>
        <v>134285.84</v>
      </c>
      <c r="Q40" s="210">
        <f t="shared" si="45"/>
        <v>45064.006399999984</v>
      </c>
      <c r="R40" s="210">
        <f t="shared" si="45"/>
        <v>2.1143999999999998</v>
      </c>
      <c r="S40" s="210">
        <f t="shared" si="45"/>
        <v>5212.3212309333312</v>
      </c>
      <c r="T40" s="210">
        <f t="shared" si="45"/>
        <v>10336.869999999999</v>
      </c>
      <c r="U40" s="210">
        <f t="shared" si="45"/>
        <v>15549.191230933331</v>
      </c>
      <c r="V40" s="210">
        <f t="shared" si="45"/>
        <v>2375</v>
      </c>
      <c r="W40" s="210">
        <f t="shared" si="45"/>
        <v>6500.4600000000009</v>
      </c>
      <c r="X40" s="209">
        <f>X8+X32+X34+X37</f>
        <v>0</v>
      </c>
      <c r="Y40" s="209">
        <f>Y8+Y32+Y34+Y37</f>
        <v>6521.3</v>
      </c>
      <c r="Z40" s="209">
        <f>Z8+Z32+Z34+Z37</f>
        <v>0</v>
      </c>
      <c r="AA40" s="209">
        <f>AA8+AA32+AA34+AA37</f>
        <v>6521.3</v>
      </c>
      <c r="AB40" s="209">
        <f>AB8+AB32+AB34+AB37</f>
        <v>84183.400000000009</v>
      </c>
    </row>
    <row r="41" spans="1:41" s="4" customFormat="1" ht="18" customHeight="1" thickTop="1" x14ac:dyDescent="0.25">
      <c r="A41" s="130"/>
      <c r="B41" s="130"/>
      <c r="C41" s="130"/>
      <c r="D41" s="130"/>
      <c r="E41" s="130"/>
      <c r="F41" s="130"/>
      <c r="G41" s="130"/>
      <c r="H41" s="130"/>
      <c r="I41" s="130"/>
      <c r="J41" s="130"/>
      <c r="K41" s="131"/>
      <c r="L41" s="131"/>
      <c r="M41" s="131"/>
      <c r="N41" s="132"/>
      <c r="O41" s="132"/>
      <c r="P41" s="132"/>
      <c r="Q41" s="132"/>
      <c r="R41" s="132"/>
      <c r="S41" s="132"/>
      <c r="T41" s="132"/>
      <c r="U41" s="132"/>
      <c r="V41" s="132"/>
      <c r="W41" s="132"/>
      <c r="X41" s="131"/>
      <c r="Y41" s="131"/>
      <c r="Z41" s="131"/>
      <c r="AA41" s="131"/>
      <c r="AB41" s="131"/>
    </row>
    <row r="42" spans="1:41" s="4" customFormat="1" ht="18" customHeight="1" x14ac:dyDescent="0.25">
      <c r="A42" s="130"/>
      <c r="B42" s="130"/>
      <c r="C42" s="130"/>
      <c r="D42" s="130"/>
      <c r="E42" s="130"/>
      <c r="F42" s="130"/>
      <c r="G42" s="130"/>
      <c r="H42" s="130"/>
      <c r="I42" s="130"/>
      <c r="J42" s="130"/>
      <c r="K42" s="131"/>
      <c r="L42" s="131"/>
      <c r="M42" s="131"/>
      <c r="N42" s="132"/>
      <c r="O42" s="132"/>
      <c r="P42" s="132"/>
      <c r="Q42" s="132"/>
      <c r="R42" s="132"/>
      <c r="S42" s="132"/>
      <c r="T42" s="132"/>
      <c r="U42" s="132"/>
      <c r="V42" s="132"/>
      <c r="W42" s="132"/>
      <c r="X42" s="131"/>
      <c r="Y42" s="131"/>
      <c r="Z42" s="131"/>
      <c r="AA42" s="131"/>
      <c r="AB42" s="131"/>
    </row>
    <row r="43" spans="1:41" s="4" customFormat="1" ht="18" customHeight="1" x14ac:dyDescent="0.25">
      <c r="A43" s="130"/>
      <c r="B43" s="130"/>
      <c r="C43" s="130"/>
      <c r="D43" s="130"/>
      <c r="E43" s="130"/>
      <c r="F43" s="130"/>
      <c r="G43" s="130"/>
      <c r="H43" s="130"/>
      <c r="I43" s="130"/>
      <c r="J43" s="130"/>
      <c r="K43" s="131"/>
      <c r="L43" s="131"/>
      <c r="M43" s="131"/>
      <c r="N43" s="132"/>
      <c r="O43" s="132"/>
      <c r="P43" s="132"/>
      <c r="Q43" s="132"/>
      <c r="R43" s="132"/>
      <c r="S43" s="132"/>
      <c r="T43" s="132"/>
      <c r="U43" s="132"/>
      <c r="V43" s="132"/>
      <c r="W43" s="132"/>
      <c r="X43" s="131"/>
      <c r="Y43" s="131"/>
      <c r="Z43" s="131"/>
      <c r="AA43" s="131"/>
      <c r="AB43" s="131"/>
    </row>
    <row r="44" spans="1:41" s="4" customFormat="1" ht="18" customHeight="1" x14ac:dyDescent="0.25">
      <c r="A44" s="130"/>
      <c r="B44" s="130"/>
      <c r="C44" s="130"/>
      <c r="D44" s="130"/>
      <c r="E44" s="130"/>
      <c r="F44" s="130"/>
      <c r="G44" s="130"/>
      <c r="H44" s="130"/>
      <c r="I44" s="130"/>
      <c r="J44" s="130"/>
      <c r="K44" s="131"/>
      <c r="L44" s="131"/>
      <c r="M44" s="131"/>
      <c r="N44" s="132"/>
      <c r="O44" s="132"/>
      <c r="P44" s="132"/>
      <c r="Q44" s="132"/>
      <c r="R44" s="132"/>
      <c r="S44" s="132"/>
      <c r="T44" s="132"/>
      <c r="U44" s="132"/>
      <c r="V44" s="132"/>
      <c r="W44" s="132"/>
      <c r="X44" s="131"/>
      <c r="Y44" s="131"/>
      <c r="Z44" s="131"/>
      <c r="AA44" s="131"/>
      <c r="AB44" s="131"/>
    </row>
    <row r="45" spans="1:41" s="4" customFormat="1" ht="18" customHeight="1" x14ac:dyDescent="0.25">
      <c r="A45" s="130"/>
      <c r="B45" s="130"/>
      <c r="C45" s="130"/>
      <c r="D45" s="130"/>
      <c r="E45" s="130"/>
      <c r="F45" s="130"/>
      <c r="G45" s="130"/>
      <c r="H45" s="130"/>
      <c r="I45" s="130"/>
      <c r="J45" s="130"/>
      <c r="K45" s="131"/>
      <c r="L45" s="131"/>
      <c r="M45" s="131"/>
      <c r="N45" s="132"/>
      <c r="O45" s="132"/>
      <c r="P45" s="132"/>
      <c r="Q45" s="132"/>
      <c r="R45" s="132"/>
      <c r="S45" s="132"/>
      <c r="T45" s="132"/>
      <c r="U45" s="132"/>
      <c r="V45" s="132"/>
      <c r="W45" s="132"/>
      <c r="X45" s="131"/>
      <c r="Y45" s="131"/>
      <c r="Z45" s="131"/>
      <c r="AA45" s="131"/>
      <c r="AB45" s="131"/>
    </row>
    <row r="46" spans="1:41" s="4" customFormat="1" x14ac:dyDescent="0.2"/>
    <row r="47" spans="1:41" s="4" customFormat="1" ht="20.25" x14ac:dyDescent="0.3">
      <c r="D47" s="213" t="s">
        <v>521</v>
      </c>
      <c r="E47" s="214"/>
      <c r="F47" s="214"/>
      <c r="G47" s="214"/>
      <c r="H47" s="214"/>
      <c r="I47" s="214"/>
      <c r="J47" s="214"/>
      <c r="K47" s="214"/>
      <c r="L47" s="214"/>
      <c r="M47" s="214"/>
      <c r="N47" s="214"/>
      <c r="O47" s="214"/>
      <c r="P47" s="214"/>
      <c r="Q47" s="214"/>
      <c r="R47" s="214"/>
      <c r="S47" s="214"/>
      <c r="T47" s="214"/>
      <c r="U47" s="214"/>
      <c r="V47" s="214"/>
      <c r="W47" s="214"/>
      <c r="X47" s="214"/>
      <c r="Y47" s="213" t="s">
        <v>147</v>
      </c>
      <c r="Z47" s="214"/>
      <c r="AA47" s="214"/>
      <c r="AB47" s="214"/>
      <c r="AC47" s="214"/>
    </row>
    <row r="48" spans="1:41" s="4" customFormat="1" ht="20.25" x14ac:dyDescent="0.3">
      <c r="D48" s="213" t="s">
        <v>542</v>
      </c>
      <c r="E48" s="213"/>
      <c r="F48" s="213"/>
      <c r="G48" s="213"/>
      <c r="H48" s="213"/>
      <c r="I48" s="213"/>
      <c r="J48" s="213"/>
      <c r="K48" s="213"/>
      <c r="L48" s="213"/>
      <c r="M48" s="214"/>
      <c r="N48" s="214"/>
      <c r="O48" s="214"/>
      <c r="P48" s="214"/>
      <c r="Q48" s="214"/>
      <c r="R48" s="214"/>
      <c r="S48" s="214"/>
      <c r="T48" s="214"/>
      <c r="U48" s="214"/>
      <c r="V48" s="214"/>
      <c r="W48" s="214"/>
      <c r="X48" s="214"/>
      <c r="Y48" s="213" t="s">
        <v>219</v>
      </c>
      <c r="Z48" s="214"/>
      <c r="AA48" s="213"/>
      <c r="AB48" s="213"/>
      <c r="AC48" s="213"/>
      <c r="AD48" s="42"/>
      <c r="AE48" s="42"/>
      <c r="AF48" s="42"/>
      <c r="AG48" s="42"/>
      <c r="AH48" s="42"/>
      <c r="AI48" s="42"/>
      <c r="AJ48" s="42"/>
      <c r="AK48" s="42"/>
      <c r="AN48" s="42"/>
      <c r="AO48" s="42"/>
    </row>
    <row r="49" spans="4:29" s="4" customFormat="1" ht="20.25" x14ac:dyDescent="0.3">
      <c r="D49" s="214"/>
      <c r="E49" s="214"/>
      <c r="F49" s="214"/>
      <c r="G49" s="214"/>
      <c r="H49" s="214"/>
      <c r="I49" s="214"/>
      <c r="J49" s="214"/>
      <c r="K49" s="214"/>
      <c r="L49" s="214"/>
      <c r="M49" s="214"/>
      <c r="N49" s="214"/>
      <c r="O49" s="214"/>
      <c r="P49" s="214"/>
      <c r="Q49" s="214"/>
      <c r="R49" s="214"/>
      <c r="S49" s="214"/>
      <c r="T49" s="214"/>
      <c r="U49" s="214"/>
      <c r="V49" s="214"/>
      <c r="W49" s="214"/>
      <c r="X49" s="214"/>
      <c r="Y49" s="214"/>
      <c r="Z49" s="214"/>
      <c r="AA49" s="214"/>
      <c r="AB49" s="214"/>
      <c r="AC49" s="214"/>
    </row>
    <row r="50" spans="4:29" s="4" customFormat="1" x14ac:dyDescent="0.2"/>
    <row r="51" spans="4:29" s="4" customFormat="1" x14ac:dyDescent="0.2"/>
  </sheetData>
  <mergeCells count="13">
    <mergeCell ref="A40:J40"/>
    <mergeCell ref="A1:AC1"/>
    <mergeCell ref="A2:AC2"/>
    <mergeCell ref="A3:AC3"/>
    <mergeCell ref="K5:M5"/>
    <mergeCell ref="P5:U5"/>
    <mergeCell ref="Y5:AA5"/>
    <mergeCell ref="B16:AD16"/>
    <mergeCell ref="B17:AD17"/>
    <mergeCell ref="B18:AC18"/>
    <mergeCell ref="B28:AD28"/>
    <mergeCell ref="B29:AD29"/>
    <mergeCell ref="B30:AD30"/>
  </mergeCells>
  <pageMargins left="0.27559055118110237" right="0.19685039370078741" top="0.74803149606299213" bottom="0.35433070866141736" header="0.31496062992125984" footer="0.31496062992125984"/>
  <pageSetup scale="42" orientation="landscape" horizontalDpi="4294967293" verticalDpi="36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M76"/>
  <sheetViews>
    <sheetView topLeftCell="B53" zoomScale="55" zoomScaleNormal="55" workbookViewId="0">
      <selection activeCell="AB55" sqref="AB55"/>
    </sheetView>
  </sheetViews>
  <sheetFormatPr baseColWidth="10" defaultColWidth="11.42578125" defaultRowHeight="12.75" x14ac:dyDescent="0.2"/>
  <cols>
    <col min="1" max="1" width="5.5703125" hidden="1" customWidth="1"/>
    <col min="2" max="2" width="16" customWidth="1"/>
    <col min="3" max="3" width="11.85546875" customWidth="1"/>
    <col min="4" max="4" width="29.28515625" customWidth="1"/>
    <col min="5" max="5" width="24.85546875" customWidth="1"/>
    <col min="6" max="6" width="34.140625" customWidth="1"/>
    <col min="7" max="7" width="17.42578125" customWidth="1"/>
    <col min="8" max="8" width="23.85546875" customWidth="1"/>
    <col min="9" max="9" width="7.42578125" hidden="1" customWidth="1"/>
    <col min="10" max="10" width="17" hidden="1" customWidth="1"/>
    <col min="11" max="11" width="18.7109375" customWidth="1"/>
    <col min="12" max="12" width="16.85546875" customWidth="1"/>
    <col min="13" max="13" width="19.85546875" customWidth="1"/>
    <col min="14" max="14" width="13.140625" hidden="1" customWidth="1"/>
    <col min="15" max="15" width="14.7109375" hidden="1" customWidth="1"/>
    <col min="16" max="16" width="15.5703125" hidden="1" customWidth="1"/>
    <col min="17" max="17" width="14.5703125" hidden="1" customWidth="1"/>
    <col min="18" max="19" width="13.140625" hidden="1" customWidth="1"/>
    <col min="20" max="20" width="10.5703125" hidden="1" customWidth="1"/>
    <col min="21" max="21" width="10.42578125" hidden="1" customWidth="1"/>
    <col min="22" max="22" width="13.140625" hidden="1" customWidth="1"/>
    <col min="23" max="23" width="14.85546875" hidden="1" customWidth="1"/>
    <col min="24" max="24" width="12.5703125" customWidth="1"/>
    <col min="25" max="25" width="16.7109375" customWidth="1"/>
    <col min="26" max="26" width="16.85546875" customWidth="1"/>
    <col min="27" max="27" width="18.42578125" customWidth="1"/>
    <col min="28" max="28" width="19" customWidth="1"/>
    <col min="29" max="29" width="65.28515625" customWidth="1"/>
  </cols>
  <sheetData>
    <row r="1" spans="1:33" ht="19.5" x14ac:dyDescent="0.25">
      <c r="A1" s="455" t="s">
        <v>77</v>
      </c>
      <c r="B1" s="455"/>
      <c r="C1" s="455"/>
      <c r="D1" s="455"/>
      <c r="E1" s="455"/>
      <c r="F1" s="455"/>
      <c r="G1" s="455"/>
      <c r="H1" s="455"/>
      <c r="I1" s="455"/>
      <c r="J1" s="455"/>
      <c r="K1" s="455"/>
      <c r="L1" s="455"/>
      <c r="M1" s="455"/>
      <c r="N1" s="455"/>
      <c r="O1" s="455"/>
      <c r="P1" s="455"/>
      <c r="Q1" s="455"/>
      <c r="R1" s="455"/>
      <c r="S1" s="455"/>
      <c r="T1" s="455"/>
      <c r="U1" s="455"/>
      <c r="V1" s="455"/>
      <c r="W1" s="455"/>
      <c r="X1" s="455"/>
      <c r="Y1" s="455"/>
      <c r="Z1" s="455"/>
      <c r="AA1" s="455"/>
      <c r="AB1" s="455"/>
      <c r="AC1" s="455"/>
    </row>
    <row r="2" spans="1:33" ht="19.5" x14ac:dyDescent="0.25">
      <c r="A2" s="455" t="s">
        <v>64</v>
      </c>
      <c r="B2" s="455"/>
      <c r="C2" s="455"/>
      <c r="D2" s="455"/>
      <c r="E2" s="455"/>
      <c r="F2" s="455"/>
      <c r="G2" s="455"/>
      <c r="H2" s="455"/>
      <c r="I2" s="455"/>
      <c r="J2" s="455"/>
      <c r="K2" s="455"/>
      <c r="L2" s="455"/>
      <c r="M2" s="455"/>
      <c r="N2" s="455"/>
      <c r="O2" s="455"/>
      <c r="P2" s="455"/>
      <c r="Q2" s="455"/>
      <c r="R2" s="455"/>
      <c r="S2" s="455"/>
      <c r="T2" s="455"/>
      <c r="U2" s="455"/>
      <c r="V2" s="455"/>
      <c r="W2" s="455"/>
      <c r="X2" s="455"/>
      <c r="Y2" s="455"/>
      <c r="Z2" s="455"/>
      <c r="AA2" s="455"/>
      <c r="AB2" s="455"/>
      <c r="AC2" s="455"/>
    </row>
    <row r="3" spans="1:33" ht="19.5" x14ac:dyDescent="0.25">
      <c r="A3" s="456" t="str">
        <f>PRESIDENCIA!A3</f>
        <v>SUELDO  DEL 16 AL 30 DE ABRIL DE 2025</v>
      </c>
      <c r="B3" s="456"/>
      <c r="C3" s="456"/>
      <c r="D3" s="456"/>
      <c r="E3" s="456"/>
      <c r="F3" s="456"/>
      <c r="G3" s="456"/>
      <c r="H3" s="456"/>
      <c r="I3" s="456"/>
      <c r="J3" s="456"/>
      <c r="K3" s="456"/>
      <c r="L3" s="456"/>
      <c r="M3" s="456"/>
      <c r="N3" s="456"/>
      <c r="O3" s="456"/>
      <c r="P3" s="456"/>
      <c r="Q3" s="456"/>
      <c r="R3" s="456"/>
      <c r="S3" s="456"/>
      <c r="T3" s="456"/>
      <c r="U3" s="456"/>
      <c r="V3" s="456"/>
      <c r="W3" s="456"/>
      <c r="X3" s="456"/>
      <c r="Y3" s="456"/>
      <c r="Z3" s="456"/>
      <c r="AA3" s="456"/>
      <c r="AB3" s="456"/>
      <c r="AC3" s="456"/>
    </row>
    <row r="4" spans="1:33" ht="15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</row>
    <row r="5" spans="1:33" s="52" customFormat="1" ht="21" customHeight="1" x14ac:dyDescent="0.25">
      <c r="A5" s="48"/>
      <c r="B5" s="48"/>
      <c r="C5" s="491" t="s">
        <v>124</v>
      </c>
      <c r="D5" s="48"/>
      <c r="E5" s="48"/>
      <c r="F5" s="48"/>
      <c r="G5" s="48"/>
      <c r="H5" s="48"/>
      <c r="I5" s="49" t="s">
        <v>22</v>
      </c>
      <c r="J5" s="49" t="s">
        <v>5</v>
      </c>
      <c r="K5" s="457" t="s">
        <v>1</v>
      </c>
      <c r="L5" s="458"/>
      <c r="M5" s="459"/>
      <c r="N5" s="116" t="s">
        <v>25</v>
      </c>
      <c r="O5" s="117"/>
      <c r="P5" s="460" t="s">
        <v>8</v>
      </c>
      <c r="Q5" s="461"/>
      <c r="R5" s="461"/>
      <c r="S5" s="461"/>
      <c r="T5" s="461"/>
      <c r="U5" s="462"/>
      <c r="V5" s="116" t="s">
        <v>29</v>
      </c>
      <c r="W5" s="116" t="s">
        <v>9</v>
      </c>
      <c r="X5" s="115" t="s">
        <v>52</v>
      </c>
      <c r="Y5" s="463" t="s">
        <v>2</v>
      </c>
      <c r="Z5" s="464"/>
      <c r="AA5" s="465"/>
      <c r="AB5" s="115" t="s">
        <v>0</v>
      </c>
      <c r="AC5" s="48"/>
    </row>
    <row r="6" spans="1:33" s="52" customFormat="1" ht="31.5" x14ac:dyDescent="0.25">
      <c r="A6" s="53" t="s">
        <v>20</v>
      </c>
      <c r="B6" s="118" t="s">
        <v>97</v>
      </c>
      <c r="C6" s="492"/>
      <c r="D6" s="119" t="s">
        <v>21</v>
      </c>
      <c r="E6" s="53"/>
      <c r="F6" s="53"/>
      <c r="G6" s="53"/>
      <c r="H6" s="53"/>
      <c r="I6" s="54" t="s">
        <v>23</v>
      </c>
      <c r="J6" s="53" t="s">
        <v>24</v>
      </c>
      <c r="K6" s="115" t="s">
        <v>5</v>
      </c>
      <c r="L6" s="115" t="s">
        <v>58</v>
      </c>
      <c r="M6" s="115" t="s">
        <v>27</v>
      </c>
      <c r="N6" s="120" t="s">
        <v>26</v>
      </c>
      <c r="O6" s="117" t="s">
        <v>31</v>
      </c>
      <c r="P6" s="117" t="s">
        <v>11</v>
      </c>
      <c r="Q6" s="117" t="s">
        <v>33</v>
      </c>
      <c r="R6" s="117" t="s">
        <v>35</v>
      </c>
      <c r="S6" s="117" t="s">
        <v>36</v>
      </c>
      <c r="T6" s="113" t="s">
        <v>13</v>
      </c>
      <c r="U6" s="117" t="s">
        <v>9</v>
      </c>
      <c r="V6" s="120" t="s">
        <v>39</v>
      </c>
      <c r="W6" s="120" t="s">
        <v>40</v>
      </c>
      <c r="X6" s="119" t="s">
        <v>30</v>
      </c>
      <c r="Y6" s="115" t="s">
        <v>281</v>
      </c>
      <c r="Z6" s="115" t="s">
        <v>56</v>
      </c>
      <c r="AA6" s="115" t="s">
        <v>6</v>
      </c>
      <c r="AB6" s="119" t="s">
        <v>3</v>
      </c>
      <c r="AC6" s="119" t="s">
        <v>57</v>
      </c>
    </row>
    <row r="7" spans="1:33" s="52" customFormat="1" ht="15.75" x14ac:dyDescent="0.25">
      <c r="A7" s="53"/>
      <c r="B7" s="53"/>
      <c r="C7" s="493"/>
      <c r="D7" s="53"/>
      <c r="E7" s="53"/>
      <c r="F7" s="53"/>
      <c r="G7" s="53"/>
      <c r="H7" s="53"/>
      <c r="I7" s="53"/>
      <c r="J7" s="53"/>
      <c r="K7" s="119" t="s">
        <v>46</v>
      </c>
      <c r="L7" s="119" t="s">
        <v>59</v>
      </c>
      <c r="M7" s="119" t="s">
        <v>28</v>
      </c>
      <c r="N7" s="120" t="s">
        <v>42</v>
      </c>
      <c r="O7" s="116" t="s">
        <v>32</v>
      </c>
      <c r="P7" s="116" t="s">
        <v>12</v>
      </c>
      <c r="Q7" s="116" t="s">
        <v>34</v>
      </c>
      <c r="R7" s="116" t="s">
        <v>34</v>
      </c>
      <c r="S7" s="116" t="s">
        <v>37</v>
      </c>
      <c r="T7" s="187" t="s">
        <v>14</v>
      </c>
      <c r="U7" s="116" t="s">
        <v>38</v>
      </c>
      <c r="V7" s="120" t="s">
        <v>18</v>
      </c>
      <c r="W7" s="124" t="s">
        <v>204</v>
      </c>
      <c r="X7" s="119" t="s">
        <v>51</v>
      </c>
      <c r="Y7" s="119"/>
      <c r="Z7" s="119"/>
      <c r="AA7" s="119" t="s">
        <v>43</v>
      </c>
      <c r="AB7" s="119" t="s">
        <v>4</v>
      </c>
      <c r="AC7" s="57"/>
    </row>
    <row r="8" spans="1:33" s="52" customFormat="1" ht="64.5" customHeight="1" x14ac:dyDescent="0.3">
      <c r="A8" s="36"/>
      <c r="B8" s="148" t="s">
        <v>97</v>
      </c>
      <c r="C8" s="148" t="s">
        <v>124</v>
      </c>
      <c r="D8" s="229" t="s">
        <v>143</v>
      </c>
      <c r="E8" s="230" t="s">
        <v>98</v>
      </c>
      <c r="F8" s="230" t="s">
        <v>229</v>
      </c>
      <c r="G8" s="229" t="s">
        <v>291</v>
      </c>
      <c r="H8" s="230" t="s">
        <v>61</v>
      </c>
      <c r="I8" s="230"/>
      <c r="J8" s="230"/>
      <c r="K8" s="231">
        <f>SUM(K9:K10)</f>
        <v>13165</v>
      </c>
      <c r="L8" s="231">
        <f>SUM(L9:L10)</f>
        <v>0</v>
      </c>
      <c r="M8" s="231">
        <f>SUM(M9:M10)</f>
        <v>13165</v>
      </c>
      <c r="N8" s="231">
        <f t="shared" ref="N8:W8" si="0">SUM(N9:N10)</f>
        <v>0</v>
      </c>
      <c r="O8" s="231">
        <f t="shared" si="0"/>
        <v>26681.066666666666</v>
      </c>
      <c r="P8" s="231">
        <f t="shared" si="0"/>
        <v>21819.78</v>
      </c>
      <c r="Q8" s="231">
        <f t="shared" si="0"/>
        <v>4861.286666666666</v>
      </c>
      <c r="R8" s="231">
        <f t="shared" si="0"/>
        <v>0.32240000000000002</v>
      </c>
      <c r="S8" s="231">
        <f t="shared" si="0"/>
        <v>547.60570666666661</v>
      </c>
      <c r="T8" s="231">
        <f t="shared" si="0"/>
        <v>2012.01</v>
      </c>
      <c r="U8" s="231">
        <f t="shared" si="0"/>
        <v>2559.6157066666665</v>
      </c>
      <c r="V8" s="231">
        <f t="shared" si="0"/>
        <v>0</v>
      </c>
      <c r="W8" s="231">
        <f t="shared" si="0"/>
        <v>1262.97</v>
      </c>
      <c r="X8" s="231">
        <f>SUM(X9:X10)</f>
        <v>0</v>
      </c>
      <c r="Y8" s="231">
        <f>SUM(Y9:Y10)</f>
        <v>1262.97</v>
      </c>
      <c r="Z8" s="231">
        <f>SUM(Z9:Z10)</f>
        <v>0</v>
      </c>
      <c r="AA8" s="231">
        <f>SUM(AA9:AA10)</f>
        <v>1262.97</v>
      </c>
      <c r="AB8" s="231">
        <f>SUM(AB9:AB10)</f>
        <v>11902.029999999999</v>
      </c>
      <c r="AC8" s="97"/>
    </row>
    <row r="9" spans="1:33" s="305" customFormat="1" ht="231" customHeight="1" x14ac:dyDescent="0.2">
      <c r="A9" s="354"/>
      <c r="B9" s="355">
        <v>377</v>
      </c>
      <c r="C9" s="356" t="s">
        <v>118</v>
      </c>
      <c r="D9" s="357" t="s">
        <v>448</v>
      </c>
      <c r="E9" s="358" t="s">
        <v>449</v>
      </c>
      <c r="F9" s="358" t="s">
        <v>450</v>
      </c>
      <c r="G9" s="359">
        <v>45566</v>
      </c>
      <c r="H9" s="360" t="s">
        <v>348</v>
      </c>
      <c r="I9" s="274">
        <v>15</v>
      </c>
      <c r="J9" s="275">
        <f>K9/I9</f>
        <v>515.33333333333337</v>
      </c>
      <c r="K9" s="276">
        <v>7730</v>
      </c>
      <c r="L9" s="277">
        <v>0</v>
      </c>
      <c r="M9" s="278">
        <f>SUM(K9:L9)</f>
        <v>7730</v>
      </c>
      <c r="N9" s="300">
        <f>IF(K9/15&lt;=SMG,0,L9/2)</f>
        <v>0</v>
      </c>
      <c r="O9" s="321">
        <f>(K9+N9)/I9*30.4</f>
        <v>15666.133333333333</v>
      </c>
      <c r="P9" s="321">
        <f>VLOOKUP(O9,Tarifa,1)</f>
        <v>15487.72</v>
      </c>
      <c r="Q9" s="300">
        <f>O9-P9</f>
        <v>178.41333333333387</v>
      </c>
      <c r="R9" s="301">
        <f>VLOOKUP(O9,Tarifa,3)</f>
        <v>0.21360000000000001</v>
      </c>
      <c r="S9" s="300">
        <f>Q9*R9</f>
        <v>38.109088000000114</v>
      </c>
      <c r="T9" s="302">
        <f>VLOOKUP(O9,Tarifa,2)</f>
        <v>1640.18</v>
      </c>
      <c r="U9" s="300">
        <f>S9+T9</f>
        <v>1678.2890880000002</v>
      </c>
      <c r="V9" s="300">
        <f>VLOOKUP(O9,Credito,2)</f>
        <v>0</v>
      </c>
      <c r="W9" s="300">
        <f>ROUND((U9-V9)/30.4*I9,2)</f>
        <v>828.1</v>
      </c>
      <c r="X9" s="278">
        <f>-IF(W9&gt;0,0,0)</f>
        <v>0</v>
      </c>
      <c r="Y9" s="278">
        <f>IF(K9/15&lt;=SMG,0,IF(W9&lt;0,0,W9))</f>
        <v>828.1</v>
      </c>
      <c r="Z9" s="279">
        <v>0</v>
      </c>
      <c r="AA9" s="278">
        <f>SUM(Y9:Z9)</f>
        <v>828.1</v>
      </c>
      <c r="AB9" s="278">
        <f>M9+X9-AA9</f>
        <v>6901.9</v>
      </c>
      <c r="AC9" s="361"/>
    </row>
    <row r="10" spans="1:33" s="305" customFormat="1" ht="231" customHeight="1" x14ac:dyDescent="0.2">
      <c r="A10" s="354"/>
      <c r="B10" s="291" t="s">
        <v>453</v>
      </c>
      <c r="C10" s="285" t="s">
        <v>118</v>
      </c>
      <c r="D10" s="266" t="s">
        <v>451</v>
      </c>
      <c r="E10" s="135" t="s">
        <v>520</v>
      </c>
      <c r="F10" s="295" t="s">
        <v>452</v>
      </c>
      <c r="G10" s="272">
        <v>45566</v>
      </c>
      <c r="H10" s="273" t="s">
        <v>275</v>
      </c>
      <c r="I10" s="274">
        <v>15</v>
      </c>
      <c r="J10" s="275">
        <f>K10/I10</f>
        <v>362.33333333333331</v>
      </c>
      <c r="K10" s="276">
        <v>5435</v>
      </c>
      <c r="L10" s="277">
        <v>0</v>
      </c>
      <c r="M10" s="278">
        <f>SUM(K10:L10)</f>
        <v>5435</v>
      </c>
      <c r="N10" s="300">
        <f>IF(K10/15&lt;=SMG,0,L10/2)</f>
        <v>0</v>
      </c>
      <c r="O10" s="321">
        <f>(K10+N10)/I10*30.4</f>
        <v>11014.933333333332</v>
      </c>
      <c r="P10" s="321">
        <f>VLOOKUP(O10,Tarifa,1)</f>
        <v>6332.06</v>
      </c>
      <c r="Q10" s="300">
        <f>O10-P10</f>
        <v>4682.8733333333321</v>
      </c>
      <c r="R10" s="301">
        <f>VLOOKUP(O10,Tarifa,3)</f>
        <v>0.10879999999999999</v>
      </c>
      <c r="S10" s="300">
        <f>Q10*R10</f>
        <v>509.49661866666651</v>
      </c>
      <c r="T10" s="302">
        <f>VLOOKUP(O10,Tarifa,2)</f>
        <v>371.83</v>
      </c>
      <c r="U10" s="300">
        <f>S10+T10</f>
        <v>881.32661866666649</v>
      </c>
      <c r="V10" s="300">
        <f>VLOOKUP(O10,Credito,2)</f>
        <v>0</v>
      </c>
      <c r="W10" s="300">
        <f>ROUND((U10-V10)/30.4*I10,2)</f>
        <v>434.87</v>
      </c>
      <c r="X10" s="278">
        <f>-IF(W10&gt;0,0,0)</f>
        <v>0</v>
      </c>
      <c r="Y10" s="278">
        <f>IF(K10/15&lt;=SMG,0,IF(W10&lt;0,0,W10))</f>
        <v>434.87</v>
      </c>
      <c r="Z10" s="279">
        <v>0</v>
      </c>
      <c r="AA10" s="278">
        <f>SUM(Y10:Z10)</f>
        <v>434.87</v>
      </c>
      <c r="AB10" s="278">
        <f>M10+X10-AA10</f>
        <v>5000.13</v>
      </c>
      <c r="AC10" s="361"/>
    </row>
    <row r="11" spans="1:33" s="52" customFormat="1" ht="53.25" customHeight="1" x14ac:dyDescent="0.3">
      <c r="A11" s="46"/>
      <c r="B11" s="148" t="s">
        <v>97</v>
      </c>
      <c r="C11" s="148" t="s">
        <v>124</v>
      </c>
      <c r="D11" s="230" t="s">
        <v>126</v>
      </c>
      <c r="E11" s="230" t="s">
        <v>98</v>
      </c>
      <c r="F11" s="230" t="s">
        <v>229</v>
      </c>
      <c r="G11" s="229" t="s">
        <v>291</v>
      </c>
      <c r="H11" s="230" t="s">
        <v>61</v>
      </c>
      <c r="I11" s="230"/>
      <c r="J11" s="230"/>
      <c r="K11" s="231">
        <f>SUM(K12:K13)</f>
        <v>11850</v>
      </c>
      <c r="L11" s="231">
        <f>SUM(L12:L13)</f>
        <v>0</v>
      </c>
      <c r="M11" s="231">
        <f>SUM(M12:M13)</f>
        <v>11850</v>
      </c>
      <c r="N11" s="230"/>
      <c r="O11" s="230"/>
      <c r="P11" s="230"/>
      <c r="Q11" s="230"/>
      <c r="R11" s="230"/>
      <c r="S11" s="230"/>
      <c r="T11" s="232"/>
      <c r="U11" s="230"/>
      <c r="V11" s="230"/>
      <c r="W11" s="230"/>
      <c r="X11" s="231">
        <f>SUM(X12:X13)</f>
        <v>0</v>
      </c>
      <c r="Y11" s="231">
        <f>SUM(Y12:Y13)</f>
        <v>828.1</v>
      </c>
      <c r="Z11" s="231">
        <f>SUM(Z12:Z13)</f>
        <v>0</v>
      </c>
      <c r="AA11" s="231">
        <f>SUM(AA12:AA13)</f>
        <v>828.1</v>
      </c>
      <c r="AB11" s="231">
        <f>SUM(AB12:AB13)</f>
        <v>11021.9</v>
      </c>
      <c r="AC11" s="97"/>
      <c r="AG11" s="60"/>
    </row>
    <row r="12" spans="1:33" s="305" customFormat="1" ht="231" customHeight="1" x14ac:dyDescent="0.2">
      <c r="A12" s="362" t="s">
        <v>87</v>
      </c>
      <c r="B12" s="285" t="s">
        <v>114</v>
      </c>
      <c r="C12" s="285" t="s">
        <v>118</v>
      </c>
      <c r="D12" s="266" t="s">
        <v>92</v>
      </c>
      <c r="E12" s="135" t="s">
        <v>115</v>
      </c>
      <c r="F12" s="135" t="s">
        <v>237</v>
      </c>
      <c r="G12" s="161">
        <v>42278</v>
      </c>
      <c r="H12" s="288" t="s">
        <v>93</v>
      </c>
      <c r="I12" s="274">
        <v>15</v>
      </c>
      <c r="J12" s="275">
        <f>K12/I12</f>
        <v>515.33333333333337</v>
      </c>
      <c r="K12" s="276">
        <v>7730</v>
      </c>
      <c r="L12" s="277">
        <v>0</v>
      </c>
      <c r="M12" s="278">
        <f>SUM(K12:L12)</f>
        <v>7730</v>
      </c>
      <c r="N12" s="300">
        <f>IF(K12/15&lt;=SMG,0,L12/2)</f>
        <v>0</v>
      </c>
      <c r="O12" s="321">
        <f>(K12+N12)/I12*30.4</f>
        <v>15666.133333333333</v>
      </c>
      <c r="P12" s="321">
        <f>VLOOKUP(O12,Tarifa,1)</f>
        <v>15487.72</v>
      </c>
      <c r="Q12" s="300">
        <f>O12-P12</f>
        <v>178.41333333333387</v>
      </c>
      <c r="R12" s="301">
        <f>VLOOKUP(O12,Tarifa,3)</f>
        <v>0.21360000000000001</v>
      </c>
      <c r="S12" s="300">
        <f>Q12*R12</f>
        <v>38.109088000000114</v>
      </c>
      <c r="T12" s="302">
        <f>VLOOKUP(O12,Tarifa,2)</f>
        <v>1640.18</v>
      </c>
      <c r="U12" s="300">
        <f>S12+T12</f>
        <v>1678.2890880000002</v>
      </c>
      <c r="V12" s="300">
        <f>VLOOKUP(O12,Credito,2)</f>
        <v>0</v>
      </c>
      <c r="W12" s="300">
        <f>ROUND((U12-V12)/30.4*I12,2)</f>
        <v>828.1</v>
      </c>
      <c r="X12" s="278">
        <f>-IF(W12&gt;0,0,0)</f>
        <v>0</v>
      </c>
      <c r="Y12" s="278">
        <f>IF(K12/15&lt;=SMG,0,IF(W12&lt;0,0,W12))</f>
        <v>828.1</v>
      </c>
      <c r="Z12" s="279">
        <v>0</v>
      </c>
      <c r="AA12" s="278">
        <f>SUM(Y12:Z12)</f>
        <v>828.1</v>
      </c>
      <c r="AB12" s="278">
        <f>M12+X12-AA12</f>
        <v>6901.9</v>
      </c>
      <c r="AC12" s="290"/>
      <c r="AG12" s="363"/>
    </row>
    <row r="13" spans="1:33" s="305" customFormat="1" ht="231" customHeight="1" x14ac:dyDescent="0.2">
      <c r="A13" s="362"/>
      <c r="B13" s="285" t="s">
        <v>551</v>
      </c>
      <c r="C13" s="285" t="s">
        <v>118</v>
      </c>
      <c r="D13" s="266" t="s">
        <v>548</v>
      </c>
      <c r="E13" s="135" t="s">
        <v>549</v>
      </c>
      <c r="F13" s="135" t="s">
        <v>550</v>
      </c>
      <c r="G13" s="161">
        <v>45459</v>
      </c>
      <c r="H13" s="288" t="s">
        <v>413</v>
      </c>
      <c r="I13" s="274">
        <v>15</v>
      </c>
      <c r="J13" s="275">
        <f>K13/I13</f>
        <v>274.66666666666669</v>
      </c>
      <c r="K13" s="276">
        <v>4120</v>
      </c>
      <c r="L13" s="277">
        <v>0</v>
      </c>
      <c r="M13" s="278">
        <f>SUM(K13:L13)</f>
        <v>4120</v>
      </c>
      <c r="N13" s="300">
        <f>IF(K13/15&lt;=SMG,0,L13/2)</f>
        <v>0</v>
      </c>
      <c r="O13" s="321">
        <f>(K13+N13)/I13*30.4</f>
        <v>8349.8666666666668</v>
      </c>
      <c r="P13" s="321">
        <f>VLOOKUP(O13,Tarifa,1)</f>
        <v>6332.06</v>
      </c>
      <c r="Q13" s="300">
        <f>O13-P13</f>
        <v>2017.8066666666664</v>
      </c>
      <c r="R13" s="301">
        <f>VLOOKUP(O13,Tarifa,3)</f>
        <v>0.10879999999999999</v>
      </c>
      <c r="S13" s="300">
        <f>Q13*R13</f>
        <v>219.5373653333333</v>
      </c>
      <c r="T13" s="302">
        <f>VLOOKUP(O13,Tarifa,2)</f>
        <v>371.83</v>
      </c>
      <c r="U13" s="300">
        <f>S13+T13</f>
        <v>591.36736533333328</v>
      </c>
      <c r="V13" s="300">
        <f>VLOOKUP(O13,Credito,2)</f>
        <v>475</v>
      </c>
      <c r="W13" s="300">
        <f>ROUND((U13-V13)/30.4*I13,2)</f>
        <v>57.42</v>
      </c>
      <c r="X13" s="278">
        <f>-IF(W13&gt;0,0,0)</f>
        <v>0</v>
      </c>
      <c r="Y13" s="278">
        <f>IF(K13/15&lt;=SMG,0,IF(W13&lt;0,0,W13))</f>
        <v>0</v>
      </c>
      <c r="Z13" s="279">
        <v>0</v>
      </c>
      <c r="AA13" s="278">
        <f>SUM(Y13:Z13)</f>
        <v>0</v>
      </c>
      <c r="AB13" s="278">
        <f>M13+X13-AA13</f>
        <v>4120</v>
      </c>
      <c r="AC13" s="290"/>
      <c r="AG13" s="364"/>
    </row>
    <row r="14" spans="1:33" s="52" customFormat="1" ht="57.75" customHeight="1" x14ac:dyDescent="0.3">
      <c r="A14" s="157"/>
      <c r="B14" s="148" t="s">
        <v>97</v>
      </c>
      <c r="C14" s="148" t="s">
        <v>124</v>
      </c>
      <c r="D14" s="230" t="s">
        <v>280</v>
      </c>
      <c r="E14" s="230" t="s">
        <v>98</v>
      </c>
      <c r="F14" s="230" t="s">
        <v>229</v>
      </c>
      <c r="G14" s="229" t="s">
        <v>291</v>
      </c>
      <c r="H14" s="230" t="s">
        <v>61</v>
      </c>
      <c r="I14" s="230"/>
      <c r="J14" s="230"/>
      <c r="K14" s="231">
        <f>SUM(K15:K23)</f>
        <v>8142.5</v>
      </c>
      <c r="L14" s="231">
        <f>SUM(L15:L23)</f>
        <v>600</v>
      </c>
      <c r="M14" s="231">
        <f>SUM(M15:M23)</f>
        <v>8742.5</v>
      </c>
      <c r="N14" s="231">
        <f t="shared" ref="N14:W14" si="1">SUM(N15)</f>
        <v>0</v>
      </c>
      <c r="O14" s="231">
        <f t="shared" si="1"/>
        <v>7749.9733333333334</v>
      </c>
      <c r="P14" s="231">
        <f t="shared" si="1"/>
        <v>6332.06</v>
      </c>
      <c r="Q14" s="231">
        <f t="shared" si="1"/>
        <v>1417.913333333333</v>
      </c>
      <c r="R14" s="231">
        <f t="shared" si="1"/>
        <v>0.10879999999999999</v>
      </c>
      <c r="S14" s="231">
        <f t="shared" si="1"/>
        <v>154.2689706666666</v>
      </c>
      <c r="T14" s="231">
        <f t="shared" si="1"/>
        <v>371.83</v>
      </c>
      <c r="U14" s="231">
        <f t="shared" si="1"/>
        <v>526.09897066666656</v>
      </c>
      <c r="V14" s="231">
        <f t="shared" si="1"/>
        <v>475</v>
      </c>
      <c r="W14" s="231">
        <f t="shared" si="1"/>
        <v>25.21</v>
      </c>
      <c r="X14" s="231">
        <f>SUM(X15:X23)</f>
        <v>0</v>
      </c>
      <c r="Y14" s="231">
        <f>SUM(Y15:Y23)</f>
        <v>79.010000000000005</v>
      </c>
      <c r="Z14" s="231">
        <f>SUM(Z15:Z23)</f>
        <v>0</v>
      </c>
      <c r="AA14" s="231">
        <f>SUM(AA15:AA23)</f>
        <v>79.010000000000005</v>
      </c>
      <c r="AB14" s="231">
        <f>SUM(AB15:AB23)</f>
        <v>8663.49</v>
      </c>
      <c r="AC14" s="97"/>
      <c r="AG14" s="66"/>
    </row>
    <row r="15" spans="1:33" s="305" customFormat="1" ht="234.75" customHeight="1" x14ac:dyDescent="0.2">
      <c r="A15" s="365"/>
      <c r="B15" s="291" t="s">
        <v>335</v>
      </c>
      <c r="C15" s="285" t="s">
        <v>118</v>
      </c>
      <c r="D15" s="270" t="s">
        <v>336</v>
      </c>
      <c r="E15" s="271" t="s">
        <v>337</v>
      </c>
      <c r="F15" s="271" t="s">
        <v>338</v>
      </c>
      <c r="G15" s="272">
        <v>45154</v>
      </c>
      <c r="H15" s="273" t="s">
        <v>339</v>
      </c>
      <c r="I15" s="274">
        <v>15</v>
      </c>
      <c r="J15" s="275">
        <f>K15/I15</f>
        <v>254.93333333333334</v>
      </c>
      <c r="K15" s="276">
        <v>3824</v>
      </c>
      <c r="L15" s="277">
        <v>600</v>
      </c>
      <c r="M15" s="278">
        <f t="shared" ref="M15" si="2">SUM(K15:L15)</f>
        <v>4424</v>
      </c>
      <c r="N15" s="300">
        <f>IF(K15/15&lt;=SMG,0,L15/2)</f>
        <v>0</v>
      </c>
      <c r="O15" s="321">
        <f>(K15+N15)/I15*30.4</f>
        <v>7749.9733333333334</v>
      </c>
      <c r="P15" s="321">
        <f>VLOOKUP(O15,Tarifa,1)</f>
        <v>6332.06</v>
      </c>
      <c r="Q15" s="300">
        <f>O15-P15</f>
        <v>1417.913333333333</v>
      </c>
      <c r="R15" s="301">
        <f>VLOOKUP(O15,Tarifa,3)</f>
        <v>0.10879999999999999</v>
      </c>
      <c r="S15" s="300">
        <f>Q15*R15</f>
        <v>154.2689706666666</v>
      </c>
      <c r="T15" s="302">
        <f>VLOOKUP(O15,Tarifa,2)</f>
        <v>371.83</v>
      </c>
      <c r="U15" s="300">
        <f>S15+T15</f>
        <v>526.09897066666656</v>
      </c>
      <c r="V15" s="300">
        <f>VLOOKUP(O15,Credito,2)</f>
        <v>475</v>
      </c>
      <c r="W15" s="300">
        <f>ROUND((U15-V15)/30.4*I15,2)</f>
        <v>25.21</v>
      </c>
      <c r="X15" s="278">
        <f>-IF(W15&gt;0,0,0)</f>
        <v>0</v>
      </c>
      <c r="Y15" s="278">
        <f t="shared" ref="Y15" si="3">IF(K15/15&lt;=SMG,0,IF(W15&lt;0,0,W15))</f>
        <v>0</v>
      </c>
      <c r="Z15" s="279">
        <v>0</v>
      </c>
      <c r="AA15" s="278">
        <f t="shared" ref="AA15" si="4">SUM(Y15:Z15)</f>
        <v>0</v>
      </c>
      <c r="AB15" s="278">
        <f t="shared" ref="AB15" si="5">M15+X15-AA15</f>
        <v>4424</v>
      </c>
      <c r="AC15" s="290"/>
      <c r="AG15" s="363"/>
    </row>
    <row r="16" spans="1:33" s="52" customFormat="1" ht="61.5" customHeight="1" x14ac:dyDescent="0.3">
      <c r="A16" s="157"/>
      <c r="B16" s="246"/>
      <c r="C16" s="216"/>
      <c r="D16" s="217"/>
      <c r="E16" s="218"/>
      <c r="F16" s="218"/>
      <c r="G16" s="219"/>
      <c r="H16" s="207"/>
      <c r="I16" s="220"/>
      <c r="J16" s="221"/>
      <c r="K16" s="222"/>
      <c r="L16" s="223"/>
      <c r="M16" s="224"/>
      <c r="N16" s="225"/>
      <c r="O16" s="225"/>
      <c r="P16" s="225"/>
      <c r="Q16" s="225"/>
      <c r="R16" s="226"/>
      <c r="S16" s="225"/>
      <c r="T16" s="227"/>
      <c r="U16" s="225"/>
      <c r="V16" s="225"/>
      <c r="W16" s="225"/>
      <c r="X16" s="224"/>
      <c r="Y16" s="224"/>
      <c r="Z16" s="228"/>
      <c r="AA16" s="224"/>
      <c r="AB16" s="224"/>
      <c r="AC16" s="91"/>
      <c r="AG16" s="66"/>
    </row>
    <row r="17" spans="1:33" s="52" customFormat="1" ht="61.5" customHeight="1" x14ac:dyDescent="0.3">
      <c r="A17" s="157"/>
      <c r="B17" s="246"/>
      <c r="C17" s="216"/>
      <c r="D17" s="217"/>
      <c r="E17" s="218"/>
      <c r="F17" s="218"/>
      <c r="G17" s="219"/>
      <c r="H17" s="207"/>
      <c r="I17" s="220"/>
      <c r="J17" s="221"/>
      <c r="K17" s="222"/>
      <c r="L17" s="223"/>
      <c r="M17" s="224"/>
      <c r="N17" s="225"/>
      <c r="O17" s="225"/>
      <c r="P17" s="225"/>
      <c r="Q17" s="225"/>
      <c r="R17" s="226"/>
      <c r="S17" s="225"/>
      <c r="T17" s="227"/>
      <c r="U17" s="225"/>
      <c r="V17" s="225"/>
      <c r="W17" s="225"/>
      <c r="X17" s="224"/>
      <c r="Y17" s="224"/>
      <c r="Z17" s="228"/>
      <c r="AA17" s="224"/>
      <c r="AB17" s="224"/>
      <c r="AC17" s="91"/>
      <c r="AG17" s="66"/>
    </row>
    <row r="18" spans="1:33" s="52" customFormat="1" ht="24.75" customHeight="1" x14ac:dyDescent="0.3">
      <c r="A18" s="157"/>
      <c r="B18" s="246"/>
      <c r="C18" s="216"/>
      <c r="D18" s="217"/>
      <c r="E18" s="218"/>
      <c r="F18" s="218"/>
      <c r="G18" s="219"/>
      <c r="H18" s="207"/>
      <c r="I18" s="220"/>
      <c r="J18" s="221"/>
      <c r="K18" s="222"/>
      <c r="L18" s="223"/>
      <c r="M18" s="224"/>
      <c r="N18" s="225"/>
      <c r="O18" s="225"/>
      <c r="P18" s="225"/>
      <c r="Q18" s="225"/>
      <c r="R18" s="226"/>
      <c r="S18" s="225"/>
      <c r="T18" s="227"/>
      <c r="U18" s="225"/>
      <c r="V18" s="225"/>
      <c r="W18" s="225"/>
      <c r="X18" s="224"/>
      <c r="Y18" s="224"/>
      <c r="Z18" s="228"/>
      <c r="AA18" s="224"/>
      <c r="AB18" s="224"/>
      <c r="AC18" s="91"/>
      <c r="AG18" s="66"/>
    </row>
    <row r="19" spans="1:33" s="52" customFormat="1" ht="34.5" customHeight="1" x14ac:dyDescent="0.25">
      <c r="A19" s="157"/>
      <c r="B19" s="455" t="s">
        <v>77</v>
      </c>
      <c r="C19" s="455"/>
      <c r="D19" s="455"/>
      <c r="E19" s="455"/>
      <c r="F19" s="455"/>
      <c r="G19" s="455"/>
      <c r="H19" s="455"/>
      <c r="I19" s="455"/>
      <c r="J19" s="455"/>
      <c r="K19" s="455"/>
      <c r="L19" s="455"/>
      <c r="M19" s="455"/>
      <c r="N19" s="455"/>
      <c r="O19" s="455"/>
      <c r="P19" s="455"/>
      <c r="Q19" s="455"/>
      <c r="R19" s="455"/>
      <c r="S19" s="455"/>
      <c r="T19" s="455"/>
      <c r="U19" s="455"/>
      <c r="V19" s="455"/>
      <c r="W19" s="455"/>
      <c r="X19" s="455"/>
      <c r="Y19" s="455"/>
      <c r="Z19" s="455"/>
      <c r="AA19" s="455"/>
      <c r="AB19" s="455"/>
      <c r="AC19" s="455"/>
      <c r="AD19" s="455"/>
      <c r="AG19" s="66"/>
    </row>
    <row r="20" spans="1:33" s="52" customFormat="1" ht="36.75" customHeight="1" x14ac:dyDescent="0.25">
      <c r="A20" s="157"/>
      <c r="B20" s="455" t="s">
        <v>64</v>
      </c>
      <c r="C20" s="455"/>
      <c r="D20" s="455"/>
      <c r="E20" s="455"/>
      <c r="F20" s="455"/>
      <c r="G20" s="455"/>
      <c r="H20" s="455"/>
      <c r="I20" s="455"/>
      <c r="J20" s="455"/>
      <c r="K20" s="455"/>
      <c r="L20" s="455"/>
      <c r="M20" s="455"/>
      <c r="N20" s="455"/>
      <c r="O20" s="455"/>
      <c r="P20" s="455"/>
      <c r="Q20" s="455"/>
      <c r="R20" s="455"/>
      <c r="S20" s="455"/>
      <c r="T20" s="455"/>
      <c r="U20" s="455"/>
      <c r="V20" s="455"/>
      <c r="W20" s="455"/>
      <c r="X20" s="455"/>
      <c r="Y20" s="455"/>
      <c r="Z20" s="455"/>
      <c r="AA20" s="455"/>
      <c r="AB20" s="455"/>
      <c r="AC20" s="455"/>
      <c r="AD20" s="455"/>
      <c r="AG20" s="66"/>
    </row>
    <row r="21" spans="1:33" s="52" customFormat="1" ht="31.5" customHeight="1" x14ac:dyDescent="0.25">
      <c r="A21" s="157"/>
      <c r="B21" s="456" t="str">
        <f>PRESIDENCIA!A3</f>
        <v>SUELDO  DEL 16 AL 30 DE ABRIL DE 2025</v>
      </c>
      <c r="C21" s="456"/>
      <c r="D21" s="456"/>
      <c r="E21" s="456"/>
      <c r="F21" s="456"/>
      <c r="G21" s="456"/>
      <c r="H21" s="456"/>
      <c r="I21" s="456"/>
      <c r="J21" s="456"/>
      <c r="K21" s="456"/>
      <c r="L21" s="456"/>
      <c r="M21" s="456"/>
      <c r="N21" s="456"/>
      <c r="O21" s="456"/>
      <c r="P21" s="456"/>
      <c r="Q21" s="456"/>
      <c r="R21" s="456"/>
      <c r="S21" s="456"/>
      <c r="T21" s="456"/>
      <c r="U21" s="456"/>
      <c r="V21" s="456"/>
      <c r="W21" s="456"/>
      <c r="X21" s="456"/>
      <c r="Y21" s="456"/>
      <c r="Z21" s="456"/>
      <c r="AA21" s="456"/>
      <c r="AB21" s="456"/>
      <c r="AC21" s="456"/>
      <c r="AD21" s="456"/>
      <c r="AG21" s="66"/>
    </row>
    <row r="22" spans="1:33" s="52" customFormat="1" ht="26.25" customHeight="1" x14ac:dyDescent="0.3">
      <c r="A22" s="157"/>
      <c r="B22" s="246"/>
      <c r="C22" s="216"/>
      <c r="D22" s="217"/>
      <c r="E22" s="218"/>
      <c r="F22" s="218"/>
      <c r="G22" s="219"/>
      <c r="H22" s="207"/>
      <c r="I22" s="220"/>
      <c r="J22" s="221"/>
      <c r="K22" s="222"/>
      <c r="L22" s="223"/>
      <c r="M22" s="224"/>
      <c r="N22" s="225"/>
      <c r="O22" s="225"/>
      <c r="P22" s="225"/>
      <c r="Q22" s="225"/>
      <c r="R22" s="226"/>
      <c r="S22" s="225"/>
      <c r="T22" s="227"/>
      <c r="U22" s="225"/>
      <c r="V22" s="225"/>
      <c r="W22" s="225"/>
      <c r="X22" s="224"/>
      <c r="Y22" s="224"/>
      <c r="Z22" s="228"/>
      <c r="AA22" s="224"/>
      <c r="AB22" s="224"/>
      <c r="AC22" s="91"/>
      <c r="AG22" s="66"/>
    </row>
    <row r="23" spans="1:33" s="305" customFormat="1" ht="230.25" customHeight="1" x14ac:dyDescent="0.2">
      <c r="A23" s="365"/>
      <c r="B23" s="291" t="s">
        <v>446</v>
      </c>
      <c r="C23" s="285" t="s">
        <v>118</v>
      </c>
      <c r="D23" s="292" t="s">
        <v>564</v>
      </c>
      <c r="E23" s="293" t="s">
        <v>565</v>
      </c>
      <c r="F23" s="293" t="s">
        <v>566</v>
      </c>
      <c r="G23" s="338">
        <v>45612</v>
      </c>
      <c r="H23" s="273" t="s">
        <v>447</v>
      </c>
      <c r="I23" s="274">
        <v>15</v>
      </c>
      <c r="J23" s="275">
        <f>K23/I23</f>
        <v>287.89999999999998</v>
      </c>
      <c r="K23" s="276">
        <v>4318.5</v>
      </c>
      <c r="L23" s="277">
        <v>0</v>
      </c>
      <c r="M23" s="278">
        <f t="shared" ref="M23" si="6">SUM(K23:L23)</f>
        <v>4318.5</v>
      </c>
      <c r="N23" s="300">
        <f>IF(K23/15&lt;=SMG,0,L23/2)</f>
        <v>0</v>
      </c>
      <c r="O23" s="321">
        <f>(K23+N23)/I23*30.4</f>
        <v>8752.159999999998</v>
      </c>
      <c r="P23" s="321">
        <f>VLOOKUP(O23,Tarifa,1)</f>
        <v>6332.06</v>
      </c>
      <c r="Q23" s="300">
        <f>O23-P23</f>
        <v>2420.0999999999976</v>
      </c>
      <c r="R23" s="301">
        <f>VLOOKUP(O23,Tarifa,3)</f>
        <v>0.10879999999999999</v>
      </c>
      <c r="S23" s="300">
        <f>Q23*R23</f>
        <v>263.30687999999975</v>
      </c>
      <c r="T23" s="302">
        <f>VLOOKUP(O23,Tarifa,2)</f>
        <v>371.83</v>
      </c>
      <c r="U23" s="300">
        <f>S23+T23</f>
        <v>635.13687999999979</v>
      </c>
      <c r="V23" s="300">
        <f>VLOOKUP(O23,Credito,2)</f>
        <v>475</v>
      </c>
      <c r="W23" s="300">
        <f>ROUND((U23-V23)/30.4*I23,2)</f>
        <v>79.010000000000005</v>
      </c>
      <c r="X23" s="278">
        <f>-IF(W23&gt;0,0,0)</f>
        <v>0</v>
      </c>
      <c r="Y23" s="278">
        <f t="shared" ref="Y23" si="7">IF(K23/15&lt;=SMG,0,IF(W23&lt;0,0,W23))</f>
        <v>79.010000000000005</v>
      </c>
      <c r="Z23" s="279">
        <v>0</v>
      </c>
      <c r="AA23" s="278">
        <f t="shared" ref="AA23" si="8">SUM(Y23:Z23)</f>
        <v>79.010000000000005</v>
      </c>
      <c r="AB23" s="278">
        <f t="shared" ref="AB23" si="9">M23+X23-AA23</f>
        <v>4239.49</v>
      </c>
      <c r="AC23" s="290"/>
      <c r="AG23" s="363"/>
    </row>
    <row r="24" spans="1:33" s="52" customFormat="1" ht="60.75" customHeight="1" x14ac:dyDescent="0.3">
      <c r="A24" s="157"/>
      <c r="B24" s="148" t="s">
        <v>97</v>
      </c>
      <c r="C24" s="148" t="s">
        <v>124</v>
      </c>
      <c r="D24" s="230" t="s">
        <v>316</v>
      </c>
      <c r="E24" s="230" t="s">
        <v>98</v>
      </c>
      <c r="F24" s="230" t="s">
        <v>229</v>
      </c>
      <c r="G24" s="229" t="s">
        <v>291</v>
      </c>
      <c r="H24" s="230" t="s">
        <v>61</v>
      </c>
      <c r="I24" s="230"/>
      <c r="J24" s="230"/>
      <c r="K24" s="231">
        <f>SUM(K25:K26)</f>
        <v>13133.5</v>
      </c>
      <c r="L24" s="231">
        <f>SUM(L25:L26)</f>
        <v>0</v>
      </c>
      <c r="M24" s="231">
        <f>SUM(M25:M26)</f>
        <v>13133.5</v>
      </c>
      <c r="N24" s="231" t="e">
        <f>#REF!+N25+N26</f>
        <v>#REF!</v>
      </c>
      <c r="O24" s="231" t="e">
        <f>#REF!+O25+O26</f>
        <v>#REF!</v>
      </c>
      <c r="P24" s="231" t="e">
        <f>#REF!+P25+P26</f>
        <v>#REF!</v>
      </c>
      <c r="Q24" s="231" t="e">
        <f>#REF!+Q25+Q26</f>
        <v>#REF!</v>
      </c>
      <c r="R24" s="231" t="e">
        <f>#REF!+R25+R26</f>
        <v>#REF!</v>
      </c>
      <c r="S24" s="231" t="e">
        <f>#REF!+S25+S26</f>
        <v>#REF!</v>
      </c>
      <c r="T24" s="231" t="e">
        <f>#REF!+T25+T26</f>
        <v>#REF!</v>
      </c>
      <c r="U24" s="231" t="e">
        <f>#REF!+U25+U26</f>
        <v>#REF!</v>
      </c>
      <c r="V24" s="231" t="e">
        <f>#REF!+V25+V26</f>
        <v>#REF!</v>
      </c>
      <c r="W24" s="231" t="e">
        <f>#REF!+W25+W26</f>
        <v>#REF!</v>
      </c>
      <c r="X24" s="231">
        <f>SUM(X25:X26)</f>
        <v>0</v>
      </c>
      <c r="Y24" s="231">
        <f>SUM(Y25:Y26)</f>
        <v>1100.98</v>
      </c>
      <c r="Z24" s="231">
        <f>SUM(Z25:Z26)</f>
        <v>0</v>
      </c>
      <c r="AA24" s="231">
        <f>SUM(AA25:AA26)</f>
        <v>1100.98</v>
      </c>
      <c r="AB24" s="231">
        <f>SUM(AB25:AB26)</f>
        <v>12032.52</v>
      </c>
      <c r="AC24" s="97"/>
      <c r="AG24" s="66"/>
    </row>
    <row r="25" spans="1:33" s="305" customFormat="1" ht="230.25" customHeight="1" x14ac:dyDescent="0.2">
      <c r="A25" s="365"/>
      <c r="B25" s="291" t="s">
        <v>330</v>
      </c>
      <c r="C25" s="285" t="s">
        <v>118</v>
      </c>
      <c r="D25" s="292" t="s">
        <v>317</v>
      </c>
      <c r="E25" s="293" t="s">
        <v>318</v>
      </c>
      <c r="F25" s="293" t="s">
        <v>319</v>
      </c>
      <c r="G25" s="338">
        <v>45108</v>
      </c>
      <c r="H25" s="273" t="s">
        <v>320</v>
      </c>
      <c r="I25" s="274">
        <v>15</v>
      </c>
      <c r="J25" s="275">
        <f>K25/I25</f>
        <v>600.5</v>
      </c>
      <c r="K25" s="276">
        <v>9007.5</v>
      </c>
      <c r="L25" s="277">
        <v>0</v>
      </c>
      <c r="M25" s="278">
        <f t="shared" ref="M25" si="10">SUM(K25:L25)</f>
        <v>9007.5</v>
      </c>
      <c r="N25" s="300">
        <f>IF(K25/15&lt;=SMG,0,L25/2)</f>
        <v>0</v>
      </c>
      <c r="O25" s="321">
        <f>(K25+N25)/I25*30.4</f>
        <v>18255.2</v>
      </c>
      <c r="P25" s="321">
        <f>VLOOKUP(O25,Tarifa,1)</f>
        <v>15487.72</v>
      </c>
      <c r="Q25" s="300">
        <f>O25-P25</f>
        <v>2767.4800000000014</v>
      </c>
      <c r="R25" s="301">
        <f>VLOOKUP(O25,Tarifa,3)</f>
        <v>0.21360000000000001</v>
      </c>
      <c r="S25" s="300">
        <f>Q25*R25</f>
        <v>591.13372800000036</v>
      </c>
      <c r="T25" s="302">
        <f>VLOOKUP(O25,Tarifa,2)</f>
        <v>1640.18</v>
      </c>
      <c r="U25" s="300">
        <f>S25+T25</f>
        <v>2231.3137280000005</v>
      </c>
      <c r="V25" s="300">
        <f>VLOOKUP(O25,Credito,2)</f>
        <v>0</v>
      </c>
      <c r="W25" s="300">
        <f>ROUND((U25-V25)/30.4*I25,2)</f>
        <v>1100.98</v>
      </c>
      <c r="X25" s="278">
        <f>-IF(W25&gt;0,0,0)</f>
        <v>0</v>
      </c>
      <c r="Y25" s="278">
        <f t="shared" ref="Y25" si="11">IF(K25/15&lt;=SMG,0,IF(W25&lt;0,0,W25))</f>
        <v>1100.98</v>
      </c>
      <c r="Z25" s="279">
        <v>0</v>
      </c>
      <c r="AA25" s="278">
        <f t="shared" ref="AA25" si="12">SUM(Y25:Z25)</f>
        <v>1100.98</v>
      </c>
      <c r="AB25" s="278">
        <f t="shared" ref="AB25" si="13">M25+X25-AA25</f>
        <v>7906.52</v>
      </c>
      <c r="AC25" s="290"/>
      <c r="AG25" s="363"/>
    </row>
    <row r="26" spans="1:33" s="305" customFormat="1" ht="230.25" customHeight="1" x14ac:dyDescent="0.2">
      <c r="A26" s="365"/>
      <c r="B26" s="291" t="s">
        <v>340</v>
      </c>
      <c r="C26" s="285" t="s">
        <v>118</v>
      </c>
      <c r="D26" s="292" t="s">
        <v>344</v>
      </c>
      <c r="E26" s="293" t="s">
        <v>345</v>
      </c>
      <c r="F26" s="293" t="s">
        <v>346</v>
      </c>
      <c r="G26" s="338">
        <v>45200</v>
      </c>
      <c r="H26" s="273" t="s">
        <v>347</v>
      </c>
      <c r="I26" s="274">
        <v>15</v>
      </c>
      <c r="J26" s="275">
        <f>K26/I26</f>
        <v>275.06666666666666</v>
      </c>
      <c r="K26" s="276">
        <v>4126</v>
      </c>
      <c r="L26" s="277">
        <v>0</v>
      </c>
      <c r="M26" s="278">
        <f>SUM(K26:L26)</f>
        <v>4126</v>
      </c>
      <c r="N26" s="300">
        <f>IF(K26/15&lt;=SMG,0,L26/2)</f>
        <v>0</v>
      </c>
      <c r="O26" s="321">
        <f>(K26+N26)/I26*30.4</f>
        <v>8362.0266666666666</v>
      </c>
      <c r="P26" s="321">
        <f>VLOOKUP(O26,Tarifa,1)</f>
        <v>6332.06</v>
      </c>
      <c r="Q26" s="300">
        <f>O26-P26</f>
        <v>2029.9666666666662</v>
      </c>
      <c r="R26" s="301">
        <f>VLOOKUP(O26,Tarifa,3)</f>
        <v>0.10879999999999999</v>
      </c>
      <c r="S26" s="300">
        <f>Q26*R26</f>
        <v>220.86037333333329</v>
      </c>
      <c r="T26" s="302">
        <f>VLOOKUP(O26,Tarifa,2)</f>
        <v>371.83</v>
      </c>
      <c r="U26" s="300">
        <f>S26+T26</f>
        <v>592.69037333333324</v>
      </c>
      <c r="V26" s="300">
        <f>VLOOKUP(O26,Credito,2)</f>
        <v>475</v>
      </c>
      <c r="W26" s="300">
        <f>ROUND((U26-V26)/30.4*I26,2)</f>
        <v>58.07</v>
      </c>
      <c r="X26" s="278">
        <f>-IF(W26&gt;0,0,0)</f>
        <v>0</v>
      </c>
      <c r="Y26" s="278">
        <f>IF(K26/15&lt;=SMG,0,IF(W26&lt;0,0,W26))</f>
        <v>0</v>
      </c>
      <c r="Z26" s="279">
        <v>0</v>
      </c>
      <c r="AA26" s="278">
        <f>SUM(Y26:Z26)</f>
        <v>0</v>
      </c>
      <c r="AB26" s="278">
        <f>M26+X26-AA26</f>
        <v>4126</v>
      </c>
      <c r="AC26" s="290"/>
      <c r="AG26" s="363"/>
    </row>
    <row r="27" spans="1:33" s="52" customFormat="1" ht="47.25" customHeight="1" x14ac:dyDescent="0.25">
      <c r="A27" s="157"/>
      <c r="B27" s="206" t="s">
        <v>97</v>
      </c>
      <c r="C27" s="206" t="s">
        <v>124</v>
      </c>
      <c r="D27" s="206" t="s">
        <v>468</v>
      </c>
      <c r="E27" s="252" t="s">
        <v>98</v>
      </c>
      <c r="F27" s="252" t="s">
        <v>229</v>
      </c>
      <c r="G27" s="206" t="s">
        <v>291</v>
      </c>
      <c r="H27" s="252" t="s">
        <v>61</v>
      </c>
      <c r="I27" s="252"/>
      <c r="J27" s="252"/>
      <c r="K27" s="253">
        <f>SUM(K28)</f>
        <v>6207.5</v>
      </c>
      <c r="L27" s="253">
        <f>SUM(L28)</f>
        <v>0</v>
      </c>
      <c r="M27" s="253">
        <f>SUM(M28)</f>
        <v>6207.5</v>
      </c>
      <c r="N27" s="252"/>
      <c r="O27" s="252"/>
      <c r="P27" s="252"/>
      <c r="Q27" s="252"/>
      <c r="R27" s="252"/>
      <c r="S27" s="252"/>
      <c r="T27" s="254"/>
      <c r="U27" s="252"/>
      <c r="V27" s="252"/>
      <c r="W27" s="252"/>
      <c r="X27" s="253">
        <f>SUM(X28)</f>
        <v>0</v>
      </c>
      <c r="Y27" s="253">
        <f>SUM(Y28)</f>
        <v>555.61</v>
      </c>
      <c r="Z27" s="253">
        <f>SUM(Z28)</f>
        <v>0</v>
      </c>
      <c r="AA27" s="253">
        <f>SUM(AA28)</f>
        <v>555.61</v>
      </c>
      <c r="AB27" s="253">
        <f>SUM(AB28)</f>
        <v>5651.89</v>
      </c>
      <c r="AC27" s="182"/>
      <c r="AG27" s="66"/>
    </row>
    <row r="28" spans="1:33" s="305" customFormat="1" ht="230.25" customHeight="1" x14ac:dyDescent="0.2">
      <c r="A28" s="365"/>
      <c r="B28" s="291" t="s">
        <v>469</v>
      </c>
      <c r="C28" s="285" t="s">
        <v>118</v>
      </c>
      <c r="D28" s="270" t="s">
        <v>470</v>
      </c>
      <c r="E28" s="271" t="s">
        <v>471</v>
      </c>
      <c r="F28" s="271" t="s">
        <v>472</v>
      </c>
      <c r="G28" s="272">
        <v>45566</v>
      </c>
      <c r="H28" s="273" t="s">
        <v>473</v>
      </c>
      <c r="I28" s="274">
        <v>15</v>
      </c>
      <c r="J28" s="275">
        <f>K28/I28</f>
        <v>413.83333333333331</v>
      </c>
      <c r="K28" s="276">
        <v>6207.5</v>
      </c>
      <c r="L28" s="277">
        <v>0</v>
      </c>
      <c r="M28" s="278">
        <f>SUM(K28:L28)</f>
        <v>6207.5</v>
      </c>
      <c r="N28" s="300">
        <f>IF(K28/15&lt;=SMG,0,L28/2)</f>
        <v>0</v>
      </c>
      <c r="O28" s="321">
        <f>(K28+N28)/I28*30.4</f>
        <v>12580.533333333333</v>
      </c>
      <c r="P28" s="321">
        <f>VLOOKUP(O28,Tarifa,1)</f>
        <v>11128.02</v>
      </c>
      <c r="Q28" s="300">
        <f>O28-P28</f>
        <v>1452.5133333333324</v>
      </c>
      <c r="R28" s="301">
        <f>VLOOKUP(O28,Tarifa,3)</f>
        <v>0.16</v>
      </c>
      <c r="S28" s="300">
        <f>Q28*R28</f>
        <v>232.40213333333318</v>
      </c>
      <c r="T28" s="302">
        <f>VLOOKUP(O28,Tarifa,2)</f>
        <v>893.63</v>
      </c>
      <c r="U28" s="300">
        <f>S28+T28</f>
        <v>1126.0321333333331</v>
      </c>
      <c r="V28" s="300">
        <f>VLOOKUP(O28,Credito,2)</f>
        <v>0</v>
      </c>
      <c r="W28" s="300">
        <f>ROUND((U28-V28)/30.4*I28,2)</f>
        <v>555.61</v>
      </c>
      <c r="X28" s="278">
        <f>-IF(W28&gt;0,0,0)</f>
        <v>0</v>
      </c>
      <c r="Y28" s="278">
        <f>IF(K28/15&lt;=SMG,0,IF(W28&lt;0,0,W28))</f>
        <v>555.61</v>
      </c>
      <c r="Z28" s="279">
        <v>0</v>
      </c>
      <c r="AA28" s="278">
        <f>SUM(Y28:Z28)</f>
        <v>555.61</v>
      </c>
      <c r="AB28" s="278">
        <f>M28+X28-AA28</f>
        <v>5651.89</v>
      </c>
      <c r="AC28" s="280"/>
      <c r="AG28" s="363"/>
    </row>
    <row r="29" spans="1:33" s="305" customFormat="1" ht="118.5" customHeight="1" x14ac:dyDescent="0.3">
      <c r="A29" s="365"/>
      <c r="B29" s="206" t="s">
        <v>97</v>
      </c>
      <c r="C29" s="206" t="s">
        <v>124</v>
      </c>
      <c r="D29" s="233" t="s">
        <v>127</v>
      </c>
      <c r="E29" s="234" t="s">
        <v>98</v>
      </c>
      <c r="F29" s="234" t="s">
        <v>229</v>
      </c>
      <c r="G29" s="233" t="s">
        <v>291</v>
      </c>
      <c r="H29" s="234" t="s">
        <v>61</v>
      </c>
      <c r="I29" s="234"/>
      <c r="J29" s="234"/>
      <c r="K29" s="235">
        <f>SUM(K30)</f>
        <v>7730</v>
      </c>
      <c r="L29" s="235">
        <f>SUM(L30)</f>
        <v>0</v>
      </c>
      <c r="M29" s="235">
        <f>SUM(M30)</f>
        <v>7730</v>
      </c>
      <c r="N29" s="234"/>
      <c r="O29" s="234"/>
      <c r="P29" s="234"/>
      <c r="Q29" s="234"/>
      <c r="R29" s="234"/>
      <c r="S29" s="234"/>
      <c r="T29" s="236"/>
      <c r="U29" s="234"/>
      <c r="V29" s="234"/>
      <c r="W29" s="234"/>
      <c r="X29" s="235">
        <f>SUM(X30)</f>
        <v>0</v>
      </c>
      <c r="Y29" s="235">
        <f>SUM(Y30)</f>
        <v>828.1</v>
      </c>
      <c r="Z29" s="235">
        <f>SUM(Z30)</f>
        <v>0</v>
      </c>
      <c r="AA29" s="235">
        <f>SUM(AA30)</f>
        <v>828.1</v>
      </c>
      <c r="AB29" s="235">
        <f>SUM(AB30)</f>
        <v>6901.9</v>
      </c>
      <c r="AC29" s="182"/>
      <c r="AG29" s="363"/>
    </row>
    <row r="30" spans="1:33" s="305" customFormat="1" ht="234" customHeight="1" x14ac:dyDescent="0.2">
      <c r="A30" s="365"/>
      <c r="B30" s="291" t="s">
        <v>460</v>
      </c>
      <c r="C30" s="285" t="s">
        <v>118</v>
      </c>
      <c r="D30" s="270" t="s">
        <v>457</v>
      </c>
      <c r="E30" s="271" t="s">
        <v>458</v>
      </c>
      <c r="F30" s="271" t="s">
        <v>459</v>
      </c>
      <c r="G30" s="272">
        <v>45566</v>
      </c>
      <c r="H30" s="273" t="s">
        <v>96</v>
      </c>
      <c r="I30" s="274">
        <v>15</v>
      </c>
      <c r="J30" s="275">
        <f>K30/I30</f>
        <v>515.33333333333337</v>
      </c>
      <c r="K30" s="276">
        <v>7730</v>
      </c>
      <c r="L30" s="277">
        <v>0</v>
      </c>
      <c r="M30" s="278">
        <f>SUM(K30:L30)</f>
        <v>7730</v>
      </c>
      <c r="N30" s="300">
        <f>IF(K30/15&lt;=SMG,0,L30/2)</f>
        <v>0</v>
      </c>
      <c r="O30" s="321">
        <f>(K30+N30)/I30*30.4</f>
        <v>15666.133333333333</v>
      </c>
      <c r="P30" s="321">
        <f>VLOOKUP(O30,Tarifa,1)</f>
        <v>15487.72</v>
      </c>
      <c r="Q30" s="300">
        <f>O30-P30</f>
        <v>178.41333333333387</v>
      </c>
      <c r="R30" s="301">
        <f>VLOOKUP(O30,Tarifa,3)</f>
        <v>0.21360000000000001</v>
      </c>
      <c r="S30" s="300">
        <f>Q30*R30</f>
        <v>38.109088000000114</v>
      </c>
      <c r="T30" s="302">
        <f>VLOOKUP(O30,Tarifa,2)</f>
        <v>1640.18</v>
      </c>
      <c r="U30" s="300">
        <f>S30+T30</f>
        <v>1678.2890880000002</v>
      </c>
      <c r="V30" s="300">
        <f>VLOOKUP(O30,Credito,2)</f>
        <v>0</v>
      </c>
      <c r="W30" s="300">
        <f>ROUND((U30-V30)/30.4*I30,2)</f>
        <v>828.1</v>
      </c>
      <c r="X30" s="278">
        <f>-IF(W30&gt;0,0,0)</f>
        <v>0</v>
      </c>
      <c r="Y30" s="278">
        <f>IF(K30/15&lt;=SMG,0,IF(W30&lt;0,0,W30))</f>
        <v>828.1</v>
      </c>
      <c r="Z30" s="279">
        <v>0</v>
      </c>
      <c r="AA30" s="278">
        <f>SUM(Y30:Z30)</f>
        <v>828.1</v>
      </c>
      <c r="AB30" s="278">
        <f>M30+X30-AA30</f>
        <v>6901.9</v>
      </c>
      <c r="AC30" s="280"/>
      <c r="AG30" s="363"/>
    </row>
    <row r="31" spans="1:33" s="305" customFormat="1" ht="35.25" customHeight="1" x14ac:dyDescent="0.2">
      <c r="A31" s="365"/>
      <c r="B31" s="421"/>
      <c r="C31" s="422"/>
      <c r="D31" s="423"/>
      <c r="E31" s="424"/>
      <c r="F31" s="424"/>
      <c r="G31" s="425"/>
      <c r="H31" s="426"/>
      <c r="I31" s="427"/>
      <c r="J31" s="428"/>
      <c r="K31" s="429"/>
      <c r="L31" s="430"/>
      <c r="M31" s="431"/>
      <c r="N31" s="401"/>
      <c r="O31" s="402"/>
      <c r="P31" s="402"/>
      <c r="Q31" s="401"/>
      <c r="R31" s="403"/>
      <c r="S31" s="401"/>
      <c r="T31" s="404"/>
      <c r="U31" s="401"/>
      <c r="V31" s="401"/>
      <c r="W31" s="401"/>
      <c r="X31" s="431"/>
      <c r="Y31" s="431"/>
      <c r="Z31" s="432"/>
      <c r="AA31" s="431"/>
      <c r="AB31" s="431"/>
      <c r="AC31" s="433"/>
      <c r="AG31" s="363"/>
    </row>
    <row r="32" spans="1:33" s="305" customFormat="1" ht="35.25" customHeight="1" x14ac:dyDescent="0.2">
      <c r="A32" s="365"/>
      <c r="B32" s="421"/>
      <c r="C32" s="422"/>
      <c r="D32" s="423"/>
      <c r="E32" s="424"/>
      <c r="F32" s="424"/>
      <c r="G32" s="425"/>
      <c r="H32" s="426"/>
      <c r="I32" s="427"/>
      <c r="J32" s="428"/>
      <c r="K32" s="429"/>
      <c r="L32" s="430"/>
      <c r="M32" s="431"/>
      <c r="N32" s="401"/>
      <c r="O32" s="402"/>
      <c r="P32" s="402"/>
      <c r="Q32" s="401"/>
      <c r="R32" s="403"/>
      <c r="S32" s="401"/>
      <c r="T32" s="404"/>
      <c r="U32" s="401"/>
      <c r="V32" s="401"/>
      <c r="W32" s="401"/>
      <c r="X32" s="431"/>
      <c r="Y32" s="431"/>
      <c r="Z32" s="432"/>
      <c r="AA32" s="431"/>
      <c r="AB32" s="431"/>
      <c r="AC32" s="433"/>
      <c r="AG32" s="363"/>
    </row>
    <row r="33" spans="1:33" s="52" customFormat="1" ht="45" customHeight="1" x14ac:dyDescent="0.25">
      <c r="A33" s="157"/>
      <c r="B33" s="455" t="s">
        <v>77</v>
      </c>
      <c r="C33" s="455"/>
      <c r="D33" s="455"/>
      <c r="E33" s="455"/>
      <c r="F33" s="455"/>
      <c r="G33" s="455"/>
      <c r="H33" s="455"/>
      <c r="I33" s="455"/>
      <c r="J33" s="455"/>
      <c r="K33" s="455"/>
      <c r="L33" s="455"/>
      <c r="M33" s="455"/>
      <c r="N33" s="455"/>
      <c r="O33" s="455"/>
      <c r="P33" s="455"/>
      <c r="Q33" s="455"/>
      <c r="R33" s="455"/>
      <c r="S33" s="455"/>
      <c r="T33" s="455"/>
      <c r="U33" s="455"/>
      <c r="V33" s="455"/>
      <c r="W33" s="455"/>
      <c r="X33" s="455"/>
      <c r="Y33" s="455"/>
      <c r="Z33" s="455"/>
      <c r="AA33" s="455"/>
      <c r="AB33" s="455"/>
      <c r="AC33" s="455"/>
      <c r="AG33" s="66"/>
    </row>
    <row r="34" spans="1:33" s="52" customFormat="1" ht="33.75" customHeight="1" x14ac:dyDescent="0.25">
      <c r="A34" s="157"/>
      <c r="B34" s="455" t="s">
        <v>64</v>
      </c>
      <c r="C34" s="455"/>
      <c r="D34" s="455"/>
      <c r="E34" s="455"/>
      <c r="F34" s="455"/>
      <c r="G34" s="455"/>
      <c r="H34" s="455"/>
      <c r="I34" s="455"/>
      <c r="J34" s="455"/>
      <c r="K34" s="455"/>
      <c r="L34" s="455"/>
      <c r="M34" s="455"/>
      <c r="N34" s="455"/>
      <c r="O34" s="455"/>
      <c r="P34" s="455"/>
      <c r="Q34" s="455"/>
      <c r="R34" s="455"/>
      <c r="S34" s="455"/>
      <c r="T34" s="455"/>
      <c r="U34" s="455"/>
      <c r="V34" s="455"/>
      <c r="W34" s="455"/>
      <c r="X34" s="455"/>
      <c r="Y34" s="455"/>
      <c r="Z34" s="455"/>
      <c r="AA34" s="455"/>
      <c r="AB34" s="455"/>
      <c r="AC34" s="455"/>
      <c r="AG34" s="66"/>
    </row>
    <row r="35" spans="1:33" s="52" customFormat="1" ht="42" customHeight="1" x14ac:dyDescent="0.25">
      <c r="A35" s="157"/>
      <c r="B35" s="494" t="str">
        <f>PRESIDENCIA!A3</f>
        <v>SUELDO  DEL 16 AL 30 DE ABRIL DE 2025</v>
      </c>
      <c r="C35" s="456"/>
      <c r="D35" s="456"/>
      <c r="E35" s="456"/>
      <c r="F35" s="456"/>
      <c r="G35" s="456"/>
      <c r="H35" s="456"/>
      <c r="I35" s="456"/>
      <c r="J35" s="456"/>
      <c r="K35" s="456"/>
      <c r="L35" s="456"/>
      <c r="M35" s="456"/>
      <c r="N35" s="456"/>
      <c r="O35" s="456"/>
      <c r="P35" s="456"/>
      <c r="Q35" s="456"/>
      <c r="R35" s="456"/>
      <c r="S35" s="456"/>
      <c r="T35" s="456"/>
      <c r="U35" s="456"/>
      <c r="V35" s="456"/>
      <c r="W35" s="456"/>
      <c r="X35" s="456"/>
      <c r="Y35" s="456"/>
      <c r="Z35" s="456"/>
      <c r="AA35" s="456"/>
      <c r="AB35" s="456"/>
      <c r="AC35" s="456"/>
      <c r="AG35" s="66"/>
    </row>
    <row r="36" spans="1:33" s="52" customFormat="1" ht="25.5" customHeight="1" x14ac:dyDescent="0.3">
      <c r="A36" s="157"/>
      <c r="B36" s="246"/>
      <c r="C36" s="216"/>
      <c r="D36" s="217"/>
      <c r="E36" s="218"/>
      <c r="F36" s="218"/>
      <c r="G36" s="219"/>
      <c r="H36" s="207"/>
      <c r="I36" s="220"/>
      <c r="J36" s="221"/>
      <c r="K36" s="222"/>
      <c r="L36" s="223"/>
      <c r="M36" s="224"/>
      <c r="N36" s="225"/>
      <c r="O36" s="225"/>
      <c r="P36" s="225"/>
      <c r="Q36" s="225"/>
      <c r="R36" s="226"/>
      <c r="S36" s="225"/>
      <c r="T36" s="227"/>
      <c r="U36" s="225"/>
      <c r="V36" s="225"/>
      <c r="W36" s="225"/>
      <c r="X36" s="224"/>
      <c r="Y36" s="224"/>
      <c r="Z36" s="228"/>
      <c r="AA36" s="224"/>
      <c r="AB36" s="224"/>
      <c r="AC36" s="91"/>
      <c r="AG36" s="66"/>
    </row>
    <row r="37" spans="1:33" s="108" customFormat="1" ht="57.75" customHeight="1" x14ac:dyDescent="0.3">
      <c r="A37" s="162"/>
      <c r="B37" s="148" t="s">
        <v>97</v>
      </c>
      <c r="C37" s="148" t="s">
        <v>124</v>
      </c>
      <c r="D37" s="230" t="s">
        <v>142</v>
      </c>
      <c r="E37" s="230" t="s">
        <v>98</v>
      </c>
      <c r="F37" s="230" t="s">
        <v>229</v>
      </c>
      <c r="G37" s="229" t="s">
        <v>291</v>
      </c>
      <c r="H37" s="230" t="s">
        <v>61</v>
      </c>
      <c r="I37" s="230"/>
      <c r="J37" s="230"/>
      <c r="K37" s="231">
        <f>SUM(K38:K53)</f>
        <v>81843.919999999984</v>
      </c>
      <c r="L37" s="231">
        <f>SUM(L38:L53)</f>
        <v>0</v>
      </c>
      <c r="M37" s="231">
        <f>SUM(M38:M53)</f>
        <v>81843.919999999984</v>
      </c>
      <c r="N37" s="230"/>
      <c r="O37" s="230"/>
      <c r="P37" s="230"/>
      <c r="Q37" s="230"/>
      <c r="R37" s="230"/>
      <c r="S37" s="230"/>
      <c r="T37" s="232"/>
      <c r="U37" s="230"/>
      <c r="V37" s="230"/>
      <c r="W37" s="230"/>
      <c r="X37" s="231">
        <f>SUM(X38:X53)</f>
        <v>0</v>
      </c>
      <c r="Y37" s="231">
        <f>SUM(Y38:Y53)</f>
        <v>8540.1200000000008</v>
      </c>
      <c r="Z37" s="231">
        <f>SUM(Z38:Z53)</f>
        <v>0</v>
      </c>
      <c r="AA37" s="231">
        <f>SUM(AA38:AA53)</f>
        <v>8540.1200000000008</v>
      </c>
      <c r="AB37" s="231">
        <f>SUM(AB38:AB53)</f>
        <v>73303.8</v>
      </c>
      <c r="AC37" s="184"/>
    </row>
    <row r="38" spans="1:33" s="366" customFormat="1" ht="230.25" customHeight="1" x14ac:dyDescent="0.2">
      <c r="A38" s="367"/>
      <c r="B38" s="291" t="s">
        <v>160</v>
      </c>
      <c r="C38" s="285" t="s">
        <v>118</v>
      </c>
      <c r="D38" s="270" t="s">
        <v>144</v>
      </c>
      <c r="E38" s="293" t="s">
        <v>156</v>
      </c>
      <c r="F38" s="293" t="s">
        <v>244</v>
      </c>
      <c r="G38" s="338">
        <v>43101</v>
      </c>
      <c r="H38" s="273" t="s">
        <v>456</v>
      </c>
      <c r="I38" s="274">
        <v>15</v>
      </c>
      <c r="J38" s="275">
        <f>K38/I38</f>
        <v>515.33333333333337</v>
      </c>
      <c r="K38" s="276">
        <v>7730</v>
      </c>
      <c r="L38" s="277">
        <v>0</v>
      </c>
      <c r="M38" s="278">
        <f>SUM(K38:L38)</f>
        <v>7730</v>
      </c>
      <c r="N38" s="300">
        <f>IF(K38/15&lt;=SMG,0,L38/2)</f>
        <v>0</v>
      </c>
      <c r="O38" s="321">
        <f>(K38+N38)/I38*30.4</f>
        <v>15666.133333333333</v>
      </c>
      <c r="P38" s="321">
        <f>VLOOKUP(O38,Tarifa,1)</f>
        <v>15487.72</v>
      </c>
      <c r="Q38" s="300">
        <f>O38-P38</f>
        <v>178.41333333333387</v>
      </c>
      <c r="R38" s="301">
        <f>VLOOKUP(O38,Tarifa,3)</f>
        <v>0.21360000000000001</v>
      </c>
      <c r="S38" s="300">
        <f>Q38*R38</f>
        <v>38.109088000000114</v>
      </c>
      <c r="T38" s="302">
        <f>VLOOKUP(O38,Tarifa,2)</f>
        <v>1640.18</v>
      </c>
      <c r="U38" s="300">
        <f>S38+T38</f>
        <v>1678.2890880000002</v>
      </c>
      <c r="V38" s="300">
        <f>VLOOKUP(O38,Credito,2)</f>
        <v>0</v>
      </c>
      <c r="W38" s="300">
        <f>ROUND((U38-V38)/30.4*I38,2)</f>
        <v>828.1</v>
      </c>
      <c r="X38" s="278">
        <f>-IF(W38&gt;0,0,0)</f>
        <v>0</v>
      </c>
      <c r="Y38" s="278">
        <f>IF(K38/15&lt;=SMG,0,IF(W38&lt;0,0,W38))</f>
        <v>828.1</v>
      </c>
      <c r="Z38" s="279">
        <v>0</v>
      </c>
      <c r="AA38" s="278">
        <f>SUM(Y38:Z38)</f>
        <v>828.1</v>
      </c>
      <c r="AB38" s="278">
        <f>M38+X38-AA38</f>
        <v>6901.9</v>
      </c>
      <c r="AC38" s="368"/>
    </row>
    <row r="39" spans="1:33" s="366" customFormat="1" ht="230.25" customHeight="1" x14ac:dyDescent="0.2">
      <c r="A39" s="367"/>
      <c r="B39" s="291" t="s">
        <v>462</v>
      </c>
      <c r="C39" s="285" t="s">
        <v>118</v>
      </c>
      <c r="D39" s="270" t="s">
        <v>461</v>
      </c>
      <c r="E39" s="293" t="s">
        <v>463</v>
      </c>
      <c r="F39" s="293" t="s">
        <v>464</v>
      </c>
      <c r="G39" s="338">
        <v>45292</v>
      </c>
      <c r="H39" s="273" t="s">
        <v>145</v>
      </c>
      <c r="I39" s="274">
        <v>15</v>
      </c>
      <c r="J39" s="275">
        <f>K39/I39</f>
        <v>515.33333333333337</v>
      </c>
      <c r="K39" s="276">
        <v>7730</v>
      </c>
      <c r="L39" s="277">
        <v>0</v>
      </c>
      <c r="M39" s="278">
        <f>SUM(K39:L39)</f>
        <v>7730</v>
      </c>
      <c r="N39" s="300">
        <f>IF(K39/15&lt;=SMG,0,L39/2)</f>
        <v>0</v>
      </c>
      <c r="O39" s="321">
        <f>(K39+N39)/I39*30.4</f>
        <v>15666.133333333333</v>
      </c>
      <c r="P39" s="321">
        <f>VLOOKUP(O39,Tarifa,1)</f>
        <v>15487.72</v>
      </c>
      <c r="Q39" s="300">
        <f>O39-P39</f>
        <v>178.41333333333387</v>
      </c>
      <c r="R39" s="301">
        <f>VLOOKUP(O39,Tarifa,3)</f>
        <v>0.21360000000000001</v>
      </c>
      <c r="S39" s="300">
        <f>Q39*R39</f>
        <v>38.109088000000114</v>
      </c>
      <c r="T39" s="302">
        <f>VLOOKUP(O39,Tarifa,2)</f>
        <v>1640.18</v>
      </c>
      <c r="U39" s="300">
        <f>S39+T39</f>
        <v>1678.2890880000002</v>
      </c>
      <c r="V39" s="300">
        <f>VLOOKUP(O39,Credito,2)</f>
        <v>0</v>
      </c>
      <c r="W39" s="300">
        <f>ROUND((U39-V39)/30.4*I39,2)</f>
        <v>828.1</v>
      </c>
      <c r="X39" s="278">
        <f>-IF(W39&gt;0,0,0)</f>
        <v>0</v>
      </c>
      <c r="Y39" s="278">
        <f>IF(K39/15&lt;=SMG,0,IF(W39&lt;0,0,W39))</f>
        <v>828.1</v>
      </c>
      <c r="Z39" s="279">
        <v>0</v>
      </c>
      <c r="AA39" s="278">
        <f>SUM(Y39:Z39)</f>
        <v>828.1</v>
      </c>
      <c r="AB39" s="278">
        <f>M39+X39-AA39</f>
        <v>6901.9</v>
      </c>
      <c r="AC39" s="368"/>
    </row>
    <row r="40" spans="1:33" s="366" customFormat="1" ht="230.25" customHeight="1" x14ac:dyDescent="0.2">
      <c r="A40" s="367"/>
      <c r="B40" s="291" t="s">
        <v>632</v>
      </c>
      <c r="C40" s="285" t="s">
        <v>118</v>
      </c>
      <c r="D40" s="270" t="s">
        <v>634</v>
      </c>
      <c r="E40" s="293" t="s">
        <v>635</v>
      </c>
      <c r="F40" s="293" t="s">
        <v>636</v>
      </c>
      <c r="G40" s="338">
        <v>45732</v>
      </c>
      <c r="H40" s="288" t="s">
        <v>645</v>
      </c>
      <c r="I40" s="289">
        <v>15</v>
      </c>
      <c r="J40" s="324">
        <f>ROUND(K40/I40,2)</f>
        <v>566.04</v>
      </c>
      <c r="K40" s="297">
        <v>8490.56</v>
      </c>
      <c r="L40" s="298">
        <v>0</v>
      </c>
      <c r="M40" s="299">
        <f t="shared" ref="M40" si="14">SUM(K40:L40)</f>
        <v>8490.56</v>
      </c>
      <c r="N40" s="300">
        <f>IF(K40/15&lt;=SMG,0,L40/2)</f>
        <v>0</v>
      </c>
      <c r="O40" s="321">
        <f>(K40+N40)/I40*30.4</f>
        <v>17207.534933333332</v>
      </c>
      <c r="P40" s="321">
        <f>VLOOKUP(O40,Tarifa,1)</f>
        <v>15487.72</v>
      </c>
      <c r="Q40" s="300">
        <f>O40-P40</f>
        <v>1719.8149333333331</v>
      </c>
      <c r="R40" s="301">
        <f>VLOOKUP(O40,Tarifa,3)</f>
        <v>0.21360000000000001</v>
      </c>
      <c r="S40" s="300">
        <f>Q40*R40</f>
        <v>367.35246975999996</v>
      </c>
      <c r="T40" s="302">
        <f>VLOOKUP(O40,Tarifa,2)</f>
        <v>1640.18</v>
      </c>
      <c r="U40" s="300">
        <f>S40+T40</f>
        <v>2007.5324697599999</v>
      </c>
      <c r="V40" s="300">
        <f>VLOOKUP(O40,Credito,2)</f>
        <v>0</v>
      </c>
      <c r="W40" s="300">
        <f>ROUND((U40-V40)/30.4*I40,2)</f>
        <v>990.56</v>
      </c>
      <c r="X40" s="299">
        <f>-IF(W40&gt;0,0,0)</f>
        <v>0</v>
      </c>
      <c r="Y40" s="299">
        <f t="shared" ref="Y40" si="15">IF(K40/15&lt;=SMG,0,IF(W40&lt;0,0,W40))</f>
        <v>990.56</v>
      </c>
      <c r="Z40" s="303">
        <v>0</v>
      </c>
      <c r="AA40" s="299">
        <f t="shared" ref="AA40" si="16">SUM(Y40:Z40)</f>
        <v>990.56</v>
      </c>
      <c r="AB40" s="299">
        <f t="shared" ref="AB40" si="17">M40+X40-AA40</f>
        <v>7500</v>
      </c>
      <c r="AC40" s="368"/>
    </row>
    <row r="41" spans="1:33" s="366" customFormat="1" ht="230.25" customHeight="1" x14ac:dyDescent="0.2">
      <c r="A41" s="367"/>
      <c r="B41" s="291" t="s">
        <v>633</v>
      </c>
      <c r="C41" s="285" t="s">
        <v>118</v>
      </c>
      <c r="D41" s="270" t="s">
        <v>637</v>
      </c>
      <c r="E41" s="293" t="s">
        <v>638</v>
      </c>
      <c r="F41" s="293" t="s">
        <v>639</v>
      </c>
      <c r="G41" s="338">
        <v>45732</v>
      </c>
      <c r="H41" s="288" t="s">
        <v>645</v>
      </c>
      <c r="I41" s="274">
        <v>15</v>
      </c>
      <c r="J41" s="275">
        <f>K41/I41</f>
        <v>482.44466666666665</v>
      </c>
      <c r="K41" s="276">
        <v>7236.67</v>
      </c>
      <c r="L41" s="277">
        <v>0</v>
      </c>
      <c r="M41" s="278">
        <f>SUM(K41:L41)</f>
        <v>7236.67</v>
      </c>
      <c r="N41" s="300">
        <f>IF(K41/15&lt;=SMG,0,L41/2)</f>
        <v>0</v>
      </c>
      <c r="O41" s="321">
        <f>(K41+N41)/I41*30.4</f>
        <v>14666.317866666666</v>
      </c>
      <c r="P41" s="321">
        <f>VLOOKUP(O41,Tarifa,1)</f>
        <v>12935.83</v>
      </c>
      <c r="Q41" s="300">
        <f>O41-P41</f>
        <v>1730.4878666666664</v>
      </c>
      <c r="R41" s="301">
        <f>VLOOKUP(O41,Tarifa,3)</f>
        <v>0.1792</v>
      </c>
      <c r="S41" s="300">
        <f>Q41*R41</f>
        <v>310.1034257066666</v>
      </c>
      <c r="T41" s="302">
        <f>VLOOKUP(O41,Tarifa,2)</f>
        <v>1182.8800000000001</v>
      </c>
      <c r="U41" s="300">
        <f>S41+T41</f>
        <v>1492.9834257066668</v>
      </c>
      <c r="V41" s="300">
        <f>VLOOKUP(O41,Credito,2)</f>
        <v>0</v>
      </c>
      <c r="W41" s="300">
        <f>ROUND((U41-V41)/30.4*I41,2)</f>
        <v>736.67</v>
      </c>
      <c r="X41" s="278">
        <f>-IF(W41&gt;0,0,0)</f>
        <v>0</v>
      </c>
      <c r="Y41" s="278">
        <f>IF(K41/15&lt;=SMG,0,IF(W41&lt;0,0,W41))</f>
        <v>736.67</v>
      </c>
      <c r="Z41" s="279">
        <v>0</v>
      </c>
      <c r="AA41" s="278">
        <f>SUM(Y41:Z41)</f>
        <v>736.67</v>
      </c>
      <c r="AB41" s="278">
        <f>M41+X41-AA41</f>
        <v>6500</v>
      </c>
      <c r="AC41" s="368"/>
    </row>
    <row r="42" spans="1:33" s="366" customFormat="1" ht="230.25" customHeight="1" x14ac:dyDescent="0.2">
      <c r="A42" s="438"/>
      <c r="B42" s="291" t="s">
        <v>643</v>
      </c>
      <c r="C42" s="285" t="s">
        <v>519</v>
      </c>
      <c r="D42" s="270" t="s">
        <v>640</v>
      </c>
      <c r="E42" s="293" t="s">
        <v>641</v>
      </c>
      <c r="F42" s="293" t="s">
        <v>642</v>
      </c>
      <c r="G42" s="338">
        <v>45732</v>
      </c>
      <c r="H42" s="288" t="s">
        <v>645</v>
      </c>
      <c r="I42" s="274">
        <v>15</v>
      </c>
      <c r="J42" s="275">
        <f t="shared" ref="J42:J43" si="18">K42/I42</f>
        <v>482.44466666666665</v>
      </c>
      <c r="K42" s="276">
        <v>7236.67</v>
      </c>
      <c r="L42" s="277">
        <v>0</v>
      </c>
      <c r="M42" s="278">
        <f t="shared" ref="M42:M43" si="19">SUM(K42:L42)</f>
        <v>7236.67</v>
      </c>
      <c r="N42" s="300">
        <f t="shared" ref="N42:N43" si="20">IF(K42/15&lt;=SMG,0,L42/2)</f>
        <v>0</v>
      </c>
      <c r="O42" s="321">
        <f t="shared" ref="O42:O43" si="21">(K42+N42)/I42*30.4</f>
        <v>14666.317866666666</v>
      </c>
      <c r="P42" s="321">
        <f t="shared" ref="P42:P43" si="22">VLOOKUP(O42,Tarifa,1)</f>
        <v>12935.83</v>
      </c>
      <c r="Q42" s="300">
        <f t="shared" ref="Q42:Q43" si="23">O42-P42</f>
        <v>1730.4878666666664</v>
      </c>
      <c r="R42" s="301">
        <f t="shared" ref="R42:R43" si="24">VLOOKUP(O42,Tarifa,3)</f>
        <v>0.1792</v>
      </c>
      <c r="S42" s="300">
        <f t="shared" ref="S42:S43" si="25">Q42*R42</f>
        <v>310.1034257066666</v>
      </c>
      <c r="T42" s="302">
        <f t="shared" ref="T42:T43" si="26">VLOOKUP(O42,Tarifa,2)</f>
        <v>1182.8800000000001</v>
      </c>
      <c r="U42" s="300">
        <f t="shared" ref="U42:U43" si="27">S42+T42</f>
        <v>1492.9834257066668</v>
      </c>
      <c r="V42" s="300">
        <f t="shared" ref="V42:V43" si="28">VLOOKUP(O42,Credito,2)</f>
        <v>0</v>
      </c>
      <c r="W42" s="300">
        <f t="shared" ref="W42:W43" si="29">ROUND((U42-V42)/30.4*I42,2)</f>
        <v>736.67</v>
      </c>
      <c r="X42" s="278">
        <f t="shared" ref="X42:X43" si="30">-IF(W42&gt;0,0,0)</f>
        <v>0</v>
      </c>
      <c r="Y42" s="278">
        <f t="shared" ref="Y42:Y43" si="31">IF(K42/15&lt;=SMG,0,IF(W42&lt;0,0,W42))</f>
        <v>736.67</v>
      </c>
      <c r="Z42" s="279">
        <v>0</v>
      </c>
      <c r="AA42" s="278">
        <f t="shared" ref="AA42:AA43" si="32">SUM(Y42:Z42)</f>
        <v>736.67</v>
      </c>
      <c r="AB42" s="278">
        <f t="shared" ref="AB42:AB43" si="33">M42+X42-AA42</f>
        <v>6500</v>
      </c>
      <c r="AC42" s="368"/>
    </row>
    <row r="43" spans="1:33" s="366" customFormat="1" ht="230.25" customHeight="1" x14ac:dyDescent="0.2">
      <c r="A43" s="438"/>
      <c r="B43" s="291" t="s">
        <v>646</v>
      </c>
      <c r="C43" s="285" t="s">
        <v>519</v>
      </c>
      <c r="D43" s="270" t="s">
        <v>647</v>
      </c>
      <c r="E43" s="293" t="s">
        <v>648</v>
      </c>
      <c r="F43" s="293" t="s">
        <v>649</v>
      </c>
      <c r="G43" s="338">
        <v>45732</v>
      </c>
      <c r="H43" s="288" t="s">
        <v>645</v>
      </c>
      <c r="I43" s="274">
        <v>15</v>
      </c>
      <c r="J43" s="275">
        <f t="shared" si="18"/>
        <v>482.44466666666665</v>
      </c>
      <c r="K43" s="276">
        <v>7236.67</v>
      </c>
      <c r="L43" s="277">
        <v>0</v>
      </c>
      <c r="M43" s="278">
        <f t="shared" si="19"/>
        <v>7236.67</v>
      </c>
      <c r="N43" s="300">
        <f t="shared" si="20"/>
        <v>0</v>
      </c>
      <c r="O43" s="321">
        <f t="shared" si="21"/>
        <v>14666.317866666666</v>
      </c>
      <c r="P43" s="321">
        <f t="shared" si="22"/>
        <v>12935.83</v>
      </c>
      <c r="Q43" s="300">
        <f t="shared" si="23"/>
        <v>1730.4878666666664</v>
      </c>
      <c r="R43" s="301">
        <f t="shared" si="24"/>
        <v>0.1792</v>
      </c>
      <c r="S43" s="300">
        <f t="shared" si="25"/>
        <v>310.1034257066666</v>
      </c>
      <c r="T43" s="302">
        <f t="shared" si="26"/>
        <v>1182.8800000000001</v>
      </c>
      <c r="U43" s="300">
        <f t="shared" si="27"/>
        <v>1492.9834257066668</v>
      </c>
      <c r="V43" s="300">
        <f t="shared" si="28"/>
        <v>0</v>
      </c>
      <c r="W43" s="300">
        <f t="shared" si="29"/>
        <v>736.67</v>
      </c>
      <c r="X43" s="278">
        <f t="shared" si="30"/>
        <v>0</v>
      </c>
      <c r="Y43" s="278">
        <f t="shared" si="31"/>
        <v>736.67</v>
      </c>
      <c r="Z43" s="279">
        <v>0</v>
      </c>
      <c r="AA43" s="278">
        <f t="shared" si="32"/>
        <v>736.67</v>
      </c>
      <c r="AB43" s="278">
        <f t="shared" si="33"/>
        <v>6500</v>
      </c>
      <c r="AC43" s="368"/>
    </row>
    <row r="44" spans="1:33" s="366" customFormat="1" ht="42" customHeight="1" x14ac:dyDescent="0.2">
      <c r="A44" s="438"/>
      <c r="B44" s="421"/>
      <c r="C44" s="422"/>
      <c r="D44" s="423"/>
      <c r="E44" s="439"/>
      <c r="F44" s="439"/>
      <c r="G44" s="440"/>
      <c r="H44" s="441"/>
      <c r="I44" s="427"/>
      <c r="J44" s="428"/>
      <c r="K44" s="429"/>
      <c r="L44" s="430"/>
      <c r="M44" s="431"/>
      <c r="N44" s="401"/>
      <c r="O44" s="402"/>
      <c r="P44" s="402"/>
      <c r="Q44" s="401"/>
      <c r="R44" s="403"/>
      <c r="S44" s="401"/>
      <c r="T44" s="404"/>
      <c r="U44" s="401"/>
      <c r="V44" s="401"/>
      <c r="W44" s="401"/>
      <c r="X44" s="431"/>
      <c r="Y44" s="431"/>
      <c r="Z44" s="432"/>
      <c r="AA44" s="431"/>
      <c r="AB44" s="431"/>
      <c r="AC44" s="442"/>
    </row>
    <row r="45" spans="1:33" s="366" customFormat="1" ht="42" customHeight="1" x14ac:dyDescent="0.25">
      <c r="A45" s="438"/>
      <c r="B45" s="455" t="s">
        <v>77</v>
      </c>
      <c r="C45" s="455"/>
      <c r="D45" s="455"/>
      <c r="E45" s="455"/>
      <c r="F45" s="455"/>
      <c r="G45" s="455"/>
      <c r="H45" s="455"/>
      <c r="I45" s="455"/>
      <c r="J45" s="455"/>
      <c r="K45" s="455"/>
      <c r="L45" s="455"/>
      <c r="M45" s="455"/>
      <c r="N45" s="455"/>
      <c r="O45" s="455"/>
      <c r="P45" s="455"/>
      <c r="Q45" s="455"/>
      <c r="R45" s="455"/>
      <c r="S45" s="455"/>
      <c r="T45" s="455"/>
      <c r="U45" s="455"/>
      <c r="V45" s="455"/>
      <c r="W45" s="455"/>
      <c r="X45" s="455"/>
      <c r="Y45" s="455"/>
      <c r="Z45" s="455"/>
      <c r="AA45" s="455"/>
      <c r="AB45" s="455"/>
      <c r="AC45" s="455"/>
    </row>
    <row r="46" spans="1:33" s="366" customFormat="1" ht="42" customHeight="1" x14ac:dyDescent="0.25">
      <c r="A46" s="438"/>
      <c r="B46" s="455" t="s">
        <v>64</v>
      </c>
      <c r="C46" s="455"/>
      <c r="D46" s="455"/>
      <c r="E46" s="455"/>
      <c r="F46" s="455"/>
      <c r="G46" s="455"/>
      <c r="H46" s="455"/>
      <c r="I46" s="455"/>
      <c r="J46" s="455"/>
      <c r="K46" s="455"/>
      <c r="L46" s="455"/>
      <c r="M46" s="455"/>
      <c r="N46" s="455"/>
      <c r="O46" s="455"/>
      <c r="P46" s="455"/>
      <c r="Q46" s="455"/>
      <c r="R46" s="455"/>
      <c r="S46" s="455"/>
      <c r="T46" s="455"/>
      <c r="U46" s="455"/>
      <c r="V46" s="455"/>
      <c r="W46" s="455"/>
      <c r="X46" s="455"/>
      <c r="Y46" s="455"/>
      <c r="Z46" s="455"/>
      <c r="AA46" s="455"/>
      <c r="AB46" s="455"/>
      <c r="AC46" s="455"/>
    </row>
    <row r="47" spans="1:33" s="366" customFormat="1" ht="42" customHeight="1" x14ac:dyDescent="0.2">
      <c r="A47" s="438"/>
      <c r="B47" s="496" t="str">
        <f>PRESIDENCIA!A3</f>
        <v>SUELDO  DEL 16 AL 30 DE ABRIL DE 2025</v>
      </c>
      <c r="C47" s="496"/>
      <c r="D47" s="496"/>
      <c r="E47" s="496"/>
      <c r="F47" s="496"/>
      <c r="G47" s="496"/>
      <c r="H47" s="496"/>
      <c r="I47" s="496"/>
      <c r="J47" s="496"/>
      <c r="K47" s="496"/>
      <c r="L47" s="496"/>
      <c r="M47" s="496"/>
      <c r="N47" s="496"/>
      <c r="O47" s="496"/>
      <c r="P47" s="496"/>
      <c r="Q47" s="496"/>
      <c r="R47" s="496"/>
      <c r="S47" s="496"/>
      <c r="T47" s="496"/>
      <c r="U47" s="496"/>
      <c r="V47" s="496"/>
      <c r="W47" s="496"/>
      <c r="X47" s="496"/>
      <c r="Y47" s="496"/>
      <c r="Z47" s="496"/>
      <c r="AA47" s="496"/>
      <c r="AB47" s="496"/>
      <c r="AC47" s="496"/>
    </row>
    <row r="48" spans="1:33" s="366" customFormat="1" ht="19.5" customHeight="1" x14ac:dyDescent="0.2">
      <c r="A48" s="438"/>
      <c r="B48" s="421"/>
      <c r="C48" s="422"/>
      <c r="D48" s="423"/>
      <c r="E48" s="439"/>
      <c r="F48" s="439"/>
      <c r="G48" s="440"/>
      <c r="H48" s="441"/>
      <c r="I48" s="427"/>
      <c r="J48" s="428"/>
      <c r="K48" s="429"/>
      <c r="L48" s="430"/>
      <c r="M48" s="431"/>
      <c r="N48" s="401"/>
      <c r="O48" s="402"/>
      <c r="P48" s="402"/>
      <c r="Q48" s="401"/>
      <c r="R48" s="403"/>
      <c r="S48" s="401"/>
      <c r="T48" s="404"/>
      <c r="U48" s="401"/>
      <c r="V48" s="401"/>
      <c r="W48" s="401"/>
      <c r="X48" s="431"/>
      <c r="Y48" s="431"/>
      <c r="Z48" s="432"/>
      <c r="AA48" s="431"/>
      <c r="AB48" s="431"/>
      <c r="AC48" s="442"/>
    </row>
    <row r="49" spans="1:29" s="366" customFormat="1" ht="164.25" customHeight="1" x14ac:dyDescent="0.2">
      <c r="A49" s="367"/>
      <c r="B49" s="291" t="s">
        <v>650</v>
      </c>
      <c r="C49" s="285" t="s">
        <v>519</v>
      </c>
      <c r="D49" s="270" t="s">
        <v>651</v>
      </c>
      <c r="E49" s="293" t="s">
        <v>652</v>
      </c>
      <c r="F49" s="293" t="s">
        <v>653</v>
      </c>
      <c r="G49" s="338">
        <v>45732</v>
      </c>
      <c r="H49" s="288" t="s">
        <v>645</v>
      </c>
      <c r="I49" s="274">
        <v>15</v>
      </c>
      <c r="J49" s="275">
        <f t="shared" ref="J49:J53" si="34">K49/I49</f>
        <v>482.44466666666665</v>
      </c>
      <c r="K49" s="276">
        <v>7236.67</v>
      </c>
      <c r="L49" s="277">
        <v>0</v>
      </c>
      <c r="M49" s="278">
        <f t="shared" ref="M49:M53" si="35">SUM(K49:L49)</f>
        <v>7236.67</v>
      </c>
      <c r="N49" s="300">
        <f t="shared" ref="N49:N53" si="36">IF(K49/15&lt;=SMG,0,L49/2)</f>
        <v>0</v>
      </c>
      <c r="O49" s="321">
        <f t="shared" ref="O49:O53" si="37">(K49+N49)/I49*30.4</f>
        <v>14666.317866666666</v>
      </c>
      <c r="P49" s="321">
        <f t="shared" ref="P49:P53" si="38">VLOOKUP(O49,Tarifa,1)</f>
        <v>12935.83</v>
      </c>
      <c r="Q49" s="300">
        <f t="shared" ref="Q49:Q53" si="39">O49-P49</f>
        <v>1730.4878666666664</v>
      </c>
      <c r="R49" s="301">
        <f t="shared" ref="R49:R53" si="40">VLOOKUP(O49,Tarifa,3)</f>
        <v>0.1792</v>
      </c>
      <c r="S49" s="300">
        <f t="shared" ref="S49:S53" si="41">Q49*R49</f>
        <v>310.1034257066666</v>
      </c>
      <c r="T49" s="302">
        <f t="shared" ref="T49:T53" si="42">VLOOKUP(O49,Tarifa,2)</f>
        <v>1182.8800000000001</v>
      </c>
      <c r="U49" s="300">
        <f t="shared" ref="U49:U53" si="43">S49+T49</f>
        <v>1492.9834257066668</v>
      </c>
      <c r="V49" s="300">
        <f t="shared" ref="V49:V53" si="44">VLOOKUP(O49,Credito,2)</f>
        <v>0</v>
      </c>
      <c r="W49" s="300">
        <f t="shared" ref="W49:W53" si="45">ROUND((U49-V49)/30.4*I49,2)</f>
        <v>736.67</v>
      </c>
      <c r="X49" s="278">
        <f t="shared" ref="X49:X53" si="46">-IF(W49&gt;0,0,0)</f>
        <v>0</v>
      </c>
      <c r="Y49" s="278">
        <f t="shared" ref="Y49:Y53" si="47">IF(K49/15&lt;=SMG,0,IF(W49&lt;0,0,W49))</f>
        <v>736.67</v>
      </c>
      <c r="Z49" s="279">
        <v>0</v>
      </c>
      <c r="AA49" s="278">
        <f t="shared" ref="AA49:AA53" si="48">SUM(Y49:Z49)</f>
        <v>736.67</v>
      </c>
      <c r="AB49" s="278">
        <f t="shared" ref="AB49:AB53" si="49">M49+X49-AA49</f>
        <v>6500</v>
      </c>
      <c r="AC49" s="368"/>
    </row>
    <row r="50" spans="1:29" s="366" customFormat="1" ht="164.25" customHeight="1" x14ac:dyDescent="0.2">
      <c r="A50" s="367"/>
      <c r="B50" s="291" t="s">
        <v>654</v>
      </c>
      <c r="C50" s="285" t="s">
        <v>519</v>
      </c>
      <c r="D50" s="270" t="s">
        <v>657</v>
      </c>
      <c r="E50" s="293" t="s">
        <v>658</v>
      </c>
      <c r="F50" s="293" t="s">
        <v>659</v>
      </c>
      <c r="G50" s="338">
        <v>45732</v>
      </c>
      <c r="H50" s="288" t="s">
        <v>645</v>
      </c>
      <c r="I50" s="274">
        <v>15</v>
      </c>
      <c r="J50" s="275">
        <f t="shared" si="34"/>
        <v>482.44466666666665</v>
      </c>
      <c r="K50" s="276">
        <v>7236.67</v>
      </c>
      <c r="L50" s="277">
        <v>0</v>
      </c>
      <c r="M50" s="278">
        <f t="shared" si="35"/>
        <v>7236.67</v>
      </c>
      <c r="N50" s="300">
        <f t="shared" si="36"/>
        <v>0</v>
      </c>
      <c r="O50" s="321">
        <f t="shared" si="37"/>
        <v>14666.317866666666</v>
      </c>
      <c r="P50" s="321">
        <f t="shared" si="38"/>
        <v>12935.83</v>
      </c>
      <c r="Q50" s="300">
        <f t="shared" si="39"/>
        <v>1730.4878666666664</v>
      </c>
      <c r="R50" s="301">
        <f t="shared" si="40"/>
        <v>0.1792</v>
      </c>
      <c r="S50" s="300">
        <f t="shared" si="41"/>
        <v>310.1034257066666</v>
      </c>
      <c r="T50" s="302">
        <f t="shared" si="42"/>
        <v>1182.8800000000001</v>
      </c>
      <c r="U50" s="300">
        <f t="shared" si="43"/>
        <v>1492.9834257066668</v>
      </c>
      <c r="V50" s="300">
        <f t="shared" si="44"/>
        <v>0</v>
      </c>
      <c r="W50" s="300">
        <f t="shared" si="45"/>
        <v>736.67</v>
      </c>
      <c r="X50" s="278">
        <f t="shared" si="46"/>
        <v>0</v>
      </c>
      <c r="Y50" s="278">
        <f t="shared" si="47"/>
        <v>736.67</v>
      </c>
      <c r="Z50" s="279">
        <v>0</v>
      </c>
      <c r="AA50" s="278">
        <f t="shared" si="48"/>
        <v>736.67</v>
      </c>
      <c r="AB50" s="278">
        <f t="shared" si="49"/>
        <v>6500</v>
      </c>
      <c r="AC50" s="368"/>
    </row>
    <row r="51" spans="1:29" s="366" customFormat="1" ht="164.25" customHeight="1" x14ac:dyDescent="0.2">
      <c r="A51" s="367"/>
      <c r="B51" s="291" t="s">
        <v>655</v>
      </c>
      <c r="C51" s="285" t="s">
        <v>519</v>
      </c>
      <c r="D51" s="270" t="s">
        <v>660</v>
      </c>
      <c r="E51" s="293" t="s">
        <v>661</v>
      </c>
      <c r="F51" s="293" t="s">
        <v>662</v>
      </c>
      <c r="G51" s="338">
        <v>45732</v>
      </c>
      <c r="H51" s="288" t="s">
        <v>645</v>
      </c>
      <c r="I51" s="274">
        <v>15</v>
      </c>
      <c r="J51" s="275">
        <f t="shared" si="34"/>
        <v>482.44466666666665</v>
      </c>
      <c r="K51" s="276">
        <v>7236.67</v>
      </c>
      <c r="L51" s="277">
        <v>0</v>
      </c>
      <c r="M51" s="278">
        <f t="shared" si="35"/>
        <v>7236.67</v>
      </c>
      <c r="N51" s="300">
        <f t="shared" si="36"/>
        <v>0</v>
      </c>
      <c r="O51" s="321">
        <f t="shared" si="37"/>
        <v>14666.317866666666</v>
      </c>
      <c r="P51" s="321">
        <f t="shared" si="38"/>
        <v>12935.83</v>
      </c>
      <c r="Q51" s="300">
        <f t="shared" si="39"/>
        <v>1730.4878666666664</v>
      </c>
      <c r="R51" s="301">
        <f t="shared" si="40"/>
        <v>0.1792</v>
      </c>
      <c r="S51" s="300">
        <f t="shared" si="41"/>
        <v>310.1034257066666</v>
      </c>
      <c r="T51" s="302">
        <f t="shared" si="42"/>
        <v>1182.8800000000001</v>
      </c>
      <c r="U51" s="300">
        <f t="shared" si="43"/>
        <v>1492.9834257066668</v>
      </c>
      <c r="V51" s="300">
        <f t="shared" si="44"/>
        <v>0</v>
      </c>
      <c r="W51" s="300">
        <f t="shared" si="45"/>
        <v>736.67</v>
      </c>
      <c r="X51" s="278">
        <f t="shared" si="46"/>
        <v>0</v>
      </c>
      <c r="Y51" s="278">
        <f t="shared" si="47"/>
        <v>736.67</v>
      </c>
      <c r="Z51" s="279">
        <v>0</v>
      </c>
      <c r="AA51" s="278">
        <f t="shared" si="48"/>
        <v>736.67</v>
      </c>
      <c r="AB51" s="278">
        <f t="shared" si="49"/>
        <v>6500</v>
      </c>
      <c r="AC51" s="368"/>
    </row>
    <row r="52" spans="1:29" s="366" customFormat="1" ht="164.25" customHeight="1" x14ac:dyDescent="0.2">
      <c r="A52" s="367"/>
      <c r="B52" s="291" t="s">
        <v>656</v>
      </c>
      <c r="C52" s="285" t="s">
        <v>519</v>
      </c>
      <c r="D52" s="270" t="s">
        <v>663</v>
      </c>
      <c r="E52" s="293" t="s">
        <v>664</v>
      </c>
      <c r="F52" s="293" t="s">
        <v>665</v>
      </c>
      <c r="G52" s="338">
        <v>45732</v>
      </c>
      <c r="H52" s="288" t="s">
        <v>645</v>
      </c>
      <c r="I52" s="274">
        <v>15</v>
      </c>
      <c r="J52" s="275">
        <f t="shared" si="34"/>
        <v>482.44466666666665</v>
      </c>
      <c r="K52" s="276">
        <v>7236.67</v>
      </c>
      <c r="L52" s="277">
        <v>0</v>
      </c>
      <c r="M52" s="278">
        <f t="shared" si="35"/>
        <v>7236.67</v>
      </c>
      <c r="N52" s="300">
        <f t="shared" si="36"/>
        <v>0</v>
      </c>
      <c r="O52" s="321">
        <f t="shared" si="37"/>
        <v>14666.317866666666</v>
      </c>
      <c r="P52" s="321">
        <f t="shared" si="38"/>
        <v>12935.83</v>
      </c>
      <c r="Q52" s="300">
        <f t="shared" si="39"/>
        <v>1730.4878666666664</v>
      </c>
      <c r="R52" s="301">
        <f t="shared" si="40"/>
        <v>0.1792</v>
      </c>
      <c r="S52" s="300">
        <f t="shared" si="41"/>
        <v>310.1034257066666</v>
      </c>
      <c r="T52" s="302">
        <f t="shared" si="42"/>
        <v>1182.8800000000001</v>
      </c>
      <c r="U52" s="300">
        <f t="shared" si="43"/>
        <v>1492.9834257066668</v>
      </c>
      <c r="V52" s="300">
        <f t="shared" si="44"/>
        <v>0</v>
      </c>
      <c r="W52" s="300">
        <f t="shared" si="45"/>
        <v>736.67</v>
      </c>
      <c r="X52" s="278">
        <f t="shared" si="46"/>
        <v>0</v>
      </c>
      <c r="Y52" s="278">
        <f t="shared" si="47"/>
        <v>736.67</v>
      </c>
      <c r="Z52" s="279">
        <v>0</v>
      </c>
      <c r="AA52" s="278">
        <f t="shared" si="48"/>
        <v>736.67</v>
      </c>
      <c r="AB52" s="278">
        <f t="shared" si="49"/>
        <v>6500</v>
      </c>
      <c r="AC52" s="368"/>
    </row>
    <row r="53" spans="1:29" s="366" customFormat="1" ht="164.25" customHeight="1" x14ac:dyDescent="0.2">
      <c r="A53" s="367"/>
      <c r="B53" s="291" t="s">
        <v>666</v>
      </c>
      <c r="C53" s="285" t="s">
        <v>519</v>
      </c>
      <c r="D53" s="270" t="s">
        <v>667</v>
      </c>
      <c r="E53" s="293" t="s">
        <v>668</v>
      </c>
      <c r="F53" s="293" t="s">
        <v>669</v>
      </c>
      <c r="G53" s="338">
        <v>45732</v>
      </c>
      <c r="H53" s="288" t="s">
        <v>645</v>
      </c>
      <c r="I53" s="274">
        <v>15</v>
      </c>
      <c r="J53" s="275">
        <f t="shared" si="34"/>
        <v>482.44466666666665</v>
      </c>
      <c r="K53" s="276">
        <v>7236.67</v>
      </c>
      <c r="L53" s="277">
        <v>0</v>
      </c>
      <c r="M53" s="278">
        <f t="shared" si="35"/>
        <v>7236.67</v>
      </c>
      <c r="N53" s="300">
        <f t="shared" si="36"/>
        <v>0</v>
      </c>
      <c r="O53" s="321">
        <f t="shared" si="37"/>
        <v>14666.317866666666</v>
      </c>
      <c r="P53" s="321">
        <f t="shared" si="38"/>
        <v>12935.83</v>
      </c>
      <c r="Q53" s="300">
        <f t="shared" si="39"/>
        <v>1730.4878666666664</v>
      </c>
      <c r="R53" s="301">
        <f t="shared" si="40"/>
        <v>0.1792</v>
      </c>
      <c r="S53" s="300">
        <f t="shared" si="41"/>
        <v>310.1034257066666</v>
      </c>
      <c r="T53" s="302">
        <f t="shared" si="42"/>
        <v>1182.8800000000001</v>
      </c>
      <c r="U53" s="300">
        <f t="shared" si="43"/>
        <v>1492.9834257066668</v>
      </c>
      <c r="V53" s="300">
        <f t="shared" si="44"/>
        <v>0</v>
      </c>
      <c r="W53" s="300">
        <f t="shared" si="45"/>
        <v>736.67</v>
      </c>
      <c r="X53" s="278">
        <f t="shared" si="46"/>
        <v>0</v>
      </c>
      <c r="Y53" s="278">
        <f t="shared" si="47"/>
        <v>736.67</v>
      </c>
      <c r="Z53" s="279">
        <v>0</v>
      </c>
      <c r="AA53" s="278">
        <f t="shared" si="48"/>
        <v>736.67</v>
      </c>
      <c r="AB53" s="278">
        <f t="shared" si="49"/>
        <v>6500</v>
      </c>
      <c r="AC53" s="303"/>
    </row>
    <row r="54" spans="1:29" s="108" customFormat="1" ht="18" x14ac:dyDescent="0.25">
      <c r="A54" s="162"/>
      <c r="B54" s="162"/>
      <c r="C54" s="162"/>
      <c r="D54" s="162"/>
      <c r="E54" s="162"/>
      <c r="F54" s="162"/>
      <c r="G54" s="162"/>
      <c r="H54" s="162"/>
      <c r="I54" s="162"/>
      <c r="J54" s="162"/>
      <c r="K54" s="185"/>
      <c r="L54" s="185"/>
      <c r="M54" s="185"/>
      <c r="N54" s="186"/>
      <c r="O54" s="186"/>
      <c r="P54" s="186"/>
      <c r="Q54" s="186"/>
      <c r="R54" s="186"/>
      <c r="S54" s="186"/>
      <c r="T54" s="186"/>
      <c r="U54" s="186"/>
      <c r="V54" s="186"/>
      <c r="W54" s="186"/>
      <c r="X54" s="186"/>
      <c r="Y54" s="186"/>
      <c r="Z54" s="186"/>
      <c r="AA54" s="186"/>
      <c r="AB54" s="186"/>
      <c r="AC54" s="107"/>
    </row>
    <row r="55" spans="1:29" s="108" customFormat="1" ht="39" customHeight="1" x14ac:dyDescent="0.3">
      <c r="A55" s="495" t="s">
        <v>44</v>
      </c>
      <c r="B55" s="495"/>
      <c r="C55" s="495"/>
      <c r="D55" s="495"/>
      <c r="E55" s="495"/>
      <c r="F55" s="495"/>
      <c r="G55" s="495"/>
      <c r="H55" s="495"/>
      <c r="I55" s="495"/>
      <c r="J55" s="495"/>
      <c r="K55" s="237">
        <f>K8+K11+K14+K24+K27+K29+K37</f>
        <v>142072.41999999998</v>
      </c>
      <c r="L55" s="237">
        <f>L8+L11+L14+L24+L27+L29+L37</f>
        <v>600</v>
      </c>
      <c r="M55" s="237">
        <f>M8+M11+M14+M24+M27+M29+M37</f>
        <v>142672.41999999998</v>
      </c>
      <c r="N55" s="237" t="e">
        <f>N8+N11+N14+N24+N27+#REF!+N37</f>
        <v>#REF!</v>
      </c>
      <c r="O55" s="237" t="e">
        <f>O8+O11+O14+O24+O27+#REF!+O37</f>
        <v>#REF!</v>
      </c>
      <c r="P55" s="237" t="e">
        <f>P8+P11+P14+P24+P27+#REF!+P37</f>
        <v>#REF!</v>
      </c>
      <c r="Q55" s="237" t="e">
        <f>Q8+Q11+Q14+Q24+Q27+#REF!+Q37</f>
        <v>#REF!</v>
      </c>
      <c r="R55" s="237" t="e">
        <f>R8+R11+R14+R24+R27+#REF!+R37</f>
        <v>#REF!</v>
      </c>
      <c r="S55" s="237" t="e">
        <f>S8+S11+S14+S24+S27+#REF!+S37</f>
        <v>#REF!</v>
      </c>
      <c r="T55" s="237" t="e">
        <f>T8+T11+T14+T24+T27+#REF!+T37</f>
        <v>#REF!</v>
      </c>
      <c r="U55" s="237" t="e">
        <f>U8+U11+U14+U24+U27+#REF!+U37</f>
        <v>#REF!</v>
      </c>
      <c r="V55" s="237" t="e">
        <f>V8+V11+V14+V24+V27+#REF!+V37</f>
        <v>#REF!</v>
      </c>
      <c r="W55" s="237" t="e">
        <f>W8+W11+W14+W24+W27+#REF!+W37</f>
        <v>#REF!</v>
      </c>
      <c r="X55" s="237">
        <f>X8+X11+X14+X24+X27+X29+X37</f>
        <v>0</v>
      </c>
      <c r="Y55" s="237">
        <f>Y8+Y11+Y14+Y24+Y27+Y29+Y37</f>
        <v>13194.890000000001</v>
      </c>
      <c r="Z55" s="237">
        <f>Z8+Z11+Z14+Z24+Z27+Z29+Z37</f>
        <v>0</v>
      </c>
      <c r="AA55" s="237">
        <f>AA8+AA11+AA14+AA24+AA27+AA29+AA37</f>
        <v>13194.890000000001</v>
      </c>
      <c r="AB55" s="237">
        <f>AB8+AB11+AB14+AB24+AB27+AB29+AB37</f>
        <v>129477.53</v>
      </c>
      <c r="AC55" s="107"/>
    </row>
    <row r="56" spans="1:29" s="52" customFormat="1" ht="12" x14ac:dyDescent="0.2"/>
    <row r="57" spans="1:29" s="52" customFormat="1" ht="12" x14ac:dyDescent="0.2"/>
    <row r="58" spans="1:29" s="52" customFormat="1" ht="12" x14ac:dyDescent="0.2"/>
    <row r="59" spans="1:29" s="52" customFormat="1" ht="12" x14ac:dyDescent="0.2"/>
    <row r="60" spans="1:29" s="52" customFormat="1" ht="12" x14ac:dyDescent="0.2"/>
    <row r="61" spans="1:29" s="52" customFormat="1" ht="12" x14ac:dyDescent="0.2"/>
    <row r="62" spans="1:29" s="52" customFormat="1" ht="12" x14ac:dyDescent="0.2"/>
    <row r="63" spans="1:29" s="52" customFormat="1" ht="17.25" customHeight="1" x14ac:dyDescent="0.2"/>
    <row r="64" spans="1:29" s="52" customFormat="1" ht="12" x14ac:dyDescent="0.2"/>
    <row r="65" spans="4:39" s="52" customFormat="1" ht="12" x14ac:dyDescent="0.2"/>
    <row r="66" spans="4:39" s="52" customFormat="1" ht="12" x14ac:dyDescent="0.2"/>
    <row r="67" spans="4:39" s="52" customFormat="1" ht="13.5" customHeight="1" x14ac:dyDescent="0.2"/>
    <row r="68" spans="4:39" s="52" customFormat="1" ht="12" x14ac:dyDescent="0.2"/>
    <row r="69" spans="4:39" s="52" customFormat="1" ht="12" x14ac:dyDescent="0.2"/>
    <row r="70" spans="4:39" s="52" customFormat="1" ht="12" x14ac:dyDescent="0.2"/>
    <row r="71" spans="4:39" s="52" customFormat="1" x14ac:dyDescent="0.2"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</row>
    <row r="72" spans="4:39" s="52" customFormat="1" ht="18" x14ac:dyDescent="0.25">
      <c r="D72" s="215" t="s">
        <v>521</v>
      </c>
      <c r="E72" s="108"/>
      <c r="F72" s="108"/>
      <c r="G72" s="108"/>
      <c r="H72" s="108"/>
      <c r="I72" s="108"/>
      <c r="J72" s="108"/>
      <c r="K72" s="108"/>
      <c r="L72" s="108"/>
      <c r="M72" s="108"/>
      <c r="N72" s="108"/>
      <c r="O72" s="108"/>
      <c r="P72" s="108"/>
      <c r="Q72" s="108"/>
      <c r="R72" s="108"/>
      <c r="S72" s="108"/>
      <c r="T72" s="108"/>
      <c r="U72" s="108"/>
      <c r="V72" s="108"/>
      <c r="W72" s="108"/>
      <c r="X72" s="108"/>
      <c r="Y72" s="215" t="s">
        <v>147</v>
      </c>
      <c r="Z72" s="108"/>
      <c r="AA72" s="108"/>
      <c r="AB72" s="108"/>
    </row>
    <row r="73" spans="4:39" s="52" customFormat="1" ht="18" x14ac:dyDescent="0.25">
      <c r="D73" s="215" t="s">
        <v>542</v>
      </c>
      <c r="E73" s="215"/>
      <c r="F73" s="215"/>
      <c r="G73" s="215"/>
      <c r="H73" s="215"/>
      <c r="I73" s="215"/>
      <c r="J73" s="215"/>
      <c r="K73" s="215"/>
      <c r="L73" s="215"/>
      <c r="M73" s="108"/>
      <c r="N73" s="108"/>
      <c r="O73" s="108"/>
      <c r="P73" s="108"/>
      <c r="Q73" s="108"/>
      <c r="R73" s="108"/>
      <c r="S73" s="108"/>
      <c r="T73" s="108"/>
      <c r="U73" s="108"/>
      <c r="V73" s="108"/>
      <c r="W73" s="108"/>
      <c r="X73" s="108"/>
      <c r="Y73" s="215" t="s">
        <v>219</v>
      </c>
      <c r="Z73" s="108"/>
      <c r="AA73" s="215"/>
      <c r="AB73" s="215"/>
      <c r="AC73" s="61"/>
      <c r="AD73" s="61"/>
      <c r="AE73" s="61"/>
      <c r="AF73" s="61"/>
      <c r="AG73" s="61"/>
      <c r="AH73" s="61"/>
      <c r="AI73" s="61"/>
      <c r="AL73" s="61"/>
      <c r="AM73" s="61"/>
    </row>
    <row r="74" spans="4:39" s="52" customFormat="1" ht="18" x14ac:dyDescent="0.25">
      <c r="D74" s="108"/>
      <c r="E74" s="108"/>
      <c r="F74" s="108"/>
      <c r="G74" s="108"/>
      <c r="H74" s="108"/>
      <c r="I74" s="108"/>
      <c r="J74" s="108"/>
      <c r="K74" s="108"/>
      <c r="L74" s="108"/>
      <c r="M74" s="108"/>
      <c r="N74" s="108"/>
      <c r="O74" s="108"/>
      <c r="P74" s="108"/>
      <c r="Q74" s="108"/>
      <c r="R74" s="108"/>
      <c r="S74" s="108"/>
      <c r="T74" s="108"/>
      <c r="U74" s="108"/>
      <c r="V74" s="108"/>
      <c r="W74" s="108"/>
      <c r="X74" s="108"/>
      <c r="Y74" s="108"/>
      <c r="Z74" s="108"/>
      <c r="AA74" s="108"/>
      <c r="AB74" s="108"/>
    </row>
    <row r="75" spans="4:39" s="52" customFormat="1" ht="18" x14ac:dyDescent="0.25">
      <c r="D75" s="108"/>
      <c r="E75" s="108"/>
      <c r="F75" s="108"/>
      <c r="G75" s="108"/>
      <c r="H75" s="108"/>
      <c r="I75" s="108"/>
      <c r="J75" s="108"/>
      <c r="K75" s="108"/>
      <c r="L75" s="108"/>
      <c r="M75" s="108"/>
      <c r="N75" s="108"/>
      <c r="O75" s="108"/>
      <c r="P75" s="108"/>
      <c r="Q75" s="108"/>
      <c r="R75" s="108"/>
      <c r="S75" s="108"/>
      <c r="T75" s="108"/>
      <c r="U75" s="108"/>
      <c r="V75" s="108"/>
      <c r="W75" s="108"/>
      <c r="X75" s="108"/>
      <c r="Y75" s="108"/>
      <c r="Z75" s="108"/>
      <c r="AA75" s="108"/>
      <c r="AB75" s="108"/>
    </row>
    <row r="76" spans="4:39" s="52" customFormat="1" ht="12" x14ac:dyDescent="0.2"/>
  </sheetData>
  <mergeCells count="17">
    <mergeCell ref="B21:AD21"/>
    <mergeCell ref="B33:AC33"/>
    <mergeCell ref="B34:AC34"/>
    <mergeCell ref="B35:AC35"/>
    <mergeCell ref="A55:J55"/>
    <mergeCell ref="B45:AC45"/>
    <mergeCell ref="B46:AC46"/>
    <mergeCell ref="B47:AC47"/>
    <mergeCell ref="B19:AD19"/>
    <mergeCell ref="B20:AD20"/>
    <mergeCell ref="A1:AC1"/>
    <mergeCell ref="A2:AC2"/>
    <mergeCell ref="A3:AC3"/>
    <mergeCell ref="K5:M5"/>
    <mergeCell ref="P5:U5"/>
    <mergeCell ref="Y5:AA5"/>
    <mergeCell ref="C5:C7"/>
  </mergeCells>
  <phoneticPr fontId="34" type="noConversion"/>
  <dataValidations disablePrompts="1" count="1">
    <dataValidation allowBlank="1" showInputMessage="1" showErrorMessage="1" prompt="Captura el nombre asignado o el nombre como se le identifica a la plaza (ejem. Jefe de Ingresos, Secretario Particular, Oficial Mayor, etc.)" sqref="D10:E10 D12:G13" xr:uid="{00000000-0002-0000-0500-000000000000}"/>
  </dataValidations>
  <pageMargins left="0.27559055118110237" right="0.19685039370078741" top="0.47244094488188981" bottom="0.15748031496062992" header="0.31496062992125984" footer="0.31496062992125984"/>
  <pageSetup scale="36" orientation="landscape" horizontalDpi="4294967293" verticalDpi="36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O26"/>
  <sheetViews>
    <sheetView topLeftCell="B7" zoomScale="57" zoomScaleNormal="57" workbookViewId="0">
      <selection activeCell="F17" sqref="F17"/>
    </sheetView>
  </sheetViews>
  <sheetFormatPr baseColWidth="10" defaultColWidth="11.42578125" defaultRowHeight="12.75" x14ac:dyDescent="0.2"/>
  <cols>
    <col min="1" max="1" width="5.5703125" hidden="1" customWidth="1"/>
    <col min="2" max="2" width="11.42578125" customWidth="1"/>
    <col min="3" max="3" width="10.28515625" customWidth="1"/>
    <col min="4" max="4" width="30.28515625" customWidth="1"/>
    <col min="5" max="5" width="23" customWidth="1"/>
    <col min="6" max="6" width="31.28515625" customWidth="1"/>
    <col min="7" max="7" width="17.7109375" customWidth="1"/>
    <col min="8" max="8" width="27.28515625" customWidth="1"/>
    <col min="9" max="9" width="6.5703125" hidden="1" customWidth="1"/>
    <col min="10" max="10" width="12.7109375" hidden="1" customWidth="1"/>
    <col min="11" max="11" width="16.85546875" customWidth="1"/>
    <col min="12" max="12" width="10.85546875" customWidth="1"/>
    <col min="13" max="13" width="18.5703125" customWidth="1"/>
    <col min="14" max="14" width="13.140625" hidden="1" customWidth="1"/>
    <col min="15" max="15" width="15.140625" hidden="1" customWidth="1"/>
    <col min="16" max="16" width="15.7109375" hidden="1" customWidth="1"/>
    <col min="17" max="17" width="12.28515625" hidden="1" customWidth="1"/>
    <col min="18" max="19" width="13.140625" hidden="1" customWidth="1"/>
    <col min="20" max="20" width="12.85546875" hidden="1" customWidth="1"/>
    <col min="21" max="21" width="12.140625" hidden="1" customWidth="1"/>
    <col min="22" max="22" width="13.140625" hidden="1" customWidth="1"/>
    <col min="23" max="23" width="13.42578125" hidden="1" customWidth="1"/>
    <col min="24" max="24" width="9.7109375" customWidth="1"/>
    <col min="25" max="25" width="15.85546875" customWidth="1"/>
    <col min="26" max="26" width="14.5703125" customWidth="1"/>
    <col min="27" max="27" width="14.28515625" customWidth="1"/>
    <col min="28" max="28" width="18.140625" customWidth="1"/>
    <col min="29" max="29" width="64.140625" customWidth="1"/>
  </cols>
  <sheetData>
    <row r="1" spans="1:29" ht="18" x14ac:dyDescent="0.25">
      <c r="A1" s="466" t="s">
        <v>77</v>
      </c>
      <c r="B1" s="466"/>
      <c r="C1" s="466"/>
      <c r="D1" s="466"/>
      <c r="E1" s="466"/>
      <c r="F1" s="466"/>
      <c r="G1" s="466"/>
      <c r="H1" s="466"/>
      <c r="I1" s="466"/>
      <c r="J1" s="466"/>
      <c r="K1" s="466"/>
      <c r="L1" s="466"/>
      <c r="M1" s="466"/>
      <c r="N1" s="466"/>
      <c r="O1" s="466"/>
      <c r="P1" s="466"/>
      <c r="Q1" s="466"/>
      <c r="R1" s="466"/>
      <c r="S1" s="466"/>
      <c r="T1" s="466"/>
      <c r="U1" s="466"/>
      <c r="V1" s="466"/>
      <c r="W1" s="466"/>
      <c r="X1" s="466"/>
      <c r="Y1" s="466"/>
      <c r="Z1" s="466"/>
      <c r="AA1" s="466"/>
      <c r="AB1" s="466"/>
      <c r="AC1" s="466"/>
    </row>
    <row r="2" spans="1:29" ht="18" x14ac:dyDescent="0.25">
      <c r="A2" s="466" t="s">
        <v>64</v>
      </c>
      <c r="B2" s="466"/>
      <c r="C2" s="466"/>
      <c r="D2" s="466"/>
      <c r="E2" s="466"/>
      <c r="F2" s="466"/>
      <c r="G2" s="466"/>
      <c r="H2" s="466"/>
      <c r="I2" s="466"/>
      <c r="J2" s="466"/>
      <c r="K2" s="466"/>
      <c r="L2" s="466"/>
      <c r="M2" s="466"/>
      <c r="N2" s="466"/>
      <c r="O2" s="466"/>
      <c r="P2" s="466"/>
      <c r="Q2" s="466"/>
      <c r="R2" s="466"/>
      <c r="S2" s="466"/>
      <c r="T2" s="466"/>
      <c r="U2" s="466"/>
      <c r="V2" s="466"/>
      <c r="W2" s="466"/>
      <c r="X2" s="466"/>
      <c r="Y2" s="466"/>
      <c r="Z2" s="466"/>
      <c r="AA2" s="466"/>
      <c r="AB2" s="466"/>
      <c r="AC2" s="466"/>
    </row>
    <row r="3" spans="1:29" ht="19.5" x14ac:dyDescent="0.25">
      <c r="A3" s="456" t="str">
        <f>PRESIDENCIA!A3</f>
        <v>SUELDO  DEL 16 AL 30 DE ABRIL DE 2025</v>
      </c>
      <c r="B3" s="456"/>
      <c r="C3" s="456"/>
      <c r="D3" s="456"/>
      <c r="E3" s="456"/>
      <c r="F3" s="456"/>
      <c r="G3" s="456"/>
      <c r="H3" s="456"/>
      <c r="I3" s="456"/>
      <c r="J3" s="456"/>
      <c r="K3" s="456"/>
      <c r="L3" s="456"/>
      <c r="M3" s="456"/>
      <c r="N3" s="456"/>
      <c r="O3" s="456"/>
      <c r="P3" s="456"/>
      <c r="Q3" s="456"/>
      <c r="R3" s="456"/>
      <c r="S3" s="456"/>
      <c r="T3" s="456"/>
      <c r="U3" s="456"/>
      <c r="V3" s="456"/>
      <c r="W3" s="456"/>
      <c r="X3" s="456"/>
      <c r="Y3" s="456"/>
      <c r="Z3" s="456"/>
      <c r="AA3" s="456"/>
      <c r="AB3" s="456"/>
      <c r="AC3" s="456"/>
    </row>
    <row r="4" spans="1:29" ht="15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</row>
    <row r="5" spans="1:29" ht="15" x14ac:dyDescent="0.2">
      <c r="A5" s="41"/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</row>
    <row r="6" spans="1:29" x14ac:dyDescent="0.2">
      <c r="A6" s="22"/>
      <c r="B6" s="22"/>
      <c r="C6" s="22"/>
      <c r="D6" s="22"/>
      <c r="E6" s="22"/>
      <c r="F6" s="22"/>
      <c r="G6" s="22"/>
      <c r="H6" s="22"/>
      <c r="I6" s="23" t="s">
        <v>22</v>
      </c>
      <c r="J6" s="23" t="s">
        <v>5</v>
      </c>
      <c r="K6" s="481" t="s">
        <v>1</v>
      </c>
      <c r="L6" s="482"/>
      <c r="M6" s="483"/>
      <c r="N6" s="50" t="s">
        <v>25</v>
      </c>
      <c r="O6" s="51"/>
      <c r="P6" s="484" t="s">
        <v>8</v>
      </c>
      <c r="Q6" s="485"/>
      <c r="R6" s="485"/>
      <c r="S6" s="485"/>
      <c r="T6" s="485"/>
      <c r="U6" s="486"/>
      <c r="V6" s="50" t="s">
        <v>29</v>
      </c>
      <c r="W6" s="50" t="s">
        <v>9</v>
      </c>
      <c r="X6" s="49" t="s">
        <v>52</v>
      </c>
      <c r="Y6" s="487" t="s">
        <v>2</v>
      </c>
      <c r="Z6" s="488"/>
      <c r="AA6" s="489"/>
      <c r="AB6" s="49" t="s">
        <v>0</v>
      </c>
      <c r="AC6" s="33"/>
    </row>
    <row r="7" spans="1:29" ht="24" x14ac:dyDescent="0.2">
      <c r="A7" s="26" t="s">
        <v>20</v>
      </c>
      <c r="B7" s="47" t="s">
        <v>97</v>
      </c>
      <c r="C7" s="47" t="s">
        <v>119</v>
      </c>
      <c r="D7" s="53" t="s">
        <v>21</v>
      </c>
      <c r="E7" s="26"/>
      <c r="F7" s="26"/>
      <c r="G7" s="26"/>
      <c r="H7" s="26"/>
      <c r="I7" s="27" t="s">
        <v>23</v>
      </c>
      <c r="J7" s="26" t="s">
        <v>24</v>
      </c>
      <c r="K7" s="49" t="s">
        <v>5</v>
      </c>
      <c r="L7" s="49" t="s">
        <v>58</v>
      </c>
      <c r="M7" s="49" t="s">
        <v>27</v>
      </c>
      <c r="N7" s="55" t="s">
        <v>26</v>
      </c>
      <c r="O7" s="51" t="s">
        <v>31</v>
      </c>
      <c r="P7" s="51" t="s">
        <v>11</v>
      </c>
      <c r="Q7" s="51" t="s">
        <v>33</v>
      </c>
      <c r="R7" s="51" t="s">
        <v>35</v>
      </c>
      <c r="S7" s="51" t="s">
        <v>36</v>
      </c>
      <c r="T7" s="51" t="s">
        <v>13</v>
      </c>
      <c r="U7" s="51" t="s">
        <v>9</v>
      </c>
      <c r="V7" s="55" t="s">
        <v>39</v>
      </c>
      <c r="W7" s="55" t="s">
        <v>40</v>
      </c>
      <c r="X7" s="53" t="s">
        <v>30</v>
      </c>
      <c r="Y7" s="49" t="s">
        <v>281</v>
      </c>
      <c r="Z7" s="49" t="s">
        <v>56</v>
      </c>
      <c r="AA7" s="49" t="s">
        <v>6</v>
      </c>
      <c r="AB7" s="53" t="s">
        <v>3</v>
      </c>
      <c r="AC7" s="35" t="s">
        <v>57</v>
      </c>
    </row>
    <row r="8" spans="1:29" x14ac:dyDescent="0.2">
      <c r="A8" s="29"/>
      <c r="B8" s="29"/>
      <c r="C8" s="29"/>
      <c r="D8" s="29"/>
      <c r="E8" s="29"/>
      <c r="F8" s="29"/>
      <c r="G8" s="29"/>
      <c r="H8" s="29"/>
      <c r="I8" s="29"/>
      <c r="J8" s="29"/>
      <c r="K8" s="62" t="s">
        <v>46</v>
      </c>
      <c r="L8" s="62" t="s">
        <v>59</v>
      </c>
      <c r="M8" s="62" t="s">
        <v>28</v>
      </c>
      <c r="N8" s="63" t="s">
        <v>42</v>
      </c>
      <c r="O8" s="50" t="s">
        <v>32</v>
      </c>
      <c r="P8" s="50" t="s">
        <v>12</v>
      </c>
      <c r="Q8" s="50" t="s">
        <v>34</v>
      </c>
      <c r="R8" s="50" t="s">
        <v>34</v>
      </c>
      <c r="S8" s="50" t="s">
        <v>37</v>
      </c>
      <c r="T8" s="50" t="s">
        <v>14</v>
      </c>
      <c r="U8" s="50" t="s">
        <v>38</v>
      </c>
      <c r="V8" s="55" t="s">
        <v>18</v>
      </c>
      <c r="W8" s="56" t="s">
        <v>125</v>
      </c>
      <c r="X8" s="62" t="s">
        <v>51</v>
      </c>
      <c r="Y8" s="62"/>
      <c r="Z8" s="62"/>
      <c r="AA8" s="62" t="s">
        <v>43</v>
      </c>
      <c r="AB8" s="62" t="s">
        <v>4</v>
      </c>
      <c r="AC8" s="34"/>
    </row>
    <row r="9" spans="1:29" s="4" customFormat="1" ht="54.75" customHeight="1" x14ac:dyDescent="0.25">
      <c r="A9" s="127"/>
      <c r="B9" s="497" t="s">
        <v>113</v>
      </c>
      <c r="C9" s="498"/>
      <c r="D9" s="499"/>
      <c r="E9" s="127" t="s">
        <v>98</v>
      </c>
      <c r="F9" s="127" t="s">
        <v>229</v>
      </c>
      <c r="G9" s="125" t="s">
        <v>291</v>
      </c>
      <c r="H9" s="127" t="s">
        <v>61</v>
      </c>
      <c r="I9" s="127"/>
      <c r="J9" s="127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  <c r="V9" s="64"/>
      <c r="W9" s="238"/>
      <c r="X9" s="64"/>
      <c r="Y9" s="64"/>
      <c r="Z9" s="64"/>
      <c r="AA9" s="64"/>
      <c r="AB9" s="64"/>
      <c r="AC9" s="99"/>
    </row>
    <row r="10" spans="1:29" s="341" customFormat="1" ht="216.75" customHeight="1" x14ac:dyDescent="0.2">
      <c r="A10" s="267" t="s">
        <v>83</v>
      </c>
      <c r="B10" s="285" t="s">
        <v>108</v>
      </c>
      <c r="C10" s="285" t="s">
        <v>118</v>
      </c>
      <c r="D10" s="270" t="s">
        <v>95</v>
      </c>
      <c r="E10" s="271" t="s">
        <v>109</v>
      </c>
      <c r="F10" s="271" t="s">
        <v>235</v>
      </c>
      <c r="G10" s="369">
        <v>42278</v>
      </c>
      <c r="H10" s="273" t="s">
        <v>205</v>
      </c>
      <c r="I10" s="274">
        <v>15</v>
      </c>
      <c r="J10" s="275">
        <f>K10/I10</f>
        <v>1332.8</v>
      </c>
      <c r="K10" s="276">
        <v>19992</v>
      </c>
      <c r="L10" s="277">
        <v>0</v>
      </c>
      <c r="M10" s="278">
        <f>SUM(K10:L10)</f>
        <v>19992</v>
      </c>
      <c r="N10" s="300">
        <f>IF(K10/15&lt;=SMG,0,L10/2)</f>
        <v>0</v>
      </c>
      <c r="O10" s="321">
        <f>(K10+N10)/I10*30.4</f>
        <v>40517.119999999995</v>
      </c>
      <c r="P10" s="321">
        <f>VLOOKUP(O10,Tarifa,1)</f>
        <v>31236.5</v>
      </c>
      <c r="Q10" s="321">
        <f>O10-P10</f>
        <v>9280.6199999999953</v>
      </c>
      <c r="R10" s="301">
        <f>VLOOKUP(O10,Tarifa,3)</f>
        <v>0.23519999999999999</v>
      </c>
      <c r="S10" s="300">
        <f>Q10*R10</f>
        <v>2182.8018239999988</v>
      </c>
      <c r="T10" s="302">
        <f>VLOOKUP(O10,Tarifa,2)</f>
        <v>5004.12</v>
      </c>
      <c r="U10" s="375">
        <f>S10+T10</f>
        <v>7186.9218239999991</v>
      </c>
      <c r="V10" s="375">
        <f>VLOOKUP(O10,Credito,2)</f>
        <v>0</v>
      </c>
      <c r="W10" s="375">
        <f>ROUND((U10-V10)/30.4*I10,2)</f>
        <v>3546.18</v>
      </c>
      <c r="X10" s="278">
        <f>-IF(W10&gt;0,0,0)</f>
        <v>0</v>
      </c>
      <c r="Y10" s="278">
        <f>IF(K10/15&lt;=SMG,0,IF(W10&lt;0,0,W10))</f>
        <v>3546.18</v>
      </c>
      <c r="Z10" s="279">
        <v>0</v>
      </c>
      <c r="AA10" s="278">
        <f>SUM(Y10:Z10)</f>
        <v>3546.18</v>
      </c>
      <c r="AB10" s="278">
        <f>M10+X10-AA10</f>
        <v>16445.82</v>
      </c>
      <c r="AC10" s="340"/>
    </row>
    <row r="11" spans="1:29" s="341" customFormat="1" ht="216.75" customHeight="1" x14ac:dyDescent="0.2">
      <c r="A11" s="267" t="s">
        <v>85</v>
      </c>
      <c r="B11" s="285" t="s">
        <v>101</v>
      </c>
      <c r="C11" s="285" t="s">
        <v>118</v>
      </c>
      <c r="D11" s="270" t="s">
        <v>72</v>
      </c>
      <c r="E11" s="271" t="s">
        <v>110</v>
      </c>
      <c r="F11" s="271" t="s">
        <v>230</v>
      </c>
      <c r="G11" s="369">
        <v>39462</v>
      </c>
      <c r="H11" s="273" t="s">
        <v>621</v>
      </c>
      <c r="I11" s="274">
        <v>15</v>
      </c>
      <c r="J11" s="275">
        <f>K11/I11</f>
        <v>888.66666666666663</v>
      </c>
      <c r="K11" s="276">
        <v>13330</v>
      </c>
      <c r="L11" s="277">
        <v>0</v>
      </c>
      <c r="M11" s="278">
        <f>K11</f>
        <v>13330</v>
      </c>
      <c r="N11" s="300">
        <f>IF(K11/15&lt;=SMG,0,L11/2)</f>
        <v>0</v>
      </c>
      <c r="O11" s="321">
        <f>(K11+N11)/I11*30.4</f>
        <v>27015.466666666664</v>
      </c>
      <c r="P11" s="321">
        <f>VLOOKUP(O11,Tarifa,1)</f>
        <v>15487.72</v>
      </c>
      <c r="Q11" s="300">
        <f>O11-P11</f>
        <v>11527.746666666664</v>
      </c>
      <c r="R11" s="301">
        <f>VLOOKUP(O11,Tarifa,3)</f>
        <v>0.21360000000000001</v>
      </c>
      <c r="S11" s="300">
        <f>Q11*R11</f>
        <v>2462.3266879999996</v>
      </c>
      <c r="T11" s="302">
        <f>VLOOKUP(O11,Tarifa,2)</f>
        <v>1640.18</v>
      </c>
      <c r="U11" s="300">
        <f>S11+T11</f>
        <v>4102.5066879999995</v>
      </c>
      <c r="V11" s="300">
        <f>VLOOKUP(O11,Credito,2)</f>
        <v>0</v>
      </c>
      <c r="W11" s="300">
        <f>ROUND((U11-V11)/30.4*I11,2)</f>
        <v>2024.26</v>
      </c>
      <c r="X11" s="278">
        <f>-IF(W11&gt;0,0,0)</f>
        <v>0</v>
      </c>
      <c r="Y11" s="278">
        <f>IF(K11/15&lt;=SMG,0,IF(W11&lt;0,0,W11))</f>
        <v>2024.26</v>
      </c>
      <c r="Z11" s="279">
        <v>0</v>
      </c>
      <c r="AA11" s="278">
        <f>SUM(Y11:Z11)</f>
        <v>2024.26</v>
      </c>
      <c r="AB11" s="278">
        <f>M11+X11-AA11</f>
        <v>11305.74</v>
      </c>
      <c r="AC11" s="340"/>
    </row>
    <row r="12" spans="1:29" s="341" customFormat="1" ht="216.75" customHeight="1" x14ac:dyDescent="0.2">
      <c r="A12" s="267" t="s">
        <v>86</v>
      </c>
      <c r="B12" s="285" t="s">
        <v>111</v>
      </c>
      <c r="C12" s="285" t="s">
        <v>118</v>
      </c>
      <c r="D12" s="270" t="s">
        <v>94</v>
      </c>
      <c r="E12" s="271" t="s">
        <v>112</v>
      </c>
      <c r="F12" s="271" t="s">
        <v>236</v>
      </c>
      <c r="G12" s="369">
        <v>42278</v>
      </c>
      <c r="H12" s="273" t="s">
        <v>206</v>
      </c>
      <c r="I12" s="274">
        <v>15</v>
      </c>
      <c r="J12" s="275">
        <f>K12/I12</f>
        <v>471.26666666666665</v>
      </c>
      <c r="K12" s="276">
        <v>7069</v>
      </c>
      <c r="L12" s="277">
        <v>0</v>
      </c>
      <c r="M12" s="278">
        <f>SUM(K12:L12)</f>
        <v>7069</v>
      </c>
      <c r="N12" s="300">
        <f>IF(K12/15&lt;=SMG,0,L12/2)</f>
        <v>0</v>
      </c>
      <c r="O12" s="321">
        <f>(K12+N12)/I12*30.4</f>
        <v>14326.506666666666</v>
      </c>
      <c r="P12" s="321">
        <f>VLOOKUP(O12,Tarifa,1)</f>
        <v>12935.83</v>
      </c>
      <c r="Q12" s="300">
        <f>O12-P12</f>
        <v>1390.6766666666663</v>
      </c>
      <c r="R12" s="301">
        <f>VLOOKUP(O12,Tarifa,3)</f>
        <v>0.1792</v>
      </c>
      <c r="S12" s="300">
        <f>Q12*R12</f>
        <v>249.20925866666659</v>
      </c>
      <c r="T12" s="302">
        <f>VLOOKUP(O12,Tarifa,2)</f>
        <v>1182.8800000000001</v>
      </c>
      <c r="U12" s="300">
        <f>S12+T12</f>
        <v>1432.0892586666666</v>
      </c>
      <c r="V12" s="300">
        <f>VLOOKUP(O12,Credito,2)</f>
        <v>0</v>
      </c>
      <c r="W12" s="300">
        <f>ROUND((U12-V12)/30.4*I12,2)</f>
        <v>706.62</v>
      </c>
      <c r="X12" s="278">
        <f>-IF(W12&gt;0,0,0)</f>
        <v>0</v>
      </c>
      <c r="Y12" s="278">
        <f>IF(K12/15&lt;=SMG,0,IF(W12&lt;0,0,W12))</f>
        <v>706.62</v>
      </c>
      <c r="Z12" s="279">
        <v>0</v>
      </c>
      <c r="AA12" s="278">
        <f>SUM(Y12:Z12)</f>
        <v>706.62</v>
      </c>
      <c r="AB12" s="278">
        <f>M12+X12-AA12</f>
        <v>6362.38</v>
      </c>
      <c r="AC12" s="340"/>
    </row>
    <row r="13" spans="1:29" s="4" customFormat="1" ht="36" customHeight="1" x14ac:dyDescent="0.25">
      <c r="A13" s="138"/>
      <c r="B13" s="138"/>
      <c r="C13" s="138"/>
      <c r="D13" s="138"/>
      <c r="E13" s="138"/>
      <c r="F13" s="138"/>
      <c r="G13" s="138"/>
      <c r="H13" s="138"/>
      <c r="I13" s="138"/>
      <c r="J13" s="138"/>
      <c r="K13" s="144"/>
      <c r="L13" s="144"/>
      <c r="M13" s="144"/>
      <c r="N13" s="142"/>
      <c r="O13" s="142"/>
      <c r="P13" s="142"/>
      <c r="Q13" s="142"/>
      <c r="R13" s="142"/>
      <c r="S13" s="142"/>
      <c r="T13" s="142"/>
      <c r="U13" s="142"/>
      <c r="V13" s="142"/>
      <c r="W13" s="142"/>
      <c r="X13" s="142"/>
      <c r="Y13" s="142"/>
      <c r="Z13" s="142"/>
      <c r="AA13" s="142"/>
      <c r="AB13" s="142"/>
    </row>
    <row r="14" spans="1:29" s="4" customFormat="1" ht="60" customHeight="1" thickBot="1" x14ac:dyDescent="0.35">
      <c r="A14" s="452" t="s">
        <v>44</v>
      </c>
      <c r="B14" s="453"/>
      <c r="C14" s="453"/>
      <c r="D14" s="453"/>
      <c r="E14" s="453"/>
      <c r="F14" s="453"/>
      <c r="G14" s="453"/>
      <c r="H14" s="453"/>
      <c r="I14" s="453"/>
      <c r="J14" s="454"/>
      <c r="K14" s="209">
        <f>SUM(K10:K13)</f>
        <v>40391</v>
      </c>
      <c r="L14" s="209">
        <f>SUM(L10:L13)</f>
        <v>0</v>
      </c>
      <c r="M14" s="209">
        <f>SUM(M10:M13)</f>
        <v>40391</v>
      </c>
      <c r="N14" s="210">
        <f t="shared" ref="N14" si="0">SUM(N10:N13)</f>
        <v>0</v>
      </c>
      <c r="O14" s="210">
        <f t="shared" ref="O14:AA14" si="1">SUM(O10:O13)</f>
        <v>81859.093333333323</v>
      </c>
      <c r="P14" s="210">
        <f t="shared" si="1"/>
        <v>59660.05</v>
      </c>
      <c r="Q14" s="210">
        <f t="shared" si="1"/>
        <v>22199.043333333328</v>
      </c>
      <c r="R14" s="210">
        <f t="shared" si="1"/>
        <v>0.628</v>
      </c>
      <c r="S14" s="210">
        <f t="shared" si="1"/>
        <v>4894.3377706666652</v>
      </c>
      <c r="T14" s="210">
        <f t="shared" si="1"/>
        <v>7827.18</v>
      </c>
      <c r="U14" s="210">
        <f t="shared" si="1"/>
        <v>12721.517770666665</v>
      </c>
      <c r="V14" s="210">
        <f t="shared" si="1"/>
        <v>0</v>
      </c>
      <c r="W14" s="210">
        <f t="shared" si="1"/>
        <v>6277.0599999999995</v>
      </c>
      <c r="X14" s="209">
        <f t="shared" si="1"/>
        <v>0</v>
      </c>
      <c r="Y14" s="209">
        <f t="shared" si="1"/>
        <v>6277.0599999999995</v>
      </c>
      <c r="Z14" s="209">
        <f t="shared" si="1"/>
        <v>0</v>
      </c>
      <c r="AA14" s="209">
        <f t="shared" si="1"/>
        <v>6277.0599999999995</v>
      </c>
      <c r="AB14" s="209">
        <f>SUM(AB10:AB12)</f>
        <v>34113.939999999995</v>
      </c>
    </row>
    <row r="15" spans="1:29" ht="35.1" customHeight="1" thickTop="1" x14ac:dyDescent="0.2"/>
    <row r="16" spans="1:29" ht="35.1" customHeight="1" x14ac:dyDescent="0.2"/>
    <row r="17" spans="4:41" ht="35.1" customHeight="1" x14ac:dyDescent="0.2"/>
    <row r="18" spans="4:41" ht="35.1" customHeight="1" x14ac:dyDescent="0.2"/>
    <row r="21" spans="4:41" x14ac:dyDescent="0.2">
      <c r="AC21" s="43"/>
    </row>
    <row r="23" spans="4:41" ht="18" x14ac:dyDescent="0.25">
      <c r="D23" s="108"/>
      <c r="E23" s="108"/>
      <c r="F23" s="108"/>
      <c r="G23" s="108"/>
      <c r="H23" s="108"/>
      <c r="I23" s="108"/>
      <c r="J23" s="108"/>
      <c r="K23" s="108"/>
      <c r="L23" s="108"/>
      <c r="M23" s="108"/>
      <c r="N23" s="108"/>
      <c r="O23" s="108"/>
      <c r="P23" s="108"/>
      <c r="Q23" s="108"/>
      <c r="R23" s="108"/>
      <c r="S23" s="108"/>
      <c r="T23" s="108"/>
      <c r="U23" s="108"/>
      <c r="V23" s="108"/>
      <c r="W23" s="108"/>
      <c r="X23" s="108"/>
      <c r="Y23" s="108"/>
      <c r="Z23" s="108"/>
      <c r="AA23" s="108"/>
      <c r="AB23" s="108"/>
      <c r="AC23" s="108"/>
    </row>
    <row r="24" spans="4:41" ht="18" x14ac:dyDescent="0.25">
      <c r="D24" s="215" t="s">
        <v>521</v>
      </c>
      <c r="E24" s="108"/>
      <c r="F24" s="108"/>
      <c r="G24" s="108"/>
      <c r="H24" s="108"/>
      <c r="I24" s="108"/>
      <c r="J24" s="108"/>
      <c r="K24" s="108"/>
      <c r="L24" s="108"/>
      <c r="M24" s="108"/>
      <c r="N24" s="108"/>
      <c r="O24" s="108"/>
      <c r="P24" s="108"/>
      <c r="Q24" s="108"/>
      <c r="R24" s="108"/>
      <c r="S24" s="108"/>
      <c r="T24" s="108"/>
      <c r="U24" s="108"/>
      <c r="V24" s="108"/>
      <c r="W24" s="108"/>
      <c r="X24" s="108"/>
      <c r="Y24" s="215" t="s">
        <v>149</v>
      </c>
      <c r="Z24" s="215"/>
      <c r="AA24" s="215"/>
      <c r="AB24" s="215"/>
      <c r="AC24" s="108"/>
    </row>
    <row r="25" spans="4:41" ht="18" x14ac:dyDescent="0.25">
      <c r="D25" s="215" t="s">
        <v>542</v>
      </c>
      <c r="E25" s="215"/>
      <c r="F25" s="215"/>
      <c r="G25" s="215"/>
      <c r="H25" s="215"/>
      <c r="I25" s="215"/>
      <c r="J25" s="215"/>
      <c r="K25" s="215"/>
      <c r="L25" s="215"/>
      <c r="M25" s="108"/>
      <c r="N25" s="108"/>
      <c r="O25" s="108"/>
      <c r="P25" s="108"/>
      <c r="Q25" s="108"/>
      <c r="R25" s="108"/>
      <c r="S25" s="108"/>
      <c r="T25" s="108"/>
      <c r="U25" s="108"/>
      <c r="V25" s="108"/>
      <c r="W25" s="108"/>
      <c r="X25" s="108"/>
      <c r="Y25" s="215" t="s">
        <v>259</v>
      </c>
      <c r="Z25" s="215"/>
      <c r="AA25" s="215"/>
      <c r="AB25" s="215"/>
      <c r="AC25" s="215"/>
      <c r="AD25" s="42"/>
      <c r="AE25" s="42"/>
      <c r="AF25" s="42"/>
      <c r="AG25" s="42"/>
      <c r="AH25" s="42"/>
      <c r="AI25" s="42"/>
      <c r="AJ25" s="42"/>
      <c r="AK25" s="42"/>
      <c r="AN25" s="42"/>
      <c r="AO25" s="42"/>
    </row>
    <row r="26" spans="4:41" ht="18" x14ac:dyDescent="0.25"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</row>
  </sheetData>
  <mergeCells count="8">
    <mergeCell ref="A14:J14"/>
    <mergeCell ref="A1:AC1"/>
    <mergeCell ref="A3:AC3"/>
    <mergeCell ref="K6:M6"/>
    <mergeCell ref="P6:U6"/>
    <mergeCell ref="Y6:AA6"/>
    <mergeCell ref="A2:AC2"/>
    <mergeCell ref="B9:D9"/>
  </mergeCells>
  <pageMargins left="0.27559055118110237" right="0.27559055118110237" top="0.74803149606299213" bottom="0.74803149606299213" header="0.31496062992125984" footer="0.31496062992125984"/>
  <pageSetup scale="40" orientation="landscape" horizontalDpi="4294967293" verticalDpi="36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P41"/>
  <sheetViews>
    <sheetView topLeftCell="B22" zoomScale="70" zoomScaleNormal="70" workbookViewId="0">
      <selection activeCell="Z10" sqref="Z10"/>
    </sheetView>
  </sheetViews>
  <sheetFormatPr baseColWidth="10" defaultColWidth="11.42578125" defaultRowHeight="12.75" x14ac:dyDescent="0.2"/>
  <cols>
    <col min="1" max="1" width="5.5703125" hidden="1" customWidth="1"/>
    <col min="2" max="2" width="9.42578125" customWidth="1"/>
    <col min="3" max="3" width="6.7109375" customWidth="1"/>
    <col min="4" max="4" width="33.5703125" customWidth="1"/>
    <col min="5" max="5" width="23.7109375" customWidth="1"/>
    <col min="6" max="6" width="32.28515625" customWidth="1"/>
    <col min="7" max="7" width="15.7109375" customWidth="1"/>
    <col min="8" max="8" width="19.28515625" customWidth="1"/>
    <col min="9" max="9" width="6.5703125" hidden="1" customWidth="1"/>
    <col min="10" max="10" width="8.5703125" hidden="1" customWidth="1"/>
    <col min="11" max="11" width="17.28515625" customWidth="1"/>
    <col min="12" max="12" width="17.28515625" hidden="1" customWidth="1"/>
    <col min="13" max="13" width="17.7109375" customWidth="1"/>
    <col min="14" max="14" width="13.140625" hidden="1" customWidth="1"/>
    <col min="15" max="17" width="12.85546875" hidden="1" customWidth="1"/>
    <col min="18" max="19" width="13.140625" hidden="1" customWidth="1"/>
    <col min="20" max="20" width="15.42578125" hidden="1" customWidth="1"/>
    <col min="21" max="21" width="13" hidden="1" customWidth="1"/>
    <col min="22" max="22" width="20.85546875" hidden="1" customWidth="1"/>
    <col min="23" max="23" width="13.85546875" hidden="1" customWidth="1"/>
    <col min="24" max="24" width="9.7109375" customWidth="1"/>
    <col min="25" max="25" width="18.140625" customWidth="1"/>
    <col min="26" max="26" width="14.7109375" customWidth="1"/>
    <col min="27" max="27" width="17" customWidth="1"/>
    <col min="28" max="28" width="17.42578125" customWidth="1"/>
    <col min="29" max="29" width="69.28515625" customWidth="1"/>
    <col min="30" max="30" width="0.85546875" customWidth="1"/>
  </cols>
  <sheetData>
    <row r="1" spans="1:30" ht="18" x14ac:dyDescent="0.25">
      <c r="A1" s="466" t="s">
        <v>77</v>
      </c>
      <c r="B1" s="466"/>
      <c r="C1" s="466"/>
      <c r="D1" s="466"/>
      <c r="E1" s="466"/>
      <c r="F1" s="466"/>
      <c r="G1" s="466"/>
      <c r="H1" s="466"/>
      <c r="I1" s="466"/>
      <c r="J1" s="466"/>
      <c r="K1" s="466"/>
      <c r="L1" s="466"/>
      <c r="M1" s="466"/>
      <c r="N1" s="466"/>
      <c r="O1" s="466"/>
      <c r="P1" s="466"/>
      <c r="Q1" s="466"/>
      <c r="R1" s="466"/>
      <c r="S1" s="466"/>
      <c r="T1" s="466"/>
      <c r="U1" s="466"/>
      <c r="V1" s="466"/>
      <c r="W1" s="466"/>
      <c r="X1" s="466"/>
      <c r="Y1" s="466"/>
      <c r="Z1" s="466"/>
      <c r="AA1" s="466"/>
      <c r="AB1" s="466"/>
      <c r="AC1" s="466"/>
    </row>
    <row r="2" spans="1:30" ht="18" x14ac:dyDescent="0.25">
      <c r="A2" s="466" t="s">
        <v>64</v>
      </c>
      <c r="B2" s="466"/>
      <c r="C2" s="466"/>
      <c r="D2" s="466"/>
      <c r="E2" s="466"/>
      <c r="F2" s="466"/>
      <c r="G2" s="466"/>
      <c r="H2" s="466"/>
      <c r="I2" s="466"/>
      <c r="J2" s="466"/>
      <c r="K2" s="466"/>
      <c r="L2" s="466"/>
      <c r="M2" s="466"/>
      <c r="N2" s="466"/>
      <c r="O2" s="466"/>
      <c r="P2" s="466"/>
      <c r="Q2" s="466"/>
      <c r="R2" s="466"/>
      <c r="S2" s="466"/>
      <c r="T2" s="466"/>
      <c r="U2" s="466"/>
      <c r="V2" s="466"/>
      <c r="W2" s="466"/>
      <c r="X2" s="466"/>
      <c r="Y2" s="466"/>
      <c r="Z2" s="466"/>
      <c r="AA2" s="466"/>
      <c r="AB2" s="466"/>
      <c r="AC2" s="466"/>
    </row>
    <row r="3" spans="1:30" ht="18" x14ac:dyDescent="0.25">
      <c r="A3" s="500" t="str">
        <f>PRESIDENCIA!A3</f>
        <v>SUELDO  DEL 16 AL 30 DE ABRIL DE 2025</v>
      </c>
      <c r="B3" s="500"/>
      <c r="C3" s="500"/>
      <c r="D3" s="500"/>
      <c r="E3" s="500"/>
      <c r="F3" s="500"/>
      <c r="G3" s="500"/>
      <c r="H3" s="500"/>
      <c r="I3" s="500"/>
      <c r="J3" s="500"/>
      <c r="K3" s="500"/>
      <c r="L3" s="500"/>
      <c r="M3" s="500"/>
      <c r="N3" s="500"/>
      <c r="O3" s="500"/>
      <c r="P3" s="500"/>
      <c r="Q3" s="500"/>
      <c r="R3" s="500"/>
      <c r="S3" s="500"/>
      <c r="T3" s="500"/>
      <c r="U3" s="500"/>
      <c r="V3" s="500"/>
      <c r="W3" s="500"/>
      <c r="X3" s="500"/>
      <c r="Y3" s="500"/>
      <c r="Z3" s="500"/>
      <c r="AA3" s="500"/>
      <c r="AB3" s="500"/>
      <c r="AC3" s="500"/>
      <c r="AD3" s="500"/>
    </row>
    <row r="4" spans="1:30" ht="15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</row>
    <row r="5" spans="1:30" x14ac:dyDescent="0.2">
      <c r="A5" s="22"/>
      <c r="B5" s="22"/>
      <c r="C5" s="22"/>
      <c r="D5" s="22"/>
      <c r="E5" s="22"/>
      <c r="F5" s="22"/>
      <c r="G5" s="22"/>
      <c r="H5" s="22"/>
      <c r="I5" s="23" t="s">
        <v>22</v>
      </c>
      <c r="J5" s="23" t="s">
        <v>5</v>
      </c>
      <c r="K5" s="467" t="s">
        <v>1</v>
      </c>
      <c r="L5" s="468"/>
      <c r="M5" s="469"/>
      <c r="N5" s="24" t="s">
        <v>25</v>
      </c>
      <c r="O5" s="25"/>
      <c r="P5" s="470" t="s">
        <v>8</v>
      </c>
      <c r="Q5" s="471"/>
      <c r="R5" s="471"/>
      <c r="S5" s="471"/>
      <c r="T5" s="471"/>
      <c r="U5" s="472"/>
      <c r="V5" s="24" t="s">
        <v>29</v>
      </c>
      <c r="W5" s="24" t="s">
        <v>9</v>
      </c>
      <c r="X5" s="23" t="s">
        <v>52</v>
      </c>
      <c r="Y5" s="473" t="s">
        <v>2</v>
      </c>
      <c r="Z5" s="474"/>
      <c r="AA5" s="475"/>
      <c r="AB5" s="23" t="s">
        <v>0</v>
      </c>
      <c r="AC5" s="33"/>
    </row>
    <row r="6" spans="1:30" ht="33.75" customHeight="1" x14ac:dyDescent="0.2">
      <c r="A6" s="26" t="s">
        <v>20</v>
      </c>
      <c r="B6" s="45" t="s">
        <v>97</v>
      </c>
      <c r="C6" s="45" t="s">
        <v>119</v>
      </c>
      <c r="D6" s="26" t="s">
        <v>21</v>
      </c>
      <c r="E6" s="26"/>
      <c r="F6" s="26"/>
      <c r="G6" s="26"/>
      <c r="H6" s="26"/>
      <c r="I6" s="27" t="s">
        <v>23</v>
      </c>
      <c r="J6" s="26" t="s">
        <v>24</v>
      </c>
      <c r="K6" s="23" t="s">
        <v>5</v>
      </c>
      <c r="L6" s="23"/>
      <c r="M6" s="23" t="s">
        <v>27</v>
      </c>
      <c r="N6" s="28" t="s">
        <v>26</v>
      </c>
      <c r="O6" s="25" t="s">
        <v>31</v>
      </c>
      <c r="P6" s="25" t="s">
        <v>11</v>
      </c>
      <c r="Q6" s="25" t="s">
        <v>33</v>
      </c>
      <c r="R6" s="25" t="s">
        <v>35</v>
      </c>
      <c r="S6" s="25" t="s">
        <v>36</v>
      </c>
      <c r="T6" s="25" t="s">
        <v>13</v>
      </c>
      <c r="U6" s="25" t="s">
        <v>9</v>
      </c>
      <c r="V6" s="28" t="s">
        <v>39</v>
      </c>
      <c r="W6" s="28" t="s">
        <v>40</v>
      </c>
      <c r="X6" s="26" t="s">
        <v>30</v>
      </c>
      <c r="Y6" s="23" t="s">
        <v>281</v>
      </c>
      <c r="Z6" s="23" t="s">
        <v>56</v>
      </c>
      <c r="AA6" s="23" t="s">
        <v>6</v>
      </c>
      <c r="AB6" s="26" t="s">
        <v>3</v>
      </c>
      <c r="AC6" s="35" t="s">
        <v>57</v>
      </c>
    </row>
    <row r="7" spans="1:30" x14ac:dyDescent="0.2">
      <c r="A7" s="29"/>
      <c r="B7" s="29"/>
      <c r="C7" s="29"/>
      <c r="D7" s="29"/>
      <c r="E7" s="29"/>
      <c r="F7" s="29"/>
      <c r="G7" s="29"/>
      <c r="H7" s="29"/>
      <c r="I7" s="29"/>
      <c r="J7" s="29"/>
      <c r="K7" s="29" t="s">
        <v>46</v>
      </c>
      <c r="L7" s="29"/>
      <c r="M7" s="29" t="s">
        <v>28</v>
      </c>
      <c r="N7" s="30" t="s">
        <v>42</v>
      </c>
      <c r="O7" s="24" t="s">
        <v>32</v>
      </c>
      <c r="P7" s="24" t="s">
        <v>12</v>
      </c>
      <c r="Q7" s="24" t="s">
        <v>34</v>
      </c>
      <c r="R7" s="24" t="s">
        <v>34</v>
      </c>
      <c r="S7" s="24" t="s">
        <v>37</v>
      </c>
      <c r="T7" s="24" t="s">
        <v>14</v>
      </c>
      <c r="U7" s="24" t="s">
        <v>38</v>
      </c>
      <c r="V7" s="28" t="s">
        <v>18</v>
      </c>
      <c r="W7" s="31" t="s">
        <v>41</v>
      </c>
      <c r="X7" s="29" t="s">
        <v>51</v>
      </c>
      <c r="Y7" s="29"/>
      <c r="Z7" s="29"/>
      <c r="AA7" s="29" t="s">
        <v>43</v>
      </c>
      <c r="AB7" s="29" t="s">
        <v>4</v>
      </c>
      <c r="AC7" s="34"/>
    </row>
    <row r="8" spans="1:30" ht="30" x14ac:dyDescent="0.25">
      <c r="A8" s="38"/>
      <c r="B8" s="38"/>
      <c r="C8" s="38"/>
      <c r="D8" s="89" t="s">
        <v>60</v>
      </c>
      <c r="E8" s="37" t="s">
        <v>98</v>
      </c>
      <c r="F8" s="37" t="s">
        <v>229</v>
      </c>
      <c r="G8" s="196" t="s">
        <v>291</v>
      </c>
      <c r="H8" s="37" t="s">
        <v>61</v>
      </c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9"/>
      <c r="X8" s="38"/>
      <c r="Y8" s="38"/>
      <c r="Z8" s="38"/>
      <c r="AA8" s="38"/>
      <c r="AB8" s="38"/>
      <c r="AC8" s="90"/>
    </row>
    <row r="9" spans="1:30" s="325" customFormat="1" ht="230.25" customHeight="1" x14ac:dyDescent="0.2">
      <c r="A9" s="267" t="s">
        <v>83</v>
      </c>
      <c r="B9" s="291" t="s">
        <v>506</v>
      </c>
      <c r="C9" s="285" t="s">
        <v>118</v>
      </c>
      <c r="D9" s="270" t="s">
        <v>480</v>
      </c>
      <c r="E9" s="271" t="s">
        <v>507</v>
      </c>
      <c r="F9" s="370" t="s">
        <v>508</v>
      </c>
      <c r="G9" s="371">
        <v>45566</v>
      </c>
      <c r="H9" s="271" t="s">
        <v>74</v>
      </c>
      <c r="I9" s="289">
        <v>15</v>
      </c>
      <c r="J9" s="372">
        <f>K9/I9</f>
        <v>625.93333333333328</v>
      </c>
      <c r="K9" s="276">
        <v>9389</v>
      </c>
      <c r="L9" s="276"/>
      <c r="M9" s="278">
        <f t="shared" ref="M9:M23" si="0">SUM(K9:K9)</f>
        <v>9389</v>
      </c>
      <c r="N9" s="300">
        <f>IF(K9/15&lt;=SMG,0,L9/2)</f>
        <v>0</v>
      </c>
      <c r="O9" s="321">
        <f>(K9+N9)/I9*30.4</f>
        <v>19028.373333333329</v>
      </c>
      <c r="P9" s="321">
        <f>VLOOKUP(O9,Tarifa,1)</f>
        <v>15487.72</v>
      </c>
      <c r="Q9" s="300">
        <f>O9-P9</f>
        <v>3540.65333333333</v>
      </c>
      <c r="R9" s="301">
        <f>VLOOKUP(O9,Tarifa,3)</f>
        <v>0.21360000000000001</v>
      </c>
      <c r="S9" s="300">
        <f>Q9*R9</f>
        <v>756.2835519999993</v>
      </c>
      <c r="T9" s="302">
        <f>VLOOKUP(O9,Tarifa,2)</f>
        <v>1640.18</v>
      </c>
      <c r="U9" s="300">
        <f>S9+T9</f>
        <v>2396.4635519999993</v>
      </c>
      <c r="V9" s="300">
        <f>VLOOKUP(O9,Credito,2)</f>
        <v>0</v>
      </c>
      <c r="W9" s="300">
        <f>ROUND((U9-V9)/30.4*I9,2)</f>
        <v>1182.47</v>
      </c>
      <c r="X9" s="278">
        <f>-IF(W9&gt;0,0,W9)</f>
        <v>0</v>
      </c>
      <c r="Y9" s="278">
        <f>IF(K9/15&lt;=SMG,0,IF(W9&lt;0,0,W9))</f>
        <v>1182.47</v>
      </c>
      <c r="Z9" s="279">
        <v>0</v>
      </c>
      <c r="AA9" s="278">
        <f t="shared" ref="AA9:AA22" si="1">SUM(Y9:Z9)</f>
        <v>1182.47</v>
      </c>
      <c r="AB9" s="278">
        <f t="shared" ref="AB9:AB23" si="2">M9+X9-AA9</f>
        <v>8206.5300000000007</v>
      </c>
      <c r="AC9" s="373"/>
    </row>
    <row r="10" spans="1:30" s="325" customFormat="1" ht="230.25" customHeight="1" x14ac:dyDescent="0.2">
      <c r="A10" s="267" t="s">
        <v>84</v>
      </c>
      <c r="B10" s="291" t="s">
        <v>504</v>
      </c>
      <c r="C10" s="285" t="s">
        <v>118</v>
      </c>
      <c r="D10" s="270" t="s">
        <v>481</v>
      </c>
      <c r="E10" s="271" t="s">
        <v>486</v>
      </c>
      <c r="F10" s="271" t="s">
        <v>487</v>
      </c>
      <c r="G10" s="371">
        <v>45566</v>
      </c>
      <c r="H10" s="271" t="s">
        <v>74</v>
      </c>
      <c r="I10" s="289">
        <v>15</v>
      </c>
      <c r="J10" s="372">
        <f>K10/I10</f>
        <v>625.93333333333328</v>
      </c>
      <c r="K10" s="276">
        <v>9389</v>
      </c>
      <c r="L10" s="276"/>
      <c r="M10" s="278">
        <f t="shared" si="0"/>
        <v>9389</v>
      </c>
      <c r="N10" s="300">
        <f>IF(K10/15&lt;=SMG,0,L10/2)</f>
        <v>0</v>
      </c>
      <c r="O10" s="321">
        <f>(K10+N10)/I10*30.4</f>
        <v>19028.373333333329</v>
      </c>
      <c r="P10" s="321">
        <f>VLOOKUP(O10,Tarifa,1)</f>
        <v>15487.72</v>
      </c>
      <c r="Q10" s="300">
        <f>O10-P10</f>
        <v>3540.65333333333</v>
      </c>
      <c r="R10" s="301">
        <f>VLOOKUP(O10,Tarifa,3)</f>
        <v>0.21360000000000001</v>
      </c>
      <c r="S10" s="300">
        <f>Q10*R10</f>
        <v>756.2835519999993</v>
      </c>
      <c r="T10" s="302">
        <f>VLOOKUP(O10,Tarifa,2)</f>
        <v>1640.18</v>
      </c>
      <c r="U10" s="300">
        <f>S10+T10</f>
        <v>2396.4635519999993</v>
      </c>
      <c r="V10" s="300">
        <f>VLOOKUP(O10,Credito,2)</f>
        <v>0</v>
      </c>
      <c r="W10" s="300">
        <f>ROUND((U10-V10)/30.4*I10,2)</f>
        <v>1182.47</v>
      </c>
      <c r="X10" s="278">
        <f t="shared" ref="X10:X23" si="3">-IF(W10&gt;0,0,W10)</f>
        <v>0</v>
      </c>
      <c r="Y10" s="278">
        <f t="shared" ref="Y10:Y23" si="4">IF(K10/15&lt;=SMG,0,IF(W10&lt;0,0,W10))</f>
        <v>1182.47</v>
      </c>
      <c r="Z10" s="279">
        <v>0</v>
      </c>
      <c r="AA10" s="278">
        <f t="shared" si="1"/>
        <v>1182.47</v>
      </c>
      <c r="AB10" s="278">
        <f t="shared" si="2"/>
        <v>8206.5300000000007</v>
      </c>
      <c r="AC10" s="373"/>
    </row>
    <row r="11" spans="1:30" s="325" customFormat="1" ht="230.25" customHeight="1" x14ac:dyDescent="0.2">
      <c r="A11" s="267" t="s">
        <v>85</v>
      </c>
      <c r="B11" s="291" t="s">
        <v>505</v>
      </c>
      <c r="C11" s="285" t="s">
        <v>118</v>
      </c>
      <c r="D11" s="270" t="s">
        <v>502</v>
      </c>
      <c r="E11" s="271" t="s">
        <v>517</v>
      </c>
      <c r="F11" s="271" t="s">
        <v>511</v>
      </c>
      <c r="G11" s="371">
        <v>45566</v>
      </c>
      <c r="H11" s="271" t="s">
        <v>74</v>
      </c>
      <c r="I11" s="289">
        <v>15</v>
      </c>
      <c r="J11" s="372">
        <f>K11/I11</f>
        <v>625.93333333333328</v>
      </c>
      <c r="K11" s="276">
        <v>9389</v>
      </c>
      <c r="L11" s="276"/>
      <c r="M11" s="278">
        <f t="shared" si="0"/>
        <v>9389</v>
      </c>
      <c r="N11" s="300">
        <f>IF(K11/15&lt;=SMG,0,L11/2)</f>
        <v>0</v>
      </c>
      <c r="O11" s="321">
        <f>(K11+N11)/I11*30.4</f>
        <v>19028.373333333329</v>
      </c>
      <c r="P11" s="321">
        <f>VLOOKUP(O11,Tarifa,1)</f>
        <v>15487.72</v>
      </c>
      <c r="Q11" s="300">
        <f>O11-P11</f>
        <v>3540.65333333333</v>
      </c>
      <c r="R11" s="301">
        <f>VLOOKUP(O11,Tarifa,3)</f>
        <v>0.21360000000000001</v>
      </c>
      <c r="S11" s="300">
        <f>Q11*R11</f>
        <v>756.2835519999993</v>
      </c>
      <c r="T11" s="302">
        <f>VLOOKUP(O11,Tarifa,2)</f>
        <v>1640.18</v>
      </c>
      <c r="U11" s="300">
        <f>S11+T11</f>
        <v>2396.4635519999993</v>
      </c>
      <c r="V11" s="300">
        <f>VLOOKUP(O11,Credito,2)</f>
        <v>0</v>
      </c>
      <c r="W11" s="300">
        <f>ROUND((U11-V11)/30.4*I11,2)</f>
        <v>1182.47</v>
      </c>
      <c r="X11" s="278">
        <f t="shared" si="3"/>
        <v>0</v>
      </c>
      <c r="Y11" s="278">
        <f t="shared" si="4"/>
        <v>1182.47</v>
      </c>
      <c r="Z11" s="279">
        <v>0</v>
      </c>
      <c r="AA11" s="278">
        <f t="shared" si="1"/>
        <v>1182.47</v>
      </c>
      <c r="AB11" s="278">
        <f t="shared" si="2"/>
        <v>8206.5300000000007</v>
      </c>
      <c r="AC11" s="374"/>
    </row>
    <row r="12" spans="1:30" s="325" customFormat="1" ht="230.25" customHeight="1" x14ac:dyDescent="0.2">
      <c r="A12" s="267" t="s">
        <v>86</v>
      </c>
      <c r="B12" s="291" t="s">
        <v>503</v>
      </c>
      <c r="C12" s="285" t="s">
        <v>118</v>
      </c>
      <c r="D12" s="270" t="s">
        <v>482</v>
      </c>
      <c r="E12" s="271" t="s">
        <v>484</v>
      </c>
      <c r="F12" s="271" t="s">
        <v>485</v>
      </c>
      <c r="G12" s="371">
        <v>45566</v>
      </c>
      <c r="H12" s="271" t="s">
        <v>74</v>
      </c>
      <c r="I12" s="289">
        <v>15</v>
      </c>
      <c r="J12" s="372">
        <f>K12/I12</f>
        <v>625.93333333333328</v>
      </c>
      <c r="K12" s="276">
        <v>9389</v>
      </c>
      <c r="L12" s="276"/>
      <c r="M12" s="278">
        <f t="shared" ref="M12" si="5">SUM(K12:K12)</f>
        <v>9389</v>
      </c>
      <c r="N12" s="300">
        <f>IF(K12/15&lt;=SMG,0,L12/2)</f>
        <v>0</v>
      </c>
      <c r="O12" s="321">
        <f>(K12+N12)/I12*30.4</f>
        <v>19028.373333333329</v>
      </c>
      <c r="P12" s="321">
        <f>VLOOKUP(O12,Tarifa,1)</f>
        <v>15487.72</v>
      </c>
      <c r="Q12" s="300">
        <f>O12-P12</f>
        <v>3540.65333333333</v>
      </c>
      <c r="R12" s="301">
        <f>VLOOKUP(O12,Tarifa,3)</f>
        <v>0.21360000000000001</v>
      </c>
      <c r="S12" s="300">
        <f>Q12*R12</f>
        <v>756.2835519999993</v>
      </c>
      <c r="T12" s="302">
        <f>VLOOKUP(O12,Tarifa,2)</f>
        <v>1640.18</v>
      </c>
      <c r="U12" s="300">
        <f>S12+T12</f>
        <v>2396.4635519999993</v>
      </c>
      <c r="V12" s="300">
        <f>VLOOKUP(O12,Credito,2)</f>
        <v>0</v>
      </c>
      <c r="W12" s="300">
        <f>ROUND((U12-V12)/30.4*I12,2)</f>
        <v>1182.47</v>
      </c>
      <c r="X12" s="278">
        <f t="shared" si="3"/>
        <v>0</v>
      </c>
      <c r="Y12" s="278">
        <f t="shared" si="4"/>
        <v>1182.47</v>
      </c>
      <c r="Z12" s="279">
        <v>0</v>
      </c>
      <c r="AA12" s="278">
        <f t="shared" si="1"/>
        <v>1182.47</v>
      </c>
      <c r="AB12" s="278">
        <f t="shared" si="2"/>
        <v>8206.5300000000007</v>
      </c>
      <c r="AC12" s="373"/>
    </row>
    <row r="13" spans="1:30" s="325" customFormat="1" ht="230.25" customHeight="1" x14ac:dyDescent="0.2">
      <c r="A13" s="267" t="s">
        <v>87</v>
      </c>
      <c r="B13" s="291" t="s">
        <v>509</v>
      </c>
      <c r="C13" s="285" t="s">
        <v>118</v>
      </c>
      <c r="D13" s="292" t="s">
        <v>483</v>
      </c>
      <c r="E13" s="293" t="s">
        <v>403</v>
      </c>
      <c r="F13" s="295" t="s">
        <v>404</v>
      </c>
      <c r="G13" s="371">
        <v>45566</v>
      </c>
      <c r="H13" s="293" t="s">
        <v>74</v>
      </c>
      <c r="I13" s="289">
        <v>15</v>
      </c>
      <c r="J13" s="372">
        <f>K13/I13</f>
        <v>625.93333333333328</v>
      </c>
      <c r="K13" s="276">
        <v>9389</v>
      </c>
      <c r="L13" s="276"/>
      <c r="M13" s="278">
        <f t="shared" ref="M13" si="6">SUM(K13:K13)</f>
        <v>9389</v>
      </c>
      <c r="N13" s="300">
        <f>IF(K13/15&lt;=SMG,0,L13/2)</f>
        <v>0</v>
      </c>
      <c r="O13" s="321">
        <f>(K13+N13)/I13*30.4</f>
        <v>19028.373333333329</v>
      </c>
      <c r="P13" s="321">
        <f>VLOOKUP(O13,Tarifa,1)</f>
        <v>15487.72</v>
      </c>
      <c r="Q13" s="300">
        <f>O13-P13</f>
        <v>3540.65333333333</v>
      </c>
      <c r="R13" s="301">
        <f>VLOOKUP(O13,Tarifa,3)</f>
        <v>0.21360000000000001</v>
      </c>
      <c r="S13" s="300">
        <f>Q13*R13</f>
        <v>756.2835519999993</v>
      </c>
      <c r="T13" s="302">
        <f>VLOOKUP(O13,Tarifa,2)</f>
        <v>1640.18</v>
      </c>
      <c r="U13" s="300">
        <f>S13+T13</f>
        <v>2396.4635519999993</v>
      </c>
      <c r="V13" s="300">
        <f>VLOOKUP(O13,Credito,2)</f>
        <v>0</v>
      </c>
      <c r="W13" s="300">
        <f>ROUND((U13-V13)/30.4*I13,2)</f>
        <v>1182.47</v>
      </c>
      <c r="X13" s="278">
        <f t="shared" ref="X13" si="7">-IF(W13&gt;0,0,W13)</f>
        <v>0</v>
      </c>
      <c r="Y13" s="278">
        <f t="shared" si="4"/>
        <v>1182.47</v>
      </c>
      <c r="Z13" s="279">
        <v>0</v>
      </c>
      <c r="AA13" s="278">
        <f t="shared" ref="AA13" si="8">SUM(Y13:Z13)</f>
        <v>1182.47</v>
      </c>
      <c r="AB13" s="278">
        <f t="shared" ref="AB13" si="9">M13+X13-AA13</f>
        <v>8206.5300000000007</v>
      </c>
      <c r="AC13" s="373"/>
    </row>
    <row r="14" spans="1:30" ht="46.5" customHeight="1" x14ac:dyDescent="0.3">
      <c r="A14" s="143"/>
      <c r="B14" s="246"/>
      <c r="C14" s="216"/>
      <c r="D14" s="217"/>
      <c r="E14" s="218"/>
      <c r="F14" s="244"/>
      <c r="G14" s="256"/>
      <c r="H14" s="218"/>
      <c r="I14" s="247"/>
      <c r="J14" s="257"/>
      <c r="K14" s="222"/>
      <c r="L14" s="222"/>
      <c r="M14" s="224"/>
      <c r="N14" s="225"/>
      <c r="O14" s="225"/>
      <c r="P14" s="225"/>
      <c r="Q14" s="225"/>
      <c r="R14" s="226"/>
      <c r="S14" s="225"/>
      <c r="T14" s="227"/>
      <c r="U14" s="225"/>
      <c r="V14" s="225"/>
      <c r="W14" s="225"/>
      <c r="X14" s="224"/>
      <c r="Y14" s="224"/>
      <c r="Z14" s="228"/>
      <c r="AA14" s="224"/>
      <c r="AB14" s="224"/>
    </row>
    <row r="15" spans="1:30" ht="14.25" customHeight="1" x14ac:dyDescent="0.3">
      <c r="A15" s="143"/>
      <c r="B15" s="246"/>
      <c r="C15" s="216"/>
      <c r="D15" s="217"/>
      <c r="E15" s="218"/>
      <c r="F15" s="244"/>
      <c r="G15" s="256"/>
      <c r="H15" s="218"/>
      <c r="I15" s="247"/>
      <c r="J15" s="257"/>
      <c r="K15" s="222"/>
      <c r="L15" s="222"/>
      <c r="M15" s="224"/>
      <c r="N15" s="225"/>
      <c r="O15" s="225"/>
      <c r="P15" s="225"/>
      <c r="Q15" s="225"/>
      <c r="R15" s="226"/>
      <c r="S15" s="225"/>
      <c r="T15" s="227"/>
      <c r="U15" s="225"/>
      <c r="V15" s="225"/>
      <c r="W15" s="225"/>
      <c r="X15" s="224"/>
      <c r="Y15" s="224"/>
      <c r="Z15" s="228"/>
      <c r="AA15" s="224"/>
      <c r="AB15" s="224"/>
    </row>
    <row r="16" spans="1:30" ht="23.25" customHeight="1" x14ac:dyDescent="0.25">
      <c r="A16" s="143"/>
      <c r="B16" s="466" t="s">
        <v>77</v>
      </c>
      <c r="C16" s="466"/>
      <c r="D16" s="466"/>
      <c r="E16" s="466"/>
      <c r="F16" s="466"/>
      <c r="G16" s="466"/>
      <c r="H16" s="466"/>
      <c r="I16" s="466"/>
      <c r="J16" s="466"/>
      <c r="K16" s="466"/>
      <c r="L16" s="466"/>
      <c r="M16" s="466"/>
      <c r="N16" s="466"/>
      <c r="O16" s="466"/>
      <c r="P16" s="466"/>
      <c r="Q16" s="466"/>
      <c r="R16" s="466"/>
      <c r="S16" s="466"/>
      <c r="T16" s="466"/>
      <c r="U16" s="466"/>
      <c r="V16" s="466"/>
      <c r="W16" s="466"/>
      <c r="X16" s="466"/>
      <c r="Y16" s="466"/>
      <c r="Z16" s="466"/>
      <c r="AA16" s="466"/>
      <c r="AB16" s="466"/>
      <c r="AC16" s="466"/>
      <c r="AD16" s="466"/>
    </row>
    <row r="17" spans="1:31" ht="23.25" customHeight="1" x14ac:dyDescent="0.25">
      <c r="A17" s="143"/>
      <c r="B17" s="466" t="s">
        <v>64</v>
      </c>
      <c r="C17" s="466"/>
      <c r="D17" s="466"/>
      <c r="E17" s="466"/>
      <c r="F17" s="466"/>
      <c r="G17" s="466"/>
      <c r="H17" s="466"/>
      <c r="I17" s="466"/>
      <c r="J17" s="466"/>
      <c r="K17" s="466"/>
      <c r="L17" s="466"/>
      <c r="M17" s="466"/>
      <c r="N17" s="466"/>
      <c r="O17" s="466"/>
      <c r="P17" s="466"/>
      <c r="Q17" s="466"/>
      <c r="R17" s="466"/>
      <c r="S17" s="466"/>
      <c r="T17" s="466"/>
      <c r="U17" s="466"/>
      <c r="V17" s="466"/>
      <c r="W17" s="466"/>
      <c r="X17" s="466"/>
      <c r="Y17" s="466"/>
      <c r="Z17" s="466"/>
      <c r="AA17" s="466"/>
      <c r="AB17" s="466"/>
      <c r="AC17" s="466"/>
      <c r="AD17" s="466"/>
    </row>
    <row r="18" spans="1:31" ht="23.25" customHeight="1" x14ac:dyDescent="0.25">
      <c r="A18" s="143"/>
      <c r="B18" s="456" t="str">
        <f>PRESIDENCIA!A3</f>
        <v>SUELDO  DEL 16 AL 30 DE ABRIL DE 2025</v>
      </c>
      <c r="C18" s="456"/>
      <c r="D18" s="456"/>
      <c r="E18" s="456"/>
      <c r="F18" s="456"/>
      <c r="G18" s="456"/>
      <c r="H18" s="456"/>
      <c r="I18" s="456"/>
      <c r="J18" s="456"/>
      <c r="K18" s="456"/>
      <c r="L18" s="456"/>
      <c r="M18" s="456"/>
      <c r="N18" s="456"/>
      <c r="O18" s="456"/>
      <c r="P18" s="456"/>
      <c r="Q18" s="456"/>
      <c r="R18" s="456"/>
      <c r="S18" s="456"/>
      <c r="T18" s="456"/>
      <c r="U18" s="456"/>
      <c r="V18" s="456"/>
      <c r="W18" s="456"/>
      <c r="X18" s="456"/>
      <c r="Y18" s="456"/>
      <c r="Z18" s="456"/>
      <c r="AA18" s="456"/>
      <c r="AB18" s="456"/>
      <c r="AC18" s="456"/>
      <c r="AD18" s="456"/>
      <c r="AE18" s="456"/>
    </row>
    <row r="19" spans="1:31" ht="28.5" customHeight="1" x14ac:dyDescent="0.3">
      <c r="A19" s="143"/>
      <c r="B19" s="246"/>
      <c r="C19" s="216"/>
      <c r="D19" s="217"/>
      <c r="E19" s="218"/>
      <c r="F19" s="244"/>
      <c r="G19" s="256"/>
      <c r="H19" s="218"/>
      <c r="I19" s="247"/>
      <c r="J19" s="257"/>
      <c r="K19" s="222"/>
      <c r="L19" s="222"/>
      <c r="M19" s="224"/>
      <c r="N19" s="225"/>
      <c r="O19" s="225"/>
      <c r="P19" s="225"/>
      <c r="Q19" s="225"/>
      <c r="R19" s="226"/>
      <c r="S19" s="225"/>
      <c r="T19" s="227"/>
      <c r="U19" s="225"/>
      <c r="V19" s="225"/>
      <c r="W19" s="225"/>
      <c r="X19" s="224"/>
      <c r="Y19" s="224"/>
      <c r="Z19" s="228"/>
      <c r="AA19" s="224"/>
      <c r="AB19" s="224"/>
    </row>
    <row r="20" spans="1:31" s="325" customFormat="1" ht="216.75" customHeight="1" x14ac:dyDescent="0.2">
      <c r="A20" s="267" t="s">
        <v>88</v>
      </c>
      <c r="B20" s="291" t="s">
        <v>492</v>
      </c>
      <c r="C20" s="285" t="s">
        <v>118</v>
      </c>
      <c r="D20" s="270" t="s">
        <v>493</v>
      </c>
      <c r="E20" s="271" t="s">
        <v>500</v>
      </c>
      <c r="F20" s="271" t="s">
        <v>501</v>
      </c>
      <c r="G20" s="371">
        <v>45566</v>
      </c>
      <c r="H20" s="271" t="s">
        <v>74</v>
      </c>
      <c r="I20" s="289">
        <v>15</v>
      </c>
      <c r="J20" s="372">
        <f>K20/I20</f>
        <v>625.93333333333328</v>
      </c>
      <c r="K20" s="276">
        <v>9389</v>
      </c>
      <c r="L20" s="276"/>
      <c r="M20" s="278">
        <f t="shared" si="0"/>
        <v>9389</v>
      </c>
      <c r="N20" s="300">
        <f>IF(K20/15&lt;=SMG,0,L20/2)</f>
        <v>0</v>
      </c>
      <c r="O20" s="321">
        <f>(K20+N20)/I20*30.4</f>
        <v>19028.373333333329</v>
      </c>
      <c r="P20" s="321">
        <f>VLOOKUP(O20,Tarifa,1)</f>
        <v>15487.72</v>
      </c>
      <c r="Q20" s="300">
        <f>O20-P20</f>
        <v>3540.65333333333</v>
      </c>
      <c r="R20" s="301">
        <f>VLOOKUP(O20,Tarifa,3)</f>
        <v>0.21360000000000001</v>
      </c>
      <c r="S20" s="300">
        <f>Q20*R20</f>
        <v>756.2835519999993</v>
      </c>
      <c r="T20" s="302">
        <f>VLOOKUP(O20,Tarifa,2)</f>
        <v>1640.18</v>
      </c>
      <c r="U20" s="300">
        <f>S20+T20</f>
        <v>2396.4635519999993</v>
      </c>
      <c r="V20" s="300">
        <f>VLOOKUP(O20,Credito,2)</f>
        <v>0</v>
      </c>
      <c r="W20" s="300">
        <f>ROUND((U20-V20)/30.4*I20,2)</f>
        <v>1182.47</v>
      </c>
      <c r="X20" s="278">
        <f t="shared" si="3"/>
        <v>0</v>
      </c>
      <c r="Y20" s="278">
        <f t="shared" si="4"/>
        <v>1182.47</v>
      </c>
      <c r="Z20" s="279">
        <v>0</v>
      </c>
      <c r="AA20" s="278">
        <f t="shared" si="1"/>
        <v>1182.47</v>
      </c>
      <c r="AB20" s="278">
        <f t="shared" si="2"/>
        <v>8206.5300000000007</v>
      </c>
      <c r="AC20" s="373"/>
    </row>
    <row r="21" spans="1:31" s="325" customFormat="1" ht="216.75" customHeight="1" x14ac:dyDescent="0.2">
      <c r="A21" s="267" t="s">
        <v>89</v>
      </c>
      <c r="B21" s="291" t="s">
        <v>489</v>
      </c>
      <c r="C21" s="285" t="s">
        <v>118</v>
      </c>
      <c r="D21" s="270" t="s">
        <v>488</v>
      </c>
      <c r="E21" s="271" t="s">
        <v>490</v>
      </c>
      <c r="F21" s="271" t="s">
        <v>491</v>
      </c>
      <c r="G21" s="371">
        <v>45566</v>
      </c>
      <c r="H21" s="271" t="s">
        <v>74</v>
      </c>
      <c r="I21" s="289">
        <v>15</v>
      </c>
      <c r="J21" s="372">
        <f>K21/I21</f>
        <v>625.93333333333328</v>
      </c>
      <c r="K21" s="276">
        <v>9389</v>
      </c>
      <c r="L21" s="276"/>
      <c r="M21" s="278">
        <f t="shared" si="0"/>
        <v>9389</v>
      </c>
      <c r="N21" s="300">
        <f>IF(K21/15&lt;=SMG,0,L21/2)</f>
        <v>0</v>
      </c>
      <c r="O21" s="321">
        <f>(K21+N21)/I21*30.4</f>
        <v>19028.373333333329</v>
      </c>
      <c r="P21" s="321">
        <f>VLOOKUP(O21,Tarifa,1)</f>
        <v>15487.72</v>
      </c>
      <c r="Q21" s="300">
        <f>O21-P21</f>
        <v>3540.65333333333</v>
      </c>
      <c r="R21" s="301">
        <f>VLOOKUP(O21,Tarifa,3)</f>
        <v>0.21360000000000001</v>
      </c>
      <c r="S21" s="300">
        <f>Q21*R21</f>
        <v>756.2835519999993</v>
      </c>
      <c r="T21" s="302">
        <f>VLOOKUP(O21,Tarifa,2)</f>
        <v>1640.18</v>
      </c>
      <c r="U21" s="300">
        <f>S21+T21</f>
        <v>2396.4635519999993</v>
      </c>
      <c r="V21" s="300">
        <f>VLOOKUP(O21,Credito,2)</f>
        <v>0</v>
      </c>
      <c r="W21" s="300">
        <f>ROUND((U21-V21)/30.4*I21,2)</f>
        <v>1182.47</v>
      </c>
      <c r="X21" s="278">
        <f t="shared" si="3"/>
        <v>0</v>
      </c>
      <c r="Y21" s="278">
        <f t="shared" si="4"/>
        <v>1182.47</v>
      </c>
      <c r="Z21" s="279">
        <v>0</v>
      </c>
      <c r="AA21" s="278">
        <f t="shared" si="1"/>
        <v>1182.47</v>
      </c>
      <c r="AB21" s="278">
        <f t="shared" si="2"/>
        <v>8206.5300000000007</v>
      </c>
      <c r="AC21" s="373"/>
    </row>
    <row r="22" spans="1:31" s="325" customFormat="1" ht="216.75" customHeight="1" x14ac:dyDescent="0.2">
      <c r="A22" s="267" t="s">
        <v>90</v>
      </c>
      <c r="B22" s="291" t="s">
        <v>512</v>
      </c>
      <c r="C22" s="285" t="s">
        <v>118</v>
      </c>
      <c r="D22" s="270" t="s">
        <v>498</v>
      </c>
      <c r="E22" s="271" t="s">
        <v>563</v>
      </c>
      <c r="F22" s="271" t="s">
        <v>514</v>
      </c>
      <c r="G22" s="371">
        <v>45566</v>
      </c>
      <c r="H22" s="271" t="s">
        <v>74</v>
      </c>
      <c r="I22" s="289">
        <v>15</v>
      </c>
      <c r="J22" s="372">
        <f>K22/I22</f>
        <v>625.93333333333328</v>
      </c>
      <c r="K22" s="276">
        <v>9389</v>
      </c>
      <c r="L22" s="276"/>
      <c r="M22" s="278">
        <f t="shared" si="0"/>
        <v>9389</v>
      </c>
      <c r="N22" s="300">
        <f>IF(K22/15&lt;=SMG,0,L22/2)</f>
        <v>0</v>
      </c>
      <c r="O22" s="321">
        <f>(K22+N22)/I22*30.4</f>
        <v>19028.373333333329</v>
      </c>
      <c r="P22" s="321">
        <f>VLOOKUP(O22,Tarifa,1)</f>
        <v>15487.72</v>
      </c>
      <c r="Q22" s="300">
        <f>O22-P22</f>
        <v>3540.65333333333</v>
      </c>
      <c r="R22" s="301">
        <f>VLOOKUP(O22,Tarifa,3)</f>
        <v>0.21360000000000001</v>
      </c>
      <c r="S22" s="300">
        <f>Q22*R22</f>
        <v>756.2835519999993</v>
      </c>
      <c r="T22" s="302">
        <f>VLOOKUP(O22,Tarifa,2)</f>
        <v>1640.18</v>
      </c>
      <c r="U22" s="300">
        <f>S22+T22</f>
        <v>2396.4635519999993</v>
      </c>
      <c r="V22" s="300">
        <f>VLOOKUP(O22,Credito,2)</f>
        <v>0</v>
      </c>
      <c r="W22" s="300">
        <f>ROUND((U22-V22)/30.4*I22,2)</f>
        <v>1182.47</v>
      </c>
      <c r="X22" s="278">
        <f t="shared" si="3"/>
        <v>0</v>
      </c>
      <c r="Y22" s="278">
        <f t="shared" si="4"/>
        <v>1182.47</v>
      </c>
      <c r="Z22" s="279">
        <v>0</v>
      </c>
      <c r="AA22" s="278">
        <f t="shared" si="1"/>
        <v>1182.47</v>
      </c>
      <c r="AB22" s="278">
        <f t="shared" si="2"/>
        <v>8206.5300000000007</v>
      </c>
      <c r="AC22" s="373"/>
    </row>
    <row r="23" spans="1:31" s="325" customFormat="1" ht="216.75" customHeight="1" x14ac:dyDescent="0.2">
      <c r="A23" s="267" t="s">
        <v>91</v>
      </c>
      <c r="B23" s="291" t="s">
        <v>513</v>
      </c>
      <c r="C23" s="285" t="s">
        <v>118</v>
      </c>
      <c r="D23" s="270" t="s">
        <v>499</v>
      </c>
      <c r="E23" s="271" t="s">
        <v>515</v>
      </c>
      <c r="F23" s="271" t="s">
        <v>516</v>
      </c>
      <c r="G23" s="371">
        <v>45566</v>
      </c>
      <c r="H23" s="271" t="s">
        <v>74</v>
      </c>
      <c r="I23" s="289">
        <v>15</v>
      </c>
      <c r="J23" s="372">
        <f>K23/I23</f>
        <v>625.93333333333328</v>
      </c>
      <c r="K23" s="276">
        <v>9389</v>
      </c>
      <c r="L23" s="276"/>
      <c r="M23" s="278">
        <f t="shared" si="0"/>
        <v>9389</v>
      </c>
      <c r="N23" s="300">
        <f>IF(K23/15&lt;=SMG,0,L23/2)</f>
        <v>0</v>
      </c>
      <c r="O23" s="321">
        <f>(K23+N23)/I23*30.4</f>
        <v>19028.373333333329</v>
      </c>
      <c r="P23" s="321">
        <f>VLOOKUP(O23,Tarifa,1)</f>
        <v>15487.72</v>
      </c>
      <c r="Q23" s="300">
        <f>O23-P23</f>
        <v>3540.65333333333</v>
      </c>
      <c r="R23" s="301">
        <f>VLOOKUP(O23,Tarifa,3)</f>
        <v>0.21360000000000001</v>
      </c>
      <c r="S23" s="300">
        <f>Q23*R23</f>
        <v>756.2835519999993</v>
      </c>
      <c r="T23" s="302">
        <f>VLOOKUP(O23,Tarifa,2)</f>
        <v>1640.18</v>
      </c>
      <c r="U23" s="300">
        <f>S23+T23</f>
        <v>2396.4635519999993</v>
      </c>
      <c r="V23" s="300">
        <f>VLOOKUP(O23,Credito,2)</f>
        <v>0</v>
      </c>
      <c r="W23" s="300">
        <f>ROUND((U23-V23)/30.4*I23,2)</f>
        <v>1182.47</v>
      </c>
      <c r="X23" s="278">
        <f t="shared" si="3"/>
        <v>0</v>
      </c>
      <c r="Y23" s="278">
        <f t="shared" si="4"/>
        <v>1182.47</v>
      </c>
      <c r="Z23" s="279">
        <v>0</v>
      </c>
      <c r="AA23" s="278">
        <f>SUM(Y23:Z23)</f>
        <v>1182.47</v>
      </c>
      <c r="AB23" s="278">
        <f t="shared" si="2"/>
        <v>8206.5300000000007</v>
      </c>
      <c r="AC23" s="373"/>
    </row>
    <row r="24" spans="1:31" ht="21.75" customHeight="1" x14ac:dyDescent="0.25">
      <c r="A24" s="138"/>
      <c r="B24" s="138"/>
      <c r="C24" s="138"/>
      <c r="D24" s="138"/>
      <c r="E24" s="138"/>
      <c r="F24" s="138"/>
      <c r="G24" s="138"/>
      <c r="H24" s="138"/>
      <c r="I24" s="138"/>
      <c r="J24" s="138"/>
      <c r="K24" s="144"/>
      <c r="L24" s="144"/>
      <c r="M24" s="144"/>
      <c r="N24" s="142"/>
      <c r="O24" s="142"/>
      <c r="P24" s="142"/>
      <c r="Q24" s="142"/>
      <c r="R24" s="142"/>
      <c r="S24" s="142"/>
      <c r="T24" s="142"/>
      <c r="U24" s="142"/>
      <c r="V24" s="142"/>
      <c r="W24" s="142"/>
      <c r="X24" s="142"/>
      <c r="Y24" s="142"/>
      <c r="Z24" s="142"/>
      <c r="AA24" s="142"/>
      <c r="AB24" s="142"/>
    </row>
    <row r="25" spans="1:31" ht="40.5" customHeight="1" thickBot="1" x14ac:dyDescent="0.35">
      <c r="A25" s="452" t="s">
        <v>44</v>
      </c>
      <c r="B25" s="453"/>
      <c r="C25" s="453"/>
      <c r="D25" s="453"/>
      <c r="E25" s="453"/>
      <c r="F25" s="453"/>
      <c r="G25" s="453"/>
      <c r="H25" s="453"/>
      <c r="I25" s="453"/>
      <c r="J25" s="454"/>
      <c r="K25" s="209">
        <f>SUM(K9:K24)</f>
        <v>84501</v>
      </c>
      <c r="L25" s="209"/>
      <c r="M25" s="209">
        <f>SUM(M9:M24)</f>
        <v>84501</v>
      </c>
      <c r="N25" s="210">
        <f t="shared" ref="N25:W25" si="10">SUM(N9:N24)</f>
        <v>0</v>
      </c>
      <c r="O25" s="210">
        <f t="shared" si="10"/>
        <v>171255.35999999993</v>
      </c>
      <c r="P25" s="210">
        <f t="shared" si="10"/>
        <v>139389.47999999998</v>
      </c>
      <c r="Q25" s="210">
        <f t="shared" si="10"/>
        <v>31865.879999999961</v>
      </c>
      <c r="R25" s="210">
        <f t="shared" si="10"/>
        <v>1.9224000000000001</v>
      </c>
      <c r="S25" s="210">
        <f t="shared" si="10"/>
        <v>6806.5519679999925</v>
      </c>
      <c r="T25" s="210">
        <f t="shared" si="10"/>
        <v>14761.62</v>
      </c>
      <c r="U25" s="210">
        <f t="shared" si="10"/>
        <v>21568.171967999995</v>
      </c>
      <c r="V25" s="210">
        <f t="shared" si="10"/>
        <v>0</v>
      </c>
      <c r="W25" s="210">
        <f t="shared" si="10"/>
        <v>10642.23</v>
      </c>
      <c r="X25" s="209">
        <f>SUM(X9:X24)</f>
        <v>0</v>
      </c>
      <c r="Y25" s="209">
        <f>SUM(Y9:Y24)</f>
        <v>10642.23</v>
      </c>
      <c r="Z25" s="209">
        <f>SUM(Z9:Z24)</f>
        <v>0</v>
      </c>
      <c r="AA25" s="209">
        <f>SUM(AA9:AA24)</f>
        <v>10642.23</v>
      </c>
      <c r="AB25" s="209">
        <f>SUM(AB9:AB24)</f>
        <v>73858.77</v>
      </c>
    </row>
    <row r="26" spans="1:31" ht="13.5" thickTop="1" x14ac:dyDescent="0.2"/>
    <row r="40" spans="4:42" ht="15" x14ac:dyDescent="0.25">
      <c r="D40" s="94" t="s">
        <v>521</v>
      </c>
      <c r="E40" s="91"/>
      <c r="F40" s="91"/>
      <c r="G40" s="91"/>
      <c r="H40" s="91"/>
      <c r="I40" s="91"/>
      <c r="J40" s="91"/>
      <c r="K40" s="91"/>
      <c r="L40" s="91"/>
      <c r="M40" s="91"/>
      <c r="N40" s="91"/>
      <c r="O40" s="91"/>
      <c r="P40" s="91"/>
      <c r="Q40" s="91"/>
      <c r="R40" s="91"/>
      <c r="S40" s="91"/>
      <c r="T40" s="91"/>
      <c r="U40" s="91"/>
      <c r="V40" s="91"/>
      <c r="W40" s="91"/>
      <c r="X40" s="91"/>
      <c r="Y40" s="91"/>
      <c r="Z40" s="94" t="s">
        <v>150</v>
      </c>
      <c r="AA40" s="91"/>
      <c r="AB40" s="91"/>
    </row>
    <row r="41" spans="4:42" ht="15" x14ac:dyDescent="0.25">
      <c r="D41" s="94" t="s">
        <v>542</v>
      </c>
      <c r="E41" s="94"/>
      <c r="F41" s="94"/>
      <c r="G41" s="94"/>
      <c r="H41" s="94"/>
      <c r="I41" s="94"/>
      <c r="J41" s="94"/>
      <c r="K41" s="94"/>
      <c r="L41" s="94"/>
      <c r="M41" s="94"/>
      <c r="N41" s="91"/>
      <c r="O41" s="91"/>
      <c r="P41" s="91"/>
      <c r="Q41" s="91"/>
      <c r="R41" s="91"/>
      <c r="S41" s="91"/>
      <c r="T41" s="91"/>
      <c r="U41" s="91"/>
      <c r="V41" s="91"/>
      <c r="W41" s="91"/>
      <c r="X41" s="91"/>
      <c r="Y41" s="91"/>
      <c r="Z41" s="94" t="s">
        <v>224</v>
      </c>
      <c r="AA41" s="91"/>
      <c r="AB41" s="94"/>
      <c r="AC41" s="42"/>
      <c r="AD41" s="42"/>
      <c r="AE41" s="42"/>
      <c r="AF41" s="42"/>
      <c r="AG41" s="42"/>
      <c r="AH41" s="42"/>
      <c r="AI41" s="42"/>
      <c r="AJ41" s="42"/>
      <c r="AK41" s="42"/>
      <c r="AL41" s="42"/>
      <c r="AO41" s="42"/>
      <c r="AP41" s="42"/>
    </row>
  </sheetData>
  <sortState xmlns:xlrd2="http://schemas.microsoft.com/office/spreadsheetml/2017/richdata2" ref="D9:F23">
    <sortCondition ref="D9"/>
  </sortState>
  <mergeCells count="10">
    <mergeCell ref="A25:J25"/>
    <mergeCell ref="A1:AC1"/>
    <mergeCell ref="A2:AC2"/>
    <mergeCell ref="K5:M5"/>
    <mergeCell ref="P5:U5"/>
    <mergeCell ref="Y5:AA5"/>
    <mergeCell ref="A3:AD3"/>
    <mergeCell ref="B16:AD16"/>
    <mergeCell ref="B17:AD17"/>
    <mergeCell ref="B18:AE18"/>
  </mergeCells>
  <pageMargins left="0.27559055118110237" right="0.39370078740157483" top="0.74803149606299213" bottom="0.19685039370078741" header="0.31496062992125984" footer="0.31496062992125984"/>
  <pageSetup scale="41" orientation="landscape" horizontalDpi="4294967293" verticalDpi="36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C24"/>
  <sheetViews>
    <sheetView zoomScale="70" zoomScaleNormal="70" workbookViewId="0">
      <selection activeCell="AB18" sqref="AB18"/>
    </sheetView>
  </sheetViews>
  <sheetFormatPr baseColWidth="10" defaultRowHeight="12.75" x14ac:dyDescent="0.2"/>
  <cols>
    <col min="1" max="1" width="9.140625" customWidth="1"/>
    <col min="2" max="2" width="9.28515625" customWidth="1"/>
    <col min="3" max="3" width="36.28515625" customWidth="1"/>
    <col min="4" max="4" width="24.140625" customWidth="1"/>
    <col min="5" max="5" width="33.28515625" customWidth="1"/>
    <col min="6" max="6" width="17.28515625" customWidth="1"/>
    <col min="7" max="7" width="19.85546875" customWidth="1"/>
    <col min="8" max="8" width="11.5703125" hidden="1" customWidth="1"/>
    <col min="9" max="9" width="9.140625" hidden="1" customWidth="1"/>
    <col min="10" max="10" width="15.85546875" bestFit="1" customWidth="1"/>
    <col min="11" max="11" width="8.7109375" customWidth="1"/>
    <col min="12" max="12" width="15.85546875" bestFit="1" customWidth="1"/>
    <col min="13" max="13" width="11.42578125" hidden="1" customWidth="1"/>
    <col min="14" max="14" width="14.85546875" hidden="1" customWidth="1"/>
    <col min="15" max="15" width="14.7109375" hidden="1" customWidth="1"/>
    <col min="16" max="16" width="13" hidden="1" customWidth="1"/>
    <col min="17" max="17" width="11.42578125" hidden="1" customWidth="1"/>
    <col min="18" max="18" width="13.28515625" hidden="1" customWidth="1"/>
    <col min="19" max="20" width="12.5703125" hidden="1" customWidth="1"/>
    <col min="21" max="21" width="11.42578125" hidden="1" customWidth="1"/>
    <col min="22" max="22" width="12.85546875" hidden="1" customWidth="1"/>
    <col min="23" max="23" width="8.85546875" customWidth="1"/>
    <col min="24" max="24" width="13.85546875" customWidth="1"/>
    <col min="25" max="25" width="14" customWidth="1"/>
    <col min="26" max="26" width="15.140625" customWidth="1"/>
    <col min="27" max="27" width="15.85546875" bestFit="1" customWidth="1"/>
    <col min="28" max="28" width="57" customWidth="1"/>
  </cols>
  <sheetData>
    <row r="1" spans="1:29" ht="18" x14ac:dyDescent="0.25">
      <c r="A1" s="466" t="s">
        <v>77</v>
      </c>
      <c r="B1" s="466"/>
      <c r="C1" s="466"/>
      <c r="D1" s="466"/>
      <c r="E1" s="466"/>
      <c r="F1" s="466"/>
      <c r="G1" s="466"/>
      <c r="H1" s="466"/>
      <c r="I1" s="466"/>
      <c r="J1" s="466"/>
      <c r="K1" s="466"/>
      <c r="L1" s="466"/>
      <c r="M1" s="466"/>
      <c r="N1" s="466"/>
      <c r="O1" s="466"/>
      <c r="P1" s="466"/>
      <c r="Q1" s="466"/>
      <c r="R1" s="466"/>
      <c r="S1" s="466"/>
      <c r="T1" s="466"/>
      <c r="U1" s="466"/>
      <c r="V1" s="466"/>
      <c r="W1" s="466"/>
      <c r="X1" s="466"/>
      <c r="Y1" s="466"/>
      <c r="Z1" s="466"/>
      <c r="AA1" s="466"/>
      <c r="AB1" s="466"/>
      <c r="AC1" s="466"/>
    </row>
    <row r="2" spans="1:29" ht="18" x14ac:dyDescent="0.25">
      <c r="A2" s="466" t="s">
        <v>64</v>
      </c>
      <c r="B2" s="466"/>
      <c r="C2" s="466"/>
      <c r="D2" s="466"/>
      <c r="E2" s="466"/>
      <c r="F2" s="466"/>
      <c r="G2" s="466"/>
      <c r="H2" s="466"/>
      <c r="I2" s="466"/>
      <c r="J2" s="466"/>
      <c r="K2" s="466"/>
      <c r="L2" s="466"/>
      <c r="M2" s="466"/>
      <c r="N2" s="466"/>
      <c r="O2" s="466"/>
      <c r="P2" s="466"/>
      <c r="Q2" s="466"/>
      <c r="R2" s="466"/>
      <c r="S2" s="466"/>
      <c r="T2" s="466"/>
      <c r="U2" s="466"/>
      <c r="V2" s="466"/>
      <c r="W2" s="466"/>
      <c r="X2" s="466"/>
      <c r="Y2" s="466"/>
      <c r="Z2" s="466"/>
      <c r="AA2" s="466"/>
      <c r="AB2" s="466"/>
      <c r="AC2" s="466"/>
    </row>
    <row r="3" spans="1:29" ht="19.5" x14ac:dyDescent="0.25">
      <c r="A3" s="456" t="str">
        <f>PRESIDENCIA!A3</f>
        <v>SUELDO  DEL 16 AL 30 DE ABRIL DE 2025</v>
      </c>
      <c r="B3" s="456"/>
      <c r="C3" s="456"/>
      <c r="D3" s="456"/>
      <c r="E3" s="456"/>
      <c r="F3" s="456"/>
      <c r="G3" s="456"/>
      <c r="H3" s="456"/>
      <c r="I3" s="456"/>
      <c r="J3" s="456"/>
      <c r="K3" s="456"/>
      <c r="L3" s="456"/>
      <c r="M3" s="456"/>
      <c r="N3" s="456"/>
      <c r="O3" s="456"/>
      <c r="P3" s="456"/>
      <c r="Q3" s="456"/>
      <c r="R3" s="456"/>
      <c r="S3" s="456"/>
      <c r="T3" s="456"/>
      <c r="U3" s="456"/>
      <c r="V3" s="456"/>
      <c r="W3" s="456"/>
      <c r="X3" s="456"/>
      <c r="Y3" s="456"/>
      <c r="Z3" s="456"/>
      <c r="AA3" s="456"/>
      <c r="AB3" s="456"/>
      <c r="AC3" s="456"/>
    </row>
    <row r="4" spans="1:29" ht="15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</row>
    <row r="5" spans="1:29" x14ac:dyDescent="0.2">
      <c r="A5" s="22"/>
      <c r="B5" s="22"/>
      <c r="C5" s="22"/>
      <c r="D5" s="22"/>
      <c r="E5" s="22"/>
      <c r="F5" s="22"/>
      <c r="G5" s="22"/>
      <c r="H5" s="23" t="s">
        <v>22</v>
      </c>
      <c r="I5" s="23" t="s">
        <v>5</v>
      </c>
      <c r="J5" s="467" t="s">
        <v>1</v>
      </c>
      <c r="K5" s="468"/>
      <c r="L5" s="469"/>
      <c r="M5" s="24" t="s">
        <v>25</v>
      </c>
      <c r="N5" s="25"/>
      <c r="O5" s="470" t="s">
        <v>8</v>
      </c>
      <c r="P5" s="471"/>
      <c r="Q5" s="471"/>
      <c r="R5" s="471"/>
      <c r="S5" s="471"/>
      <c r="T5" s="472"/>
      <c r="U5" s="24" t="s">
        <v>29</v>
      </c>
      <c r="V5" s="24" t="s">
        <v>9</v>
      </c>
      <c r="W5" s="23" t="s">
        <v>52</v>
      </c>
      <c r="X5" s="473" t="s">
        <v>2</v>
      </c>
      <c r="Y5" s="474"/>
      <c r="Z5" s="475"/>
      <c r="AA5" s="23" t="s">
        <v>0</v>
      </c>
      <c r="AB5" s="33"/>
    </row>
    <row r="6" spans="1:29" ht="22.5" x14ac:dyDescent="0.2">
      <c r="A6" s="45" t="s">
        <v>97</v>
      </c>
      <c r="B6" s="45" t="s">
        <v>119</v>
      </c>
      <c r="C6" s="26" t="s">
        <v>21</v>
      </c>
      <c r="D6" s="26"/>
      <c r="E6" s="26"/>
      <c r="F6" s="26"/>
      <c r="G6" s="26"/>
      <c r="H6" s="27" t="s">
        <v>23</v>
      </c>
      <c r="I6" s="26" t="s">
        <v>24</v>
      </c>
      <c r="J6" s="23" t="s">
        <v>5</v>
      </c>
      <c r="K6" s="23" t="s">
        <v>58</v>
      </c>
      <c r="L6" s="23" t="s">
        <v>27</v>
      </c>
      <c r="M6" s="28" t="s">
        <v>26</v>
      </c>
      <c r="N6" s="25" t="s">
        <v>31</v>
      </c>
      <c r="O6" s="25" t="s">
        <v>11</v>
      </c>
      <c r="P6" s="25" t="s">
        <v>33</v>
      </c>
      <c r="Q6" s="25" t="s">
        <v>35</v>
      </c>
      <c r="R6" s="25" t="s">
        <v>36</v>
      </c>
      <c r="S6" s="25" t="s">
        <v>13</v>
      </c>
      <c r="T6" s="25" t="s">
        <v>9</v>
      </c>
      <c r="U6" s="28" t="s">
        <v>39</v>
      </c>
      <c r="V6" s="28" t="s">
        <v>40</v>
      </c>
      <c r="W6" s="26" t="s">
        <v>30</v>
      </c>
      <c r="X6" s="23" t="s">
        <v>281</v>
      </c>
      <c r="Y6" s="23" t="s">
        <v>56</v>
      </c>
      <c r="Z6" s="23" t="s">
        <v>6</v>
      </c>
      <c r="AA6" s="26" t="s">
        <v>3</v>
      </c>
      <c r="AB6" s="35" t="s">
        <v>57</v>
      </c>
    </row>
    <row r="7" spans="1:29" x14ac:dyDescent="0.2">
      <c r="A7" s="29"/>
      <c r="B7" s="29"/>
      <c r="C7" s="29"/>
      <c r="D7" s="29"/>
      <c r="E7" s="29"/>
      <c r="F7" s="29"/>
      <c r="G7" s="29"/>
      <c r="H7" s="29"/>
      <c r="I7" s="29"/>
      <c r="J7" s="29" t="s">
        <v>46</v>
      </c>
      <c r="K7" s="29" t="s">
        <v>59</v>
      </c>
      <c r="L7" s="29" t="s">
        <v>28</v>
      </c>
      <c r="M7" s="30" t="s">
        <v>42</v>
      </c>
      <c r="N7" s="24" t="s">
        <v>32</v>
      </c>
      <c r="O7" s="24" t="s">
        <v>12</v>
      </c>
      <c r="P7" s="24" t="s">
        <v>34</v>
      </c>
      <c r="Q7" s="24" t="s">
        <v>34</v>
      </c>
      <c r="R7" s="24" t="s">
        <v>37</v>
      </c>
      <c r="S7" s="24" t="s">
        <v>14</v>
      </c>
      <c r="T7" s="24" t="s">
        <v>38</v>
      </c>
      <c r="U7" s="28" t="s">
        <v>18</v>
      </c>
      <c r="V7" s="31" t="s">
        <v>41</v>
      </c>
      <c r="W7" s="29" t="s">
        <v>51</v>
      </c>
      <c r="X7" s="29"/>
      <c r="Y7" s="29"/>
      <c r="Z7" s="29" t="s">
        <v>43</v>
      </c>
      <c r="AA7" s="29" t="s">
        <v>4</v>
      </c>
      <c r="AB7" s="34"/>
    </row>
    <row r="8" spans="1:29" ht="40.5" x14ac:dyDescent="0.3">
      <c r="A8" s="38"/>
      <c r="B8" s="38"/>
      <c r="C8" s="239" t="s">
        <v>73</v>
      </c>
      <c r="D8" s="240" t="s">
        <v>98</v>
      </c>
      <c r="E8" s="240" t="s">
        <v>229</v>
      </c>
      <c r="F8" s="241" t="s">
        <v>291</v>
      </c>
      <c r="G8" s="240" t="s">
        <v>61</v>
      </c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9"/>
      <c r="W8" s="38"/>
      <c r="X8" s="38"/>
      <c r="Y8" s="38"/>
      <c r="Z8" s="38"/>
      <c r="AA8" s="38"/>
      <c r="AB8" s="90"/>
    </row>
    <row r="9" spans="1:29" s="325" customFormat="1" ht="222" customHeight="1" x14ac:dyDescent="0.2">
      <c r="A9" s="291" t="s">
        <v>518</v>
      </c>
      <c r="B9" s="285" t="s">
        <v>118</v>
      </c>
      <c r="C9" s="270" t="s">
        <v>474</v>
      </c>
      <c r="D9" s="271" t="s">
        <v>475</v>
      </c>
      <c r="E9" s="376" t="s">
        <v>510</v>
      </c>
      <c r="F9" s="369">
        <v>45566</v>
      </c>
      <c r="G9" s="273" t="s">
        <v>227</v>
      </c>
      <c r="H9" s="274">
        <v>15</v>
      </c>
      <c r="I9" s="275">
        <f>J9/H9</f>
        <v>1332.8</v>
      </c>
      <c r="J9" s="276">
        <v>19992</v>
      </c>
      <c r="K9" s="277">
        <v>0</v>
      </c>
      <c r="L9" s="278">
        <f>SUM(J9:K9)</f>
        <v>19992</v>
      </c>
      <c r="M9" s="300">
        <f>IF(J9/15&lt;=SMG,0,K9/2)</f>
        <v>0</v>
      </c>
      <c r="N9" s="321">
        <f>(J9+M9)/H9*30.4</f>
        <v>40517.119999999995</v>
      </c>
      <c r="O9" s="321">
        <f>VLOOKUP(N9,Tarifa,1)</f>
        <v>31236.5</v>
      </c>
      <c r="P9" s="300">
        <f>N9-O9</f>
        <v>9280.6199999999953</v>
      </c>
      <c r="Q9" s="301">
        <f>VLOOKUP(N9,Tarifa,3)</f>
        <v>0.23519999999999999</v>
      </c>
      <c r="R9" s="300">
        <f>P9*Q9</f>
        <v>2182.8018239999988</v>
      </c>
      <c r="S9" s="302">
        <f>VLOOKUP(N9,Tarifa,2)</f>
        <v>5004.12</v>
      </c>
      <c r="T9" s="300">
        <f>R9+S9</f>
        <v>7186.9218239999991</v>
      </c>
      <c r="U9" s="300">
        <f>VLOOKUP(N9,Credito,2)</f>
        <v>0</v>
      </c>
      <c r="V9" s="300">
        <f>ROUND((T9-U9)/30.4*H9,2)</f>
        <v>3546.18</v>
      </c>
      <c r="W9" s="278">
        <f>-IF(V9&gt;0,0,0)</f>
        <v>0</v>
      </c>
      <c r="X9" s="278">
        <f>IF(J9/15&lt;=SMG,0,IF(V9&lt;0,0,V9))</f>
        <v>3546.18</v>
      </c>
      <c r="Y9" s="279">
        <v>0</v>
      </c>
      <c r="Z9" s="278">
        <f>SUM(X9:Y9)</f>
        <v>3546.18</v>
      </c>
      <c r="AA9" s="278">
        <f>L9+W9-Z9</f>
        <v>16445.82</v>
      </c>
      <c r="AB9" s="377"/>
    </row>
    <row r="10" spans="1:29" ht="18" x14ac:dyDescent="0.25">
      <c r="A10" s="138"/>
      <c r="B10" s="138"/>
      <c r="C10" s="138"/>
      <c r="D10" s="138"/>
      <c r="E10" s="138"/>
      <c r="F10" s="138"/>
      <c r="G10" s="138"/>
      <c r="H10" s="139"/>
      <c r="I10" s="138"/>
      <c r="J10" s="140"/>
      <c r="K10" s="140"/>
      <c r="L10" s="140"/>
      <c r="M10" s="141"/>
      <c r="N10" s="142"/>
      <c r="O10" s="142"/>
      <c r="P10" s="142"/>
      <c r="Q10" s="142"/>
      <c r="R10" s="142"/>
      <c r="S10" s="142"/>
      <c r="T10" s="142"/>
      <c r="U10" s="142"/>
      <c r="V10" s="142"/>
      <c r="W10" s="142"/>
      <c r="X10" s="142"/>
      <c r="Y10" s="142"/>
      <c r="Z10" s="142"/>
      <c r="AA10" s="142"/>
    </row>
    <row r="11" spans="1:29" ht="41.25" customHeight="1" thickBot="1" x14ac:dyDescent="0.3">
      <c r="A11" s="453"/>
      <c r="B11" s="453"/>
      <c r="C11" s="453"/>
      <c r="D11" s="453"/>
      <c r="E11" s="453"/>
      <c r="F11" s="453"/>
      <c r="G11" s="453"/>
      <c r="H11" s="453"/>
      <c r="I11" s="454"/>
      <c r="J11" s="136">
        <f>SUM(J9:J9)</f>
        <v>19992</v>
      </c>
      <c r="K11" s="136">
        <f>SUM(K9:K9)</f>
        <v>0</v>
      </c>
      <c r="L11" s="136">
        <f>SUM(L9:L9)</f>
        <v>19992</v>
      </c>
      <c r="M11" s="137">
        <f t="shared" ref="M11:V11" si="0">SUM(M10:M10)</f>
        <v>0</v>
      </c>
      <c r="N11" s="137">
        <f t="shared" si="0"/>
        <v>0</v>
      </c>
      <c r="O11" s="137">
        <f t="shared" si="0"/>
        <v>0</v>
      </c>
      <c r="P11" s="137">
        <f t="shared" si="0"/>
        <v>0</v>
      </c>
      <c r="Q11" s="137">
        <f t="shared" si="0"/>
        <v>0</v>
      </c>
      <c r="R11" s="137">
        <f t="shared" si="0"/>
        <v>0</v>
      </c>
      <c r="S11" s="137">
        <f t="shared" si="0"/>
        <v>0</v>
      </c>
      <c r="T11" s="137">
        <f t="shared" si="0"/>
        <v>0</v>
      </c>
      <c r="U11" s="137">
        <f t="shared" si="0"/>
        <v>0</v>
      </c>
      <c r="V11" s="137">
        <f t="shared" si="0"/>
        <v>0</v>
      </c>
      <c r="W11" s="136">
        <f>SUM(W9:W9)</f>
        <v>0</v>
      </c>
      <c r="X11" s="136">
        <f>SUM(X9:X9)</f>
        <v>3546.18</v>
      </c>
      <c r="Y11" s="136">
        <f>SUM(Y9:Y9)</f>
        <v>0</v>
      </c>
      <c r="Z11" s="136">
        <f>SUM(Z9:Z9)</f>
        <v>3546.18</v>
      </c>
      <c r="AA11" s="136">
        <f>SUM(AA9:AA9)</f>
        <v>16445.82</v>
      </c>
    </row>
    <row r="12" spans="1:29" ht="13.5" thickTop="1" x14ac:dyDescent="0.2"/>
    <row r="22" spans="3:28" ht="14.25" x14ac:dyDescent="0.2">
      <c r="C22" s="91"/>
      <c r="D22" s="91"/>
      <c r="E22" s="91"/>
      <c r="F22" s="91"/>
      <c r="G22" s="91"/>
      <c r="H22" s="91"/>
      <c r="I22" s="91"/>
      <c r="J22" s="91"/>
      <c r="K22" s="91"/>
      <c r="L22" s="91"/>
      <c r="M22" s="91"/>
      <c r="N22" s="91"/>
      <c r="O22" s="91"/>
      <c r="P22" s="91"/>
      <c r="Q22" s="91"/>
      <c r="R22" s="91"/>
      <c r="S22" s="91"/>
      <c r="T22" s="91"/>
      <c r="U22" s="91"/>
      <c r="V22" s="91"/>
      <c r="W22" s="91"/>
      <c r="X22" s="91"/>
      <c r="Y22" s="91"/>
      <c r="Z22" s="91"/>
      <c r="AA22" s="91"/>
      <c r="AB22" s="91"/>
    </row>
    <row r="23" spans="3:28" ht="15" x14ac:dyDescent="0.25">
      <c r="C23" s="94" t="s">
        <v>521</v>
      </c>
      <c r="D23" s="52"/>
      <c r="E23" s="52"/>
      <c r="F23" s="52"/>
      <c r="G23" s="91"/>
      <c r="H23" s="91"/>
      <c r="I23" s="91"/>
      <c r="J23" s="91"/>
      <c r="K23" s="91"/>
      <c r="L23" s="91"/>
      <c r="M23" s="91"/>
      <c r="N23" s="91"/>
      <c r="O23" s="91"/>
      <c r="P23" s="91"/>
      <c r="Q23" s="91"/>
      <c r="R23" s="91"/>
      <c r="S23" s="91"/>
      <c r="T23" s="91"/>
      <c r="U23" s="91"/>
      <c r="V23" s="91"/>
      <c r="W23" s="91"/>
      <c r="X23" s="94" t="s">
        <v>151</v>
      </c>
      <c r="Y23" s="91"/>
      <c r="Z23" s="91"/>
      <c r="AA23" s="91"/>
      <c r="AB23" s="91"/>
    </row>
    <row r="24" spans="3:28" ht="15" x14ac:dyDescent="0.25">
      <c r="C24" s="501" t="s">
        <v>542</v>
      </c>
      <c r="D24" s="502"/>
      <c r="E24" s="61"/>
      <c r="F24" s="61"/>
      <c r="G24" s="94"/>
      <c r="H24" s="94"/>
      <c r="I24" s="94"/>
      <c r="J24" s="94"/>
      <c r="K24" s="94"/>
      <c r="L24" s="91"/>
      <c r="M24" s="91"/>
      <c r="N24" s="91"/>
      <c r="O24" s="91"/>
      <c r="P24" s="91"/>
      <c r="Q24" s="91"/>
      <c r="R24" s="91"/>
      <c r="S24" s="91"/>
      <c r="T24" s="91"/>
      <c r="U24" s="91"/>
      <c r="V24" s="91"/>
      <c r="W24" s="91"/>
      <c r="X24" s="94" t="s">
        <v>220</v>
      </c>
      <c r="Y24" s="91"/>
      <c r="Z24" s="94"/>
      <c r="AA24" s="94"/>
      <c r="AB24" s="94"/>
    </row>
  </sheetData>
  <mergeCells count="8">
    <mergeCell ref="C24:D24"/>
    <mergeCell ref="A11:I11"/>
    <mergeCell ref="A1:AC1"/>
    <mergeCell ref="A2:AC2"/>
    <mergeCell ref="A3:AC3"/>
    <mergeCell ref="J5:L5"/>
    <mergeCell ref="O5:T5"/>
    <mergeCell ref="X5:Z5"/>
  </mergeCells>
  <pageMargins left="0.27559055118110237" right="0.27559055118110237" top="0.74803149606299213" bottom="0.74803149606299213" header="0.31496062992125984" footer="0.31496062992125984"/>
  <pageSetup scale="40" orientation="landscape" horizontalDpi="4294967293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10</vt:i4>
      </vt:variant>
    </vt:vector>
  </HeadingPairs>
  <TitlesOfParts>
    <vt:vector size="22" baseType="lpstr">
      <vt:lpstr>tarifa</vt:lpstr>
      <vt:lpstr>PRESIDENCIA</vt:lpstr>
      <vt:lpstr>CONTRALORIA </vt:lpstr>
      <vt:lpstr>OBRAS PUBLICAS</vt:lpstr>
      <vt:lpstr>SERV.PBCOS</vt:lpstr>
      <vt:lpstr>PROGRAMAS</vt:lpstr>
      <vt:lpstr>HDA.MPAL</vt:lpstr>
      <vt:lpstr>REGIDORES 2</vt:lpstr>
      <vt:lpstr>SINDICO</vt:lpstr>
      <vt:lpstr>CHOFERES</vt:lpstr>
      <vt:lpstr>SEGURIDAD </vt:lpstr>
      <vt:lpstr>SERV.MEDICOS</vt:lpstr>
      <vt:lpstr>'CONTRALORIA '!Área_de_impresión</vt:lpstr>
      <vt:lpstr>SINDICO!Área_de_impresión</vt:lpstr>
      <vt:lpstr>Credito</vt:lpstr>
      <vt:lpstr>Credito1</vt:lpstr>
      <vt:lpstr>SMG</vt:lpstr>
      <vt:lpstr>Subsidio</vt:lpstr>
      <vt:lpstr>Tarifa</vt:lpstr>
      <vt:lpstr>Tarifa1</vt:lpstr>
      <vt:lpstr>PRESIDENCIA!Títulos_a_imprimir</vt:lpstr>
      <vt:lpstr>UMA</vt:lpstr>
    </vt:vector>
  </TitlesOfParts>
  <Company>FAMILIAR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Julio Cesar</dc:creator>
  <cp:lastModifiedBy>Contabilidad</cp:lastModifiedBy>
  <cp:lastPrinted>2025-04-30T21:30:07Z</cp:lastPrinted>
  <dcterms:created xsi:type="dcterms:W3CDTF">2000-05-05T04:08:27Z</dcterms:created>
  <dcterms:modified xsi:type="dcterms:W3CDTF">2025-04-30T21:30:08Z</dcterms:modified>
</cp:coreProperties>
</file>