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D:\NOMINAS ENE-DIC 2024\"/>
    </mc:Choice>
  </mc:AlternateContent>
  <xr:revisionPtr revIDLastSave="0" documentId="13_ncr:1_{163F5DBF-01A6-4003-A50A-8C75B9AFA1B8}" xr6:coauthVersionLast="47" xr6:coauthVersionMax="47" xr10:uidLastSave="{00000000-0000-0000-0000-000000000000}"/>
  <bookViews>
    <workbookView xWindow="-120" yWindow="-120" windowWidth="29040" windowHeight="15720" tabRatio="772" firstSheet="1" activeTab="5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8">SINDICO!$1:$30</definedName>
    <definedName name="Credito1">tarifa!$F$38:$G$48</definedName>
    <definedName name="SMG">tarifa!$I$3</definedName>
    <definedName name="Tarifa1">tarifa!$B$41:$D$51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35" l="1"/>
  <c r="N40" i="135" s="1"/>
  <c r="L40" i="135"/>
  <c r="B24" i="119"/>
  <c r="B38" i="135"/>
  <c r="N18" i="123"/>
  <c r="O18" i="123" s="1"/>
  <c r="M18" i="123"/>
  <c r="N20" i="121"/>
  <c r="O20" i="121" s="1"/>
  <c r="M20" i="121"/>
  <c r="N12" i="121"/>
  <c r="O12" i="121" s="1"/>
  <c r="M12" i="121"/>
  <c r="B22" i="123"/>
  <c r="B18" i="121"/>
  <c r="B33" i="120"/>
  <c r="N27" i="120"/>
  <c r="O27" i="120" s="1"/>
  <c r="M27" i="120"/>
  <c r="N21" i="120"/>
  <c r="O21" i="120" s="1"/>
  <c r="M21" i="120"/>
  <c r="M10" i="136"/>
  <c r="N10" i="136" s="1"/>
  <c r="L10" i="136"/>
  <c r="Y28" i="123"/>
  <c r="AA28" i="123" s="1"/>
  <c r="N28" i="123"/>
  <c r="O28" i="123" s="1"/>
  <c r="V28" i="123" s="1"/>
  <c r="M28" i="123"/>
  <c r="N27" i="123"/>
  <c r="O27" i="123" s="1"/>
  <c r="M27" i="123"/>
  <c r="Y15" i="132"/>
  <c r="AA15" i="132" s="1"/>
  <c r="N15" i="132"/>
  <c r="O15" i="132" s="1"/>
  <c r="M15" i="132"/>
  <c r="J15" i="132"/>
  <c r="N14" i="132"/>
  <c r="O14" i="132" s="1"/>
  <c r="M14" i="132"/>
  <c r="N13" i="120"/>
  <c r="O13" i="120" s="1"/>
  <c r="M13" i="120"/>
  <c r="U40" i="135" l="1"/>
  <c r="S40" i="135"/>
  <c r="Q40" i="135"/>
  <c r="O40" i="135"/>
  <c r="P40" i="135" s="1"/>
  <c r="R40" i="135" s="1"/>
  <c r="T40" i="135" s="1"/>
  <c r="V40" i="135" s="1"/>
  <c r="V18" i="123"/>
  <c r="T18" i="123"/>
  <c r="R18" i="123"/>
  <c r="P18" i="123"/>
  <c r="Q18" i="123" s="1"/>
  <c r="V20" i="121"/>
  <c r="T20" i="121"/>
  <c r="R20" i="121"/>
  <c r="P20" i="121"/>
  <c r="Q20" i="121" s="1"/>
  <c r="V12" i="121"/>
  <c r="T12" i="121"/>
  <c r="R12" i="121"/>
  <c r="P12" i="121"/>
  <c r="Q12" i="121" s="1"/>
  <c r="V27" i="120"/>
  <c r="T27" i="120"/>
  <c r="R27" i="120"/>
  <c r="P27" i="120"/>
  <c r="Q27" i="120" s="1"/>
  <c r="V21" i="120"/>
  <c r="T21" i="120"/>
  <c r="R21" i="120"/>
  <c r="P21" i="120"/>
  <c r="Q21" i="120" s="1"/>
  <c r="U10" i="136"/>
  <c r="S10" i="136"/>
  <c r="Q10" i="136"/>
  <c r="O10" i="136"/>
  <c r="P10" i="136" s="1"/>
  <c r="P28" i="123"/>
  <c r="Q28" i="123" s="1"/>
  <c r="R28" i="123"/>
  <c r="T28" i="123"/>
  <c r="V27" i="123"/>
  <c r="T27" i="123"/>
  <c r="R27" i="123"/>
  <c r="P27" i="123"/>
  <c r="Q27" i="123" s="1"/>
  <c r="V15" i="132"/>
  <c r="T15" i="132"/>
  <c r="R15" i="132"/>
  <c r="P15" i="132"/>
  <c r="Q15" i="132" s="1"/>
  <c r="V14" i="132"/>
  <c r="T14" i="132"/>
  <c r="R14" i="132"/>
  <c r="P14" i="132"/>
  <c r="Q14" i="132" s="1"/>
  <c r="S14" i="132" s="1"/>
  <c r="U14" i="132" s="1"/>
  <c r="W14" i="132" s="1"/>
  <c r="V13" i="120"/>
  <c r="T13" i="120"/>
  <c r="R13" i="120"/>
  <c r="P13" i="120"/>
  <c r="Q13" i="120" s="1"/>
  <c r="X40" i="135" l="1"/>
  <c r="Z40" i="135" s="1"/>
  <c r="W40" i="135"/>
  <c r="S20" i="121"/>
  <c r="U20" i="121" s="1"/>
  <c r="W20" i="121" s="1"/>
  <c r="S15" i="132"/>
  <c r="U15" i="132"/>
  <c r="W15" i="132" s="1"/>
  <c r="X15" i="132" s="1"/>
  <c r="AB15" i="132" s="1"/>
  <c r="R10" i="136"/>
  <c r="T10" i="136" s="1"/>
  <c r="V10" i="136" s="1"/>
  <c r="X10" i="136" s="1"/>
  <c r="Z10" i="136" s="1"/>
  <c r="S18" i="123"/>
  <c r="U18" i="123" s="1"/>
  <c r="W18" i="123" s="1"/>
  <c r="Y18" i="123" s="1"/>
  <c r="AA18" i="123" s="1"/>
  <c r="S12" i="121"/>
  <c r="U12" i="121" s="1"/>
  <c r="W12" i="121" s="1"/>
  <c r="Y12" i="121" s="1"/>
  <c r="AA12" i="121" s="1"/>
  <c r="S27" i="123"/>
  <c r="U27" i="123" s="1"/>
  <c r="W27" i="123" s="1"/>
  <c r="S27" i="120"/>
  <c r="U27" i="120" s="1"/>
  <c r="W27" i="120" s="1"/>
  <c r="X27" i="120" s="1"/>
  <c r="S21" i="120"/>
  <c r="U21" i="120" s="1"/>
  <c r="W21" i="120" s="1"/>
  <c r="Y21" i="120" s="1"/>
  <c r="AA21" i="120" s="1"/>
  <c r="W10" i="136"/>
  <c r="S28" i="123"/>
  <c r="U28" i="123" s="1"/>
  <c r="W28" i="123" s="1"/>
  <c r="X28" i="123" s="1"/>
  <c r="AB28" i="123" s="1"/>
  <c r="X14" i="132"/>
  <c r="Y14" i="132"/>
  <c r="AA14" i="132" s="1"/>
  <c r="S13" i="120"/>
  <c r="U13" i="120" s="1"/>
  <c r="W13" i="120" s="1"/>
  <c r="X13" i="120" s="1"/>
  <c r="AA40" i="135" l="1"/>
  <c r="Y20" i="121"/>
  <c r="AA20" i="121" s="1"/>
  <c r="AB20" i="121" s="1"/>
  <c r="X20" i="121"/>
  <c r="AA10" i="136"/>
  <c r="X18" i="123"/>
  <c r="AB18" i="123" s="1"/>
  <c r="X12" i="121"/>
  <c r="AB12" i="121"/>
  <c r="Y27" i="123"/>
  <c r="AA27" i="123" s="1"/>
  <c r="X27" i="123"/>
  <c r="Y27" i="120"/>
  <c r="AA27" i="120" s="1"/>
  <c r="AB27" i="120" s="1"/>
  <c r="X21" i="120"/>
  <c r="AB21" i="120" s="1"/>
  <c r="Y13" i="120"/>
  <c r="AA13" i="120" s="1"/>
  <c r="AB13" i="120" s="1"/>
  <c r="AB14" i="132"/>
  <c r="AB27" i="123" l="1"/>
  <c r="N11" i="133"/>
  <c r="O11" i="133" s="1"/>
  <c r="M11" i="133"/>
  <c r="N10" i="133"/>
  <c r="O10" i="133" s="1"/>
  <c r="M10" i="133"/>
  <c r="N9" i="133"/>
  <c r="O9" i="133" s="1"/>
  <c r="M9" i="133"/>
  <c r="M43" i="135"/>
  <c r="N43" i="135" s="1"/>
  <c r="L43" i="135"/>
  <c r="M42" i="135"/>
  <c r="N42" i="135" s="1"/>
  <c r="L42" i="135"/>
  <c r="N10" i="134"/>
  <c r="O10" i="134" s="1"/>
  <c r="M10" i="134"/>
  <c r="N13" i="132"/>
  <c r="O13" i="132" s="1"/>
  <c r="M13" i="132"/>
  <c r="N13" i="123"/>
  <c r="O13" i="123" s="1"/>
  <c r="M13" i="123"/>
  <c r="J13" i="123"/>
  <c r="N35" i="120"/>
  <c r="O35" i="120" s="1"/>
  <c r="M35" i="120"/>
  <c r="V11" i="133" l="1"/>
  <c r="T11" i="133"/>
  <c r="R11" i="133"/>
  <c r="P11" i="133"/>
  <c r="Q11" i="133" s="1"/>
  <c r="V10" i="133"/>
  <c r="T10" i="133"/>
  <c r="R10" i="133"/>
  <c r="P10" i="133"/>
  <c r="Q10" i="133" s="1"/>
  <c r="S10" i="133" s="1"/>
  <c r="U10" i="133" s="1"/>
  <c r="W10" i="133" s="1"/>
  <c r="V9" i="133"/>
  <c r="T9" i="133"/>
  <c r="R9" i="133"/>
  <c r="P9" i="133"/>
  <c r="Q9" i="133" s="1"/>
  <c r="S9" i="133" s="1"/>
  <c r="U9" i="133" s="1"/>
  <c r="W9" i="133" s="1"/>
  <c r="U43" i="135"/>
  <c r="S43" i="135"/>
  <c r="Q43" i="135"/>
  <c r="O43" i="135"/>
  <c r="P43" i="135" s="1"/>
  <c r="U42" i="135"/>
  <c r="S42" i="135"/>
  <c r="Q42" i="135"/>
  <c r="O42" i="135"/>
  <c r="P42" i="135" s="1"/>
  <c r="V10" i="134"/>
  <c r="T10" i="134"/>
  <c r="P10" i="134"/>
  <c r="Q10" i="134" s="1"/>
  <c r="S10" i="134" s="1"/>
  <c r="U10" i="134" s="1"/>
  <c r="W10" i="134" s="1"/>
  <c r="R10" i="134"/>
  <c r="V13" i="132"/>
  <c r="T13" i="132"/>
  <c r="R13" i="132"/>
  <c r="P13" i="132"/>
  <c r="Q13" i="132" s="1"/>
  <c r="V13" i="123"/>
  <c r="T13" i="123"/>
  <c r="R13" i="123"/>
  <c r="P13" i="123"/>
  <c r="Q13" i="123" s="1"/>
  <c r="V35" i="120"/>
  <c r="T35" i="120"/>
  <c r="R35" i="120"/>
  <c r="P35" i="120"/>
  <c r="Q35" i="120" s="1"/>
  <c r="S11" i="133" l="1"/>
  <c r="U11" i="133" s="1"/>
  <c r="W11" i="133" s="1"/>
  <c r="R42" i="135"/>
  <c r="R43" i="135"/>
  <c r="T43" i="135" s="1"/>
  <c r="V43" i="135" s="1"/>
  <c r="T42" i="135"/>
  <c r="V42" i="135" s="1"/>
  <c r="W42" i="135" s="1"/>
  <c r="S35" i="120"/>
  <c r="U35" i="120"/>
  <c r="W35" i="120" s="1"/>
  <c r="S13" i="132"/>
  <c r="U13" i="132" s="1"/>
  <c r="W13" i="132" s="1"/>
  <c r="Y13" i="132" s="1"/>
  <c r="AA13" i="132" s="1"/>
  <c r="Y11" i="133"/>
  <c r="AA11" i="133" s="1"/>
  <c r="X11" i="133"/>
  <c r="Y10" i="133"/>
  <c r="AA10" i="133" s="1"/>
  <c r="X10" i="133"/>
  <c r="AB10" i="133" s="1"/>
  <c r="Y9" i="133"/>
  <c r="AA9" i="133" s="1"/>
  <c r="X9" i="133"/>
  <c r="S13" i="123"/>
  <c r="U13" i="123" s="1"/>
  <c r="W13" i="123" s="1"/>
  <c r="Y13" i="123" s="1"/>
  <c r="AA13" i="123" s="1"/>
  <c r="X43" i="135"/>
  <c r="Z43" i="135" s="1"/>
  <c r="W43" i="135"/>
  <c r="Y10" i="134"/>
  <c r="AA10" i="134" s="1"/>
  <c r="X10" i="134"/>
  <c r="X13" i="132"/>
  <c r="Y35" i="120"/>
  <c r="AA35" i="120" s="1"/>
  <c r="X35" i="120"/>
  <c r="AB11" i="133" l="1"/>
  <c r="X42" i="135"/>
  <c r="Z42" i="135" s="1"/>
  <c r="AA42" i="135" s="1"/>
  <c r="X13" i="123"/>
  <c r="AB13" i="123" s="1"/>
  <c r="AB13" i="132"/>
  <c r="AB9" i="133"/>
  <c r="AA43" i="135"/>
  <c r="AB10" i="134"/>
  <c r="AB35" i="120"/>
  <c r="I10" i="136" l="1"/>
  <c r="M9" i="136" l="1"/>
  <c r="N9" i="136" s="1"/>
  <c r="L9" i="136"/>
  <c r="I9" i="136"/>
  <c r="M25" i="135"/>
  <c r="N25" i="135" s="1"/>
  <c r="L25" i="135"/>
  <c r="N10" i="120"/>
  <c r="O10" i="120" s="1"/>
  <c r="M10" i="120"/>
  <c r="U9" i="136" l="1"/>
  <c r="S9" i="136"/>
  <c r="Q9" i="136"/>
  <c r="O9" i="136"/>
  <c r="P9" i="136" s="1"/>
  <c r="U25" i="135"/>
  <c r="S25" i="135"/>
  <c r="Q25" i="135"/>
  <c r="O25" i="135"/>
  <c r="P25" i="135" s="1"/>
  <c r="V10" i="120"/>
  <c r="T10" i="120"/>
  <c r="R10" i="120"/>
  <c r="P10" i="120"/>
  <c r="Q10" i="120" s="1"/>
  <c r="R9" i="136" l="1"/>
  <c r="T9" i="136" s="1"/>
  <c r="V9" i="136" s="1"/>
  <c r="W9" i="136"/>
  <c r="X9" i="136"/>
  <c r="Z9" i="136" s="1"/>
  <c r="R25" i="135"/>
  <c r="T25" i="135" s="1"/>
  <c r="V25" i="135" s="1"/>
  <c r="W25" i="135" s="1"/>
  <c r="S10" i="120"/>
  <c r="U10" i="120" s="1"/>
  <c r="W10" i="120" s="1"/>
  <c r="Y10" i="120" s="1"/>
  <c r="AA10" i="120" s="1"/>
  <c r="X25" i="135" l="1"/>
  <c r="Z25" i="135" s="1"/>
  <c r="AA25" i="135" s="1"/>
  <c r="AA9" i="136"/>
  <c r="X10" i="120"/>
  <c r="AB10" i="120" s="1"/>
  <c r="N12" i="134" l="1"/>
  <c r="O12" i="134" s="1"/>
  <c r="M12" i="134"/>
  <c r="J12" i="134"/>
  <c r="Z11" i="134"/>
  <c r="M11" i="134"/>
  <c r="L11" i="134"/>
  <c r="K11" i="134"/>
  <c r="V12" i="134" l="1"/>
  <c r="T12" i="134"/>
  <c r="R12" i="134"/>
  <c r="P12" i="134"/>
  <c r="Q12" i="134" s="1"/>
  <c r="S12" i="134" s="1"/>
  <c r="U12" i="134" s="1"/>
  <c r="W12" i="134" s="1"/>
  <c r="Y12" i="134" l="1"/>
  <c r="X12" i="134"/>
  <c r="X11" i="134" l="1"/>
  <c r="Y11" i="134"/>
  <c r="AA12" i="134"/>
  <c r="AA11" i="134" s="1"/>
  <c r="AB12" i="134" l="1"/>
  <c r="AB11" i="134" s="1"/>
  <c r="B38" i="123" l="1"/>
  <c r="Y26" i="123"/>
  <c r="AA26" i="123" s="1"/>
  <c r="N26" i="123"/>
  <c r="O26" i="123" s="1"/>
  <c r="M26" i="123"/>
  <c r="V26" i="123" l="1"/>
  <c r="T26" i="123"/>
  <c r="R26" i="123"/>
  <c r="P26" i="123"/>
  <c r="Q26" i="123" s="1"/>
  <c r="N26" i="120"/>
  <c r="O26" i="120" s="1"/>
  <c r="M26" i="120"/>
  <c r="N34" i="123"/>
  <c r="O34" i="123" s="1"/>
  <c r="M34" i="123"/>
  <c r="M33" i="123" s="1"/>
  <c r="J34" i="123"/>
  <c r="Z33" i="123"/>
  <c r="L33" i="123"/>
  <c r="K33" i="123"/>
  <c r="N44" i="123"/>
  <c r="O44" i="123" s="1"/>
  <c r="M44" i="123"/>
  <c r="J44" i="123"/>
  <c r="N28" i="119"/>
  <c r="O28" i="119" s="1"/>
  <c r="M28" i="119"/>
  <c r="N38" i="121"/>
  <c r="O38" i="121" s="1"/>
  <c r="M38" i="121"/>
  <c r="Y23" i="121"/>
  <c r="AA23" i="121" s="1"/>
  <c r="N23" i="121"/>
  <c r="O23" i="121" s="1"/>
  <c r="M23" i="121"/>
  <c r="N45" i="123"/>
  <c r="O45" i="123" s="1"/>
  <c r="M45" i="123"/>
  <c r="N43" i="123"/>
  <c r="O43" i="123" s="1"/>
  <c r="M43" i="123"/>
  <c r="J43" i="123"/>
  <c r="N15" i="120"/>
  <c r="O15" i="120" s="1"/>
  <c r="M15" i="120"/>
  <c r="S26" i="123" l="1"/>
  <c r="U26" i="123" s="1"/>
  <c r="W26" i="123" s="1"/>
  <c r="X26" i="123" s="1"/>
  <c r="AB26" i="123" s="1"/>
  <c r="V26" i="120"/>
  <c r="T26" i="120"/>
  <c r="R26" i="120"/>
  <c r="P26" i="120"/>
  <c r="Q26" i="120" s="1"/>
  <c r="V34" i="123"/>
  <c r="T34" i="123"/>
  <c r="R34" i="123"/>
  <c r="P34" i="123"/>
  <c r="Q34" i="123" s="1"/>
  <c r="V44" i="123"/>
  <c r="T44" i="123"/>
  <c r="R44" i="123"/>
  <c r="P44" i="123"/>
  <c r="Q44" i="123" s="1"/>
  <c r="V28" i="119"/>
  <c r="T28" i="119"/>
  <c r="R28" i="119"/>
  <c r="P28" i="119"/>
  <c r="Q28" i="119" s="1"/>
  <c r="V38" i="121"/>
  <c r="T38" i="121"/>
  <c r="R38" i="121"/>
  <c r="P38" i="121"/>
  <c r="Q38" i="121" s="1"/>
  <c r="R23" i="121"/>
  <c r="P23" i="121"/>
  <c r="Q23" i="121" s="1"/>
  <c r="V23" i="121"/>
  <c r="T23" i="121"/>
  <c r="V45" i="123"/>
  <c r="T45" i="123"/>
  <c r="R45" i="123"/>
  <c r="P45" i="123"/>
  <c r="Q45" i="123" s="1"/>
  <c r="T43" i="123"/>
  <c r="R43" i="123"/>
  <c r="P43" i="123"/>
  <c r="Q43" i="123" s="1"/>
  <c r="V43" i="123"/>
  <c r="V15" i="120"/>
  <c r="T15" i="120"/>
  <c r="R15" i="120"/>
  <c r="P15" i="120"/>
  <c r="Q15" i="120" s="1"/>
  <c r="S28" i="119" l="1"/>
  <c r="U28" i="119" s="1"/>
  <c r="W28" i="119" s="1"/>
  <c r="Y28" i="119" s="1"/>
  <c r="AA28" i="119" s="1"/>
  <c r="S38" i="121"/>
  <c r="U38" i="121"/>
  <c r="W38" i="121" s="1"/>
  <c r="S23" i="121"/>
  <c r="U23" i="121" s="1"/>
  <c r="W23" i="121" s="1"/>
  <c r="X23" i="121" s="1"/>
  <c r="AB23" i="121" s="1"/>
  <c r="S43" i="123"/>
  <c r="U43" i="123" s="1"/>
  <c r="S26" i="120"/>
  <c r="U26" i="120" s="1"/>
  <c r="W26" i="120" s="1"/>
  <c r="S34" i="123"/>
  <c r="U34" i="123" s="1"/>
  <c r="W34" i="123" s="1"/>
  <c r="X34" i="123" s="1"/>
  <c r="S44" i="123"/>
  <c r="U44" i="123" s="1"/>
  <c r="S45" i="123"/>
  <c r="S15" i="120"/>
  <c r="U15" i="120" s="1"/>
  <c r="W15" i="120" s="1"/>
  <c r="X15" i="120" s="1"/>
  <c r="Y34" i="123"/>
  <c r="AA34" i="123" s="1"/>
  <c r="W44" i="123"/>
  <c r="X44" i="123" s="1"/>
  <c r="U45" i="123"/>
  <c r="W45" i="123" s="1"/>
  <c r="Y45" i="123" s="1"/>
  <c r="AA45" i="123" s="1"/>
  <c r="Y38" i="121"/>
  <c r="AA38" i="121" s="1"/>
  <c r="X38" i="121"/>
  <c r="W43" i="123"/>
  <c r="X43" i="123" s="1"/>
  <c r="X28" i="119" l="1"/>
  <c r="X26" i="120"/>
  <c r="Y26" i="120"/>
  <c r="AA26" i="120" s="1"/>
  <c r="AB26" i="120" s="1"/>
  <c r="Y44" i="123"/>
  <c r="AA44" i="123" s="1"/>
  <c r="AB44" i="123" s="1"/>
  <c r="Y15" i="120"/>
  <c r="AA15" i="120" s="1"/>
  <c r="AB15" i="120" s="1"/>
  <c r="AB34" i="123"/>
  <c r="X33" i="123"/>
  <c r="AA33" i="123"/>
  <c r="Y33" i="123"/>
  <c r="Y43" i="123"/>
  <c r="AA43" i="123" s="1"/>
  <c r="AB43" i="123" s="1"/>
  <c r="X45" i="123"/>
  <c r="AB45" i="123" s="1"/>
  <c r="AB28" i="119"/>
  <c r="AB38" i="121"/>
  <c r="AB33" i="123" l="1"/>
  <c r="J10" i="134" l="1"/>
  <c r="M41" i="135" l="1"/>
  <c r="N41" i="135" s="1"/>
  <c r="L41" i="135"/>
  <c r="U41" i="135" l="1"/>
  <c r="S41" i="135"/>
  <c r="Q41" i="135"/>
  <c r="O41" i="135"/>
  <c r="P41" i="135" s="1"/>
  <c r="R41" i="135" l="1"/>
  <c r="T41" i="135" s="1"/>
  <c r="V41" i="135" s="1"/>
  <c r="X41" i="135" s="1"/>
  <c r="Z41" i="135" s="1"/>
  <c r="W41" i="135" l="1"/>
  <c r="AA41" i="135"/>
  <c r="M14" i="135"/>
  <c r="N14" i="135" s="1"/>
  <c r="L14" i="135"/>
  <c r="M26" i="135"/>
  <c r="N26" i="135" s="1"/>
  <c r="L26" i="135"/>
  <c r="Z17" i="133"/>
  <c r="L17" i="133"/>
  <c r="K45" i="135"/>
  <c r="Z8" i="121"/>
  <c r="L8" i="121"/>
  <c r="K8" i="121"/>
  <c r="Z8" i="119"/>
  <c r="L8" i="119"/>
  <c r="Z26" i="119"/>
  <c r="L26" i="119"/>
  <c r="K26" i="119"/>
  <c r="N15" i="133"/>
  <c r="O15" i="133" s="1"/>
  <c r="M15" i="133"/>
  <c r="J15" i="133"/>
  <c r="Z15" i="123"/>
  <c r="L15" i="123"/>
  <c r="K15" i="123"/>
  <c r="Z11" i="123"/>
  <c r="L11" i="123"/>
  <c r="K11" i="123"/>
  <c r="N25" i="120"/>
  <c r="O25" i="120" s="1"/>
  <c r="M25" i="120"/>
  <c r="N14" i="133"/>
  <c r="O14" i="133" s="1"/>
  <c r="M14" i="133"/>
  <c r="N13" i="121"/>
  <c r="O13" i="121" s="1"/>
  <c r="M13" i="121"/>
  <c r="U14" i="135" l="1"/>
  <c r="S14" i="135"/>
  <c r="Q14" i="135"/>
  <c r="O14" i="135"/>
  <c r="P14" i="135" s="1"/>
  <c r="U26" i="135"/>
  <c r="S26" i="135"/>
  <c r="Q26" i="135"/>
  <c r="O26" i="135"/>
  <c r="P26" i="135" s="1"/>
  <c r="V15" i="133"/>
  <c r="T15" i="133"/>
  <c r="R15" i="133"/>
  <c r="P15" i="133"/>
  <c r="Q15" i="133" s="1"/>
  <c r="V25" i="120"/>
  <c r="T25" i="120"/>
  <c r="R25" i="120"/>
  <c r="P25" i="120"/>
  <c r="Q25" i="120" s="1"/>
  <c r="V14" i="133"/>
  <c r="T14" i="133"/>
  <c r="R14" i="133"/>
  <c r="P14" i="133"/>
  <c r="Q14" i="133" s="1"/>
  <c r="V13" i="121"/>
  <c r="R13" i="121"/>
  <c r="T13" i="121"/>
  <c r="P13" i="121"/>
  <c r="Q13" i="121" s="1"/>
  <c r="M44" i="135"/>
  <c r="N44" i="135" s="1"/>
  <c r="L44" i="135"/>
  <c r="M33" i="135"/>
  <c r="N33" i="135" s="1"/>
  <c r="L33" i="135"/>
  <c r="M32" i="135"/>
  <c r="N32" i="135" s="1"/>
  <c r="L32" i="135"/>
  <c r="M31" i="135"/>
  <c r="N31" i="135" s="1"/>
  <c r="U31" i="135" s="1"/>
  <c r="L31" i="135"/>
  <c r="M30" i="135"/>
  <c r="N30" i="135" s="1"/>
  <c r="U30" i="135" s="1"/>
  <c r="L30" i="135"/>
  <c r="M29" i="135"/>
  <c r="N29" i="135" s="1"/>
  <c r="L29" i="135"/>
  <c r="M28" i="135"/>
  <c r="N28" i="135" s="1"/>
  <c r="L28" i="135"/>
  <c r="M27" i="135"/>
  <c r="N27" i="135" s="1"/>
  <c r="U27" i="135" s="1"/>
  <c r="L27" i="135"/>
  <c r="M17" i="135"/>
  <c r="N17" i="135" s="1"/>
  <c r="U17" i="135" s="1"/>
  <c r="L17" i="135"/>
  <c r="M16" i="135"/>
  <c r="N16" i="135" s="1"/>
  <c r="L16" i="135"/>
  <c r="M15" i="135"/>
  <c r="N15" i="135" s="1"/>
  <c r="L15" i="135"/>
  <c r="N14" i="123"/>
  <c r="O14" i="123" s="1"/>
  <c r="M14" i="123"/>
  <c r="J14" i="123"/>
  <c r="Z34" i="121"/>
  <c r="L34" i="121"/>
  <c r="K34" i="121"/>
  <c r="N27" i="121"/>
  <c r="O27" i="121" s="1"/>
  <c r="M27" i="121"/>
  <c r="Z26" i="121"/>
  <c r="L26" i="121"/>
  <c r="K26" i="121"/>
  <c r="N39" i="121"/>
  <c r="O39" i="121" s="1"/>
  <c r="M39" i="121"/>
  <c r="A3" i="136"/>
  <c r="Y30" i="119"/>
  <c r="AA30" i="119" s="1"/>
  <c r="AA29" i="119" s="1"/>
  <c r="N30" i="119"/>
  <c r="O30" i="119" s="1"/>
  <c r="M30" i="119"/>
  <c r="Z29" i="119"/>
  <c r="L29" i="119"/>
  <c r="K29" i="119"/>
  <c r="S14" i="133" l="1"/>
  <c r="S15" i="133"/>
  <c r="U15" i="133" s="1"/>
  <c r="W15" i="133" s="1"/>
  <c r="U14" i="133"/>
  <c r="W14" i="133" s="1"/>
  <c r="S25" i="120"/>
  <c r="R14" i="135"/>
  <c r="T14" i="135" s="1"/>
  <c r="V14" i="135" s="1"/>
  <c r="W14" i="135" s="1"/>
  <c r="R26" i="135"/>
  <c r="T26" i="135" s="1"/>
  <c r="V26" i="135" s="1"/>
  <c r="X26" i="135" s="1"/>
  <c r="Z26" i="135" s="1"/>
  <c r="U25" i="120"/>
  <c r="W25" i="120" s="1"/>
  <c r="X25" i="120" s="1"/>
  <c r="Y15" i="133"/>
  <c r="AA15" i="133" s="1"/>
  <c r="X15" i="133"/>
  <c r="Y14" i="133"/>
  <c r="AA14" i="133" s="1"/>
  <c r="X14" i="133"/>
  <c r="S13" i="121"/>
  <c r="U13" i="121" s="1"/>
  <c r="W13" i="121" s="1"/>
  <c r="S31" i="135"/>
  <c r="O27" i="135"/>
  <c r="P27" i="135" s="1"/>
  <c r="O31" i="135"/>
  <c r="P31" i="135" s="1"/>
  <c r="S27" i="135"/>
  <c r="S28" i="135"/>
  <c r="O28" i="135"/>
  <c r="P28" i="135" s="1"/>
  <c r="U28" i="135"/>
  <c r="Q28" i="135"/>
  <c r="S32" i="135"/>
  <c r="O32" i="135"/>
  <c r="P32" i="135" s="1"/>
  <c r="U32" i="135"/>
  <c r="Q32" i="135"/>
  <c r="S29" i="135"/>
  <c r="O29" i="135"/>
  <c r="P29" i="135" s="1"/>
  <c r="U29" i="135"/>
  <c r="Q29" i="135"/>
  <c r="S33" i="135"/>
  <c r="O33" i="135"/>
  <c r="P33" i="135" s="1"/>
  <c r="Q33" i="135"/>
  <c r="U33" i="135"/>
  <c r="U44" i="135"/>
  <c r="Q44" i="135"/>
  <c r="O44" i="135"/>
  <c r="P44" i="135" s="1"/>
  <c r="S44" i="135"/>
  <c r="O30" i="135"/>
  <c r="P30" i="135" s="1"/>
  <c r="S30" i="135"/>
  <c r="Q27" i="135"/>
  <c r="Q31" i="135"/>
  <c r="Q30" i="135"/>
  <c r="S16" i="135"/>
  <c r="O16" i="135"/>
  <c r="P16" i="135" s="1"/>
  <c r="U16" i="135"/>
  <c r="Q16" i="135"/>
  <c r="S15" i="135"/>
  <c r="O15" i="135"/>
  <c r="P15" i="135" s="1"/>
  <c r="U15" i="135"/>
  <c r="Q15" i="135"/>
  <c r="O17" i="135"/>
  <c r="P17" i="135" s="1"/>
  <c r="S17" i="135"/>
  <c r="Q17" i="135"/>
  <c r="T14" i="123"/>
  <c r="P14" i="123"/>
  <c r="Q14" i="123" s="1"/>
  <c r="V14" i="123"/>
  <c r="R14" i="123"/>
  <c r="V27" i="121"/>
  <c r="R27" i="121"/>
  <c r="T27" i="121"/>
  <c r="P27" i="121"/>
  <c r="Q27" i="121" s="1"/>
  <c r="P39" i="121"/>
  <c r="Q39" i="121" s="1"/>
  <c r="V39" i="121"/>
  <c r="R39" i="121"/>
  <c r="T39" i="121"/>
  <c r="Y29" i="119"/>
  <c r="R30" i="119"/>
  <c r="T30" i="119"/>
  <c r="P30" i="119"/>
  <c r="Q30" i="119" s="1"/>
  <c r="V30" i="119"/>
  <c r="M29" i="119"/>
  <c r="S30" i="119" l="1"/>
  <c r="U30" i="119"/>
  <c r="Y25" i="120"/>
  <c r="AA25" i="120" s="1"/>
  <c r="AB25" i="120" s="1"/>
  <c r="AB15" i="133"/>
  <c r="X14" i="135"/>
  <c r="Z14" i="135" s="1"/>
  <c r="AA14" i="135" s="1"/>
  <c r="W26" i="135"/>
  <c r="AA26" i="135" s="1"/>
  <c r="Y45" i="135"/>
  <c r="AB14" i="133"/>
  <c r="R44" i="135"/>
  <c r="R31" i="135"/>
  <c r="T31" i="135" s="1"/>
  <c r="V31" i="135" s="1"/>
  <c r="X31" i="135" s="1"/>
  <c r="Z31" i="135" s="1"/>
  <c r="Y13" i="121"/>
  <c r="X13" i="121"/>
  <c r="R15" i="135"/>
  <c r="T15" i="135" s="1"/>
  <c r="V15" i="135" s="1"/>
  <c r="W15" i="135" s="1"/>
  <c r="R29" i="135"/>
  <c r="T29" i="135" s="1"/>
  <c r="V29" i="135" s="1"/>
  <c r="R32" i="135"/>
  <c r="T32" i="135" s="1"/>
  <c r="V32" i="135" s="1"/>
  <c r="W32" i="135" s="1"/>
  <c r="R28" i="135"/>
  <c r="T28" i="135" s="1"/>
  <c r="V28" i="135" s="1"/>
  <c r="X28" i="135" s="1"/>
  <c r="Z28" i="135" s="1"/>
  <c r="T44" i="135"/>
  <c r="V44" i="135" s="1"/>
  <c r="W44" i="135" s="1"/>
  <c r="R17" i="135"/>
  <c r="T17" i="135" s="1"/>
  <c r="V17" i="135" s="1"/>
  <c r="R16" i="135"/>
  <c r="T16" i="135" s="1"/>
  <c r="V16" i="135" s="1"/>
  <c r="X16" i="135" s="1"/>
  <c r="Z16" i="135" s="1"/>
  <c r="R33" i="135"/>
  <c r="T33" i="135" s="1"/>
  <c r="V33" i="135" s="1"/>
  <c r="X33" i="135" s="1"/>
  <c r="Z33" i="135" s="1"/>
  <c r="X29" i="135"/>
  <c r="Z29" i="135" s="1"/>
  <c r="W29" i="135"/>
  <c r="R30" i="135"/>
  <c r="T30" i="135" s="1"/>
  <c r="V30" i="135" s="1"/>
  <c r="R27" i="135"/>
  <c r="T27" i="135" s="1"/>
  <c r="V27" i="135" s="1"/>
  <c r="S14" i="123"/>
  <c r="U14" i="123" s="1"/>
  <c r="W14" i="123" s="1"/>
  <c r="AA14" i="123" s="1"/>
  <c r="S27" i="121"/>
  <c r="U27" i="121" s="1"/>
  <c r="W27" i="121" s="1"/>
  <c r="X27" i="121" s="1"/>
  <c r="S39" i="121"/>
  <c r="U39" i="121" s="1"/>
  <c r="W39" i="121" s="1"/>
  <c r="X39" i="121" s="1"/>
  <c r="W30" i="119"/>
  <c r="X29" i="119" s="1"/>
  <c r="X44" i="135" l="1"/>
  <c r="Z44" i="135" s="1"/>
  <c r="W28" i="135"/>
  <c r="W31" i="135"/>
  <c r="X32" i="135"/>
  <c r="Z32" i="135" s="1"/>
  <c r="AA13" i="121"/>
  <c r="AB13" i="121" s="1"/>
  <c r="AA29" i="135"/>
  <c r="X15" i="135"/>
  <c r="Z15" i="135" s="1"/>
  <c r="W33" i="135"/>
  <c r="W16" i="135"/>
  <c r="AA31" i="135"/>
  <c r="AA33" i="135"/>
  <c r="AA28" i="135"/>
  <c r="X30" i="135"/>
  <c r="Z30" i="135" s="1"/>
  <c r="W30" i="135"/>
  <c r="X27" i="135"/>
  <c r="Z27" i="135" s="1"/>
  <c r="W27" i="135"/>
  <c r="AA32" i="135"/>
  <c r="AA44" i="135"/>
  <c r="AA16" i="135"/>
  <c r="W17" i="135"/>
  <c r="X17" i="135"/>
  <c r="Z17" i="135" s="1"/>
  <c r="AA15" i="135"/>
  <c r="X14" i="123"/>
  <c r="AB14" i="123" s="1"/>
  <c r="Y27" i="121"/>
  <c r="AA27" i="121" s="1"/>
  <c r="AB27" i="121" s="1"/>
  <c r="Y39" i="121"/>
  <c r="AA39" i="121" s="1"/>
  <c r="AB39" i="121" s="1"/>
  <c r="AB30" i="119"/>
  <c r="AB29" i="119" s="1"/>
  <c r="AA27" i="135" l="1"/>
  <c r="AA30" i="135"/>
  <c r="AA17" i="135"/>
  <c r="M13" i="135"/>
  <c r="N13" i="135" s="1"/>
  <c r="L13" i="135"/>
  <c r="M11" i="135"/>
  <c r="N11" i="135" s="1"/>
  <c r="L11" i="135"/>
  <c r="N11" i="121"/>
  <c r="O11" i="121" s="1"/>
  <c r="M11" i="121"/>
  <c r="U13" i="135" l="1"/>
  <c r="Q13" i="135"/>
  <c r="S13" i="135"/>
  <c r="O13" i="135"/>
  <c r="P13" i="135" s="1"/>
  <c r="U11" i="135"/>
  <c r="Q11" i="135"/>
  <c r="S11" i="135"/>
  <c r="O11" i="135"/>
  <c r="P11" i="135" s="1"/>
  <c r="V11" i="121"/>
  <c r="R11" i="121"/>
  <c r="T11" i="121"/>
  <c r="P11" i="121"/>
  <c r="Q11" i="121" s="1"/>
  <c r="R13" i="135" l="1"/>
  <c r="T13" i="135" s="1"/>
  <c r="V13" i="135" s="1"/>
  <c r="R11" i="135"/>
  <c r="T11" i="135" s="1"/>
  <c r="V11" i="135" s="1"/>
  <c r="W11" i="135" s="1"/>
  <c r="S11" i="121"/>
  <c r="U11" i="121" s="1"/>
  <c r="W11" i="121" s="1"/>
  <c r="Y11" i="121" s="1"/>
  <c r="AA11" i="121" l="1"/>
  <c r="W13" i="135"/>
  <c r="X13" i="135"/>
  <c r="Z13" i="135" s="1"/>
  <c r="AA13" i="135" s="1"/>
  <c r="X11" i="135"/>
  <c r="Z11" i="135" s="1"/>
  <c r="AA11" i="135" s="1"/>
  <c r="X11" i="121"/>
  <c r="AB11" i="121" l="1"/>
  <c r="A3" i="132"/>
  <c r="A3" i="133" s="1"/>
  <c r="A3" i="131"/>
  <c r="A3" i="118"/>
  <c r="A3" i="123"/>
  <c r="A3" i="121"/>
  <c r="B32" i="121" s="1"/>
  <c r="B19" i="120"/>
  <c r="A3" i="120"/>
  <c r="B3" i="134"/>
  <c r="N12" i="132" l="1"/>
  <c r="O12" i="132" s="1"/>
  <c r="M12" i="132"/>
  <c r="Z24" i="123"/>
  <c r="L24" i="123"/>
  <c r="K24" i="123"/>
  <c r="V12" i="132" l="1"/>
  <c r="R12" i="132"/>
  <c r="T12" i="132"/>
  <c r="P12" i="132"/>
  <c r="Q12" i="132" s="1"/>
  <c r="S12" i="132" l="1"/>
  <c r="U12" i="132" s="1"/>
  <c r="W12" i="132" s="1"/>
  <c r="X12" i="132" s="1"/>
  <c r="Y12" i="132" l="1"/>
  <c r="AA12" i="132" s="1"/>
  <c r="AB12" i="132" l="1"/>
  <c r="N32" i="123"/>
  <c r="O32" i="123" s="1"/>
  <c r="V32" i="123" s="1"/>
  <c r="M32" i="123"/>
  <c r="N21" i="121"/>
  <c r="O21" i="121" s="1"/>
  <c r="M21" i="121"/>
  <c r="K29" i="123"/>
  <c r="P32" i="123" l="1"/>
  <c r="Q32" i="123" s="1"/>
  <c r="T32" i="123"/>
  <c r="R32" i="123"/>
  <c r="V21" i="121"/>
  <c r="R21" i="121"/>
  <c r="T21" i="121"/>
  <c r="P21" i="121"/>
  <c r="Q21" i="121" s="1"/>
  <c r="L29" i="123"/>
  <c r="Z29" i="123"/>
  <c r="L8" i="123"/>
  <c r="Z8" i="123"/>
  <c r="K8" i="123"/>
  <c r="S21" i="121" l="1"/>
  <c r="U21" i="121" s="1"/>
  <c r="W21" i="121" s="1"/>
  <c r="X21" i="121" s="1"/>
  <c r="S32" i="123"/>
  <c r="U32" i="123" s="1"/>
  <c r="W32" i="123" s="1"/>
  <c r="X32" i="123" s="1"/>
  <c r="Y21" i="121" l="1"/>
  <c r="AA21" i="121" s="1"/>
  <c r="AB21" i="121" s="1"/>
  <c r="Y32" i="123"/>
  <c r="AA32" i="123" s="1"/>
  <c r="AB32" i="123" s="1"/>
  <c r="N30" i="123"/>
  <c r="M30" i="123"/>
  <c r="N36" i="120"/>
  <c r="O36" i="120" s="1"/>
  <c r="M36" i="120"/>
  <c r="O30" i="123" l="1"/>
  <c r="V30" i="123" s="1"/>
  <c r="V36" i="120"/>
  <c r="R36" i="120"/>
  <c r="T36" i="120"/>
  <c r="P36" i="120"/>
  <c r="Q36" i="120" s="1"/>
  <c r="T30" i="123" l="1"/>
  <c r="S36" i="120"/>
  <c r="U36" i="120" s="1"/>
  <c r="W36" i="120" s="1"/>
  <c r="P30" i="123"/>
  <c r="R30" i="123"/>
  <c r="Y36" i="120" l="1"/>
  <c r="AA36" i="120" s="1"/>
  <c r="X36" i="120"/>
  <c r="Q30" i="123"/>
  <c r="N25" i="123"/>
  <c r="M25" i="123"/>
  <c r="M24" i="123" s="1"/>
  <c r="N22" i="120"/>
  <c r="O22" i="120" s="1"/>
  <c r="M22" i="120"/>
  <c r="AB36" i="120" l="1"/>
  <c r="O25" i="123"/>
  <c r="O24" i="123" s="1"/>
  <c r="N24" i="123"/>
  <c r="S30" i="123"/>
  <c r="T22" i="120"/>
  <c r="P22" i="120"/>
  <c r="Q22" i="120" s="1"/>
  <c r="V22" i="120"/>
  <c r="R22" i="120"/>
  <c r="T25" i="123" l="1"/>
  <c r="T24" i="123" s="1"/>
  <c r="V25" i="123"/>
  <c r="V24" i="123" s="1"/>
  <c r="U30" i="123"/>
  <c r="P25" i="123"/>
  <c r="R25" i="123"/>
  <c r="R24" i="123" s="1"/>
  <c r="S22" i="120"/>
  <c r="U22" i="120" s="1"/>
  <c r="W22" i="120" s="1"/>
  <c r="X22" i="120" s="1"/>
  <c r="Q25" i="123" l="1"/>
  <c r="P24" i="123"/>
  <c r="W30" i="123"/>
  <c r="X30" i="123" s="1"/>
  <c r="Y22" i="120"/>
  <c r="AA22" i="120" s="1"/>
  <c r="AB22" i="120" s="1"/>
  <c r="N16" i="133"/>
  <c r="O16" i="133" s="1"/>
  <c r="V16" i="133" s="1"/>
  <c r="M16" i="133"/>
  <c r="J16" i="133"/>
  <c r="N25" i="121"/>
  <c r="O25" i="121" s="1"/>
  <c r="M25" i="121"/>
  <c r="Y30" i="123" l="1"/>
  <c r="Q24" i="123"/>
  <c r="S25" i="123"/>
  <c r="P16" i="133"/>
  <c r="Q16" i="133" s="1"/>
  <c r="T16" i="133"/>
  <c r="R16" i="133"/>
  <c r="R25" i="121"/>
  <c r="T25" i="121"/>
  <c r="P25" i="121"/>
  <c r="Q25" i="121" s="1"/>
  <c r="V25" i="121"/>
  <c r="U25" i="123" l="1"/>
  <c r="S24" i="123"/>
  <c r="AA30" i="123"/>
  <c r="S25" i="121"/>
  <c r="U25" i="121" s="1"/>
  <c r="W25" i="121" s="1"/>
  <c r="X25" i="121" s="1"/>
  <c r="S16" i="133"/>
  <c r="U16" i="133" s="1"/>
  <c r="W16" i="133" s="1"/>
  <c r="Y16" i="133" l="1"/>
  <c r="AA16" i="133" s="1"/>
  <c r="X16" i="133"/>
  <c r="Y25" i="121"/>
  <c r="AA25" i="121" s="1"/>
  <c r="AB25" i="121" s="1"/>
  <c r="W25" i="123"/>
  <c r="X25" i="123" s="1"/>
  <c r="U24" i="123"/>
  <c r="AB30" i="123"/>
  <c r="AB16" i="133" l="1"/>
  <c r="Y25" i="123"/>
  <c r="Y24" i="123" s="1"/>
  <c r="W24" i="123"/>
  <c r="X24" i="123"/>
  <c r="AA25" i="123" l="1"/>
  <c r="AA24" i="123" s="1"/>
  <c r="M23" i="120"/>
  <c r="N23" i="120"/>
  <c r="O23" i="120" s="1"/>
  <c r="N11" i="120"/>
  <c r="O11" i="120" s="1"/>
  <c r="M11" i="120"/>
  <c r="N22" i="121"/>
  <c r="O22" i="121" s="1"/>
  <c r="M22" i="121"/>
  <c r="N31" i="123"/>
  <c r="M31" i="123"/>
  <c r="M29" i="123" s="1"/>
  <c r="N10" i="121"/>
  <c r="O10" i="121" s="1"/>
  <c r="M10" i="121"/>
  <c r="N9" i="121"/>
  <c r="O9" i="121" s="1"/>
  <c r="M9" i="121"/>
  <c r="N9" i="132"/>
  <c r="O9" i="132" s="1"/>
  <c r="M9" i="132"/>
  <c r="N11" i="132"/>
  <c r="O11" i="132" s="1"/>
  <c r="M11" i="132"/>
  <c r="M9" i="135"/>
  <c r="N9" i="135" s="1"/>
  <c r="L9" i="135"/>
  <c r="O31" i="123" l="1"/>
  <c r="O29" i="123" s="1"/>
  <c r="N29" i="123"/>
  <c r="AB25" i="123"/>
  <c r="AB24" i="123" s="1"/>
  <c r="R23" i="120"/>
  <c r="V23" i="120"/>
  <c r="P23" i="120"/>
  <c r="Q23" i="120" s="1"/>
  <c r="T23" i="120"/>
  <c r="V11" i="120"/>
  <c r="P11" i="120"/>
  <c r="Q11" i="120" s="1"/>
  <c r="T11" i="120"/>
  <c r="R11" i="120"/>
  <c r="V22" i="121"/>
  <c r="R22" i="121"/>
  <c r="T22" i="121"/>
  <c r="P22" i="121"/>
  <c r="Q22" i="121" s="1"/>
  <c r="T10" i="121"/>
  <c r="P10" i="121"/>
  <c r="Q10" i="121" s="1"/>
  <c r="V10" i="121"/>
  <c r="R10" i="121"/>
  <c r="T9" i="121"/>
  <c r="V9" i="121"/>
  <c r="R9" i="121"/>
  <c r="P9" i="121"/>
  <c r="Q9" i="121" s="1"/>
  <c r="V9" i="132"/>
  <c r="R9" i="132"/>
  <c r="T9" i="132"/>
  <c r="P9" i="132"/>
  <c r="Q9" i="132" s="1"/>
  <c r="R11" i="132"/>
  <c r="T11" i="132"/>
  <c r="P11" i="132"/>
  <c r="Q11" i="132" s="1"/>
  <c r="V11" i="132"/>
  <c r="U9" i="135"/>
  <c r="Q9" i="135"/>
  <c r="S9" i="135"/>
  <c r="O9" i="135"/>
  <c r="P9" i="135" s="1"/>
  <c r="V31" i="123" l="1"/>
  <c r="V29" i="123" s="1"/>
  <c r="T31" i="123"/>
  <c r="T29" i="123" s="1"/>
  <c r="S22" i="121"/>
  <c r="U22" i="121" s="1"/>
  <c r="W22" i="121" s="1"/>
  <c r="P31" i="123"/>
  <c r="R31" i="123"/>
  <c r="R29" i="123" s="1"/>
  <c r="S9" i="121"/>
  <c r="U9" i="121" s="1"/>
  <c r="W9" i="121" s="1"/>
  <c r="S10" i="121"/>
  <c r="U10" i="121" s="1"/>
  <c r="W10" i="121" s="1"/>
  <c r="S23" i="120"/>
  <c r="U23" i="120" s="1"/>
  <c r="W23" i="120" s="1"/>
  <c r="S11" i="120"/>
  <c r="U11" i="120" s="1"/>
  <c r="W11" i="120" s="1"/>
  <c r="X11" i="120" s="1"/>
  <c r="R9" i="135"/>
  <c r="T9" i="135" s="1"/>
  <c r="V9" i="135" s="1"/>
  <c r="W9" i="135" s="1"/>
  <c r="S11" i="132"/>
  <c r="U11" i="132" s="1"/>
  <c r="W11" i="132" s="1"/>
  <c r="X11" i="132" s="1"/>
  <c r="S9" i="132"/>
  <c r="U9" i="132" s="1"/>
  <c r="W9" i="132" s="1"/>
  <c r="Y10" i="121" l="1"/>
  <c r="X10" i="121"/>
  <c r="Y22" i="121"/>
  <c r="AA22" i="121" s="1"/>
  <c r="X22" i="121"/>
  <c r="Y9" i="132"/>
  <c r="AA9" i="132" s="1"/>
  <c r="X9" i="132"/>
  <c r="Y23" i="120"/>
  <c r="AA23" i="120" s="1"/>
  <c r="X23" i="120"/>
  <c r="Y9" i="121"/>
  <c r="AA9" i="121" s="1"/>
  <c r="X9" i="121"/>
  <c r="Q31" i="123"/>
  <c r="P29" i="123"/>
  <c r="X9" i="135"/>
  <c r="Y11" i="120"/>
  <c r="AA11" i="120" s="1"/>
  <c r="AB11" i="120" s="1"/>
  <c r="Y11" i="132"/>
  <c r="AA11" i="132" s="1"/>
  <c r="AB11" i="132" s="1"/>
  <c r="AA10" i="121" l="1"/>
  <c r="AB10" i="121" s="1"/>
  <c r="Z9" i="135"/>
  <c r="AB9" i="132"/>
  <c r="AB23" i="120"/>
  <c r="AB22" i="121"/>
  <c r="AB9" i="121"/>
  <c r="Q29" i="123"/>
  <c r="S31" i="123"/>
  <c r="AA9" i="135"/>
  <c r="U31" i="123" l="1"/>
  <c r="S29" i="123"/>
  <c r="N36" i="121"/>
  <c r="O36" i="121" s="1"/>
  <c r="M36" i="121"/>
  <c r="N35" i="121"/>
  <c r="O35" i="121" s="1"/>
  <c r="V35" i="121" s="1"/>
  <c r="M35" i="121"/>
  <c r="N14" i="121"/>
  <c r="O14" i="121" s="1"/>
  <c r="M14" i="121"/>
  <c r="N14" i="120"/>
  <c r="O14" i="120" s="1"/>
  <c r="M14" i="120"/>
  <c r="N24" i="120"/>
  <c r="O24" i="120" s="1"/>
  <c r="M24" i="120"/>
  <c r="M12" i="135"/>
  <c r="N12" i="135" s="1"/>
  <c r="L12" i="135"/>
  <c r="M34" i="121" l="1"/>
  <c r="W31" i="123"/>
  <c r="X31" i="123" s="1"/>
  <c r="U29" i="123"/>
  <c r="V36" i="121"/>
  <c r="R36" i="121"/>
  <c r="T36" i="121"/>
  <c r="P36" i="121"/>
  <c r="Q36" i="121" s="1"/>
  <c r="P35" i="121"/>
  <c r="Q35" i="121" s="1"/>
  <c r="T35" i="121"/>
  <c r="R35" i="121"/>
  <c r="T14" i="121"/>
  <c r="P14" i="121"/>
  <c r="Q14" i="121" s="1"/>
  <c r="V14" i="121"/>
  <c r="R14" i="121"/>
  <c r="R14" i="120"/>
  <c r="V14" i="120"/>
  <c r="T14" i="120"/>
  <c r="P14" i="120"/>
  <c r="Q14" i="120" s="1"/>
  <c r="V24" i="120"/>
  <c r="R24" i="120"/>
  <c r="T24" i="120"/>
  <c r="P24" i="120"/>
  <c r="Q24" i="120" s="1"/>
  <c r="U12" i="135"/>
  <c r="Q12" i="135"/>
  <c r="S12" i="135"/>
  <c r="O12" i="135"/>
  <c r="P12" i="135" s="1"/>
  <c r="W29" i="123" l="1"/>
  <c r="Y31" i="123"/>
  <c r="S24" i="120"/>
  <c r="U24" i="120" s="1"/>
  <c r="W24" i="120" s="1"/>
  <c r="X24" i="120" s="1"/>
  <c r="S14" i="120"/>
  <c r="U14" i="120" s="1"/>
  <c r="W14" i="120" s="1"/>
  <c r="X14" i="120" s="1"/>
  <c r="S36" i="121"/>
  <c r="U36" i="121" s="1"/>
  <c r="W36" i="121" s="1"/>
  <c r="X36" i="121" s="1"/>
  <c r="S35" i="121"/>
  <c r="U35" i="121" s="1"/>
  <c r="W35" i="121" s="1"/>
  <c r="Y36" i="121"/>
  <c r="AA36" i="121" s="1"/>
  <c r="S14" i="121"/>
  <c r="U14" i="121" s="1"/>
  <c r="W14" i="121" s="1"/>
  <c r="X14" i="121" s="1"/>
  <c r="R12" i="135"/>
  <c r="T12" i="135" s="1"/>
  <c r="V12" i="135" s="1"/>
  <c r="W12" i="135" s="1"/>
  <c r="Y35" i="121" l="1"/>
  <c r="Y34" i="121" s="1"/>
  <c r="X35" i="121"/>
  <c r="X34" i="121" s="1"/>
  <c r="X29" i="123"/>
  <c r="Y29" i="123"/>
  <c r="AA31" i="123"/>
  <c r="AA29" i="123" s="1"/>
  <c r="Y24" i="120"/>
  <c r="AA24" i="120" s="1"/>
  <c r="Y14" i="120"/>
  <c r="AA14" i="120" s="1"/>
  <c r="AB14" i="120" s="1"/>
  <c r="AB36" i="121"/>
  <c r="Y14" i="121"/>
  <c r="AA14" i="121" s="1"/>
  <c r="AB14" i="121" s="1"/>
  <c r="X12" i="135"/>
  <c r="Z12" i="135" s="1"/>
  <c r="AA35" i="121" l="1"/>
  <c r="AA34" i="121" s="1"/>
  <c r="AB24" i="120"/>
  <c r="AB31" i="123"/>
  <c r="AB29" i="123" s="1"/>
  <c r="AA12" i="135"/>
  <c r="AB35" i="121" l="1"/>
  <c r="AB34" i="121" s="1"/>
  <c r="N13" i="133"/>
  <c r="O13" i="133" s="1"/>
  <c r="M13" i="133"/>
  <c r="N10" i="118"/>
  <c r="O10" i="118" s="1"/>
  <c r="V10" i="118" s="1"/>
  <c r="M10" i="118"/>
  <c r="N10" i="119"/>
  <c r="O10" i="119" s="1"/>
  <c r="M10" i="119"/>
  <c r="N16" i="123"/>
  <c r="O16" i="123" s="1"/>
  <c r="M16" i="123"/>
  <c r="V13" i="133" l="1"/>
  <c r="R13" i="133"/>
  <c r="T13" i="133"/>
  <c r="P13" i="133"/>
  <c r="Q13" i="133" s="1"/>
  <c r="P10" i="118"/>
  <c r="Q10" i="118" s="1"/>
  <c r="T10" i="118"/>
  <c r="R10" i="118"/>
  <c r="V10" i="119"/>
  <c r="T10" i="119"/>
  <c r="P10" i="119"/>
  <c r="Q10" i="119" s="1"/>
  <c r="R10" i="119"/>
  <c r="V16" i="123"/>
  <c r="R16" i="123"/>
  <c r="T16" i="123"/>
  <c r="P16" i="123"/>
  <c r="Q16" i="123" s="1"/>
  <c r="S10" i="119" l="1"/>
  <c r="U10" i="119"/>
  <c r="W10" i="119" s="1"/>
  <c r="S16" i="123"/>
  <c r="U16" i="123" s="1"/>
  <c r="W16" i="123" s="1"/>
  <c r="X16" i="123" s="1"/>
  <c r="S13" i="133"/>
  <c r="U13" i="133" s="1"/>
  <c r="W13" i="133" s="1"/>
  <c r="S10" i="118"/>
  <c r="U10" i="118" s="1"/>
  <c r="W10" i="118" s="1"/>
  <c r="X10" i="118" s="1"/>
  <c r="Y10" i="119" l="1"/>
  <c r="X10" i="119"/>
  <c r="Y13" i="133"/>
  <c r="AA13" i="133" s="1"/>
  <c r="X13" i="133"/>
  <c r="Y10" i="118"/>
  <c r="AA10" i="118" s="1"/>
  <c r="Y16" i="123"/>
  <c r="AA16" i="123" l="1"/>
  <c r="AA10" i="119"/>
  <c r="AB10" i="119" s="1"/>
  <c r="AB13" i="133"/>
  <c r="AB10" i="118"/>
  <c r="AB16" i="123"/>
  <c r="N12" i="123"/>
  <c r="O12" i="123" s="1"/>
  <c r="M12" i="123"/>
  <c r="M11" i="123" s="1"/>
  <c r="N41" i="123"/>
  <c r="O41" i="123" s="1"/>
  <c r="M41" i="123"/>
  <c r="N9" i="120"/>
  <c r="O9" i="120" s="1"/>
  <c r="M9" i="120"/>
  <c r="N27" i="119"/>
  <c r="O27" i="119" s="1"/>
  <c r="M27" i="119"/>
  <c r="M26" i="119" s="1"/>
  <c r="N15" i="119"/>
  <c r="O15" i="119" s="1"/>
  <c r="M15" i="119"/>
  <c r="V12" i="123" l="1"/>
  <c r="R12" i="123"/>
  <c r="T12" i="123"/>
  <c r="P12" i="123"/>
  <c r="Q12" i="123" s="1"/>
  <c r="T41" i="123"/>
  <c r="P41" i="123"/>
  <c r="Q41" i="123" s="1"/>
  <c r="V41" i="123"/>
  <c r="R41" i="123"/>
  <c r="V9" i="120"/>
  <c r="R9" i="120"/>
  <c r="T9" i="120"/>
  <c r="P9" i="120"/>
  <c r="Q9" i="120" s="1"/>
  <c r="V27" i="119"/>
  <c r="R27" i="119"/>
  <c r="T27" i="119"/>
  <c r="P27" i="119"/>
  <c r="Q27" i="119" s="1"/>
  <c r="V15" i="119"/>
  <c r="R15" i="119"/>
  <c r="T15" i="119"/>
  <c r="P15" i="119"/>
  <c r="Q15" i="119" s="1"/>
  <c r="Z13" i="134"/>
  <c r="L13" i="134"/>
  <c r="K13" i="134"/>
  <c r="N14" i="134"/>
  <c r="O14" i="134" s="1"/>
  <c r="M14" i="134"/>
  <c r="M13" i="134" s="1"/>
  <c r="J14" i="134"/>
  <c r="S15" i="119" l="1"/>
  <c r="U15" i="119" s="1"/>
  <c r="W15" i="119" s="1"/>
  <c r="S9" i="120"/>
  <c r="U9" i="120" s="1"/>
  <c r="W9" i="120" s="1"/>
  <c r="X9" i="120" s="1"/>
  <c r="S12" i="123"/>
  <c r="U12" i="123" s="1"/>
  <c r="W12" i="123" s="1"/>
  <c r="S41" i="123"/>
  <c r="U41" i="123" s="1"/>
  <c r="W41" i="123" s="1"/>
  <c r="S27" i="119"/>
  <c r="U27" i="119" s="1"/>
  <c r="W27" i="119" s="1"/>
  <c r="T14" i="134"/>
  <c r="P14" i="134"/>
  <c r="Q14" i="134" s="1"/>
  <c r="R14" i="134"/>
  <c r="V14" i="134"/>
  <c r="Y27" i="119" l="1"/>
  <c r="X27" i="119"/>
  <c r="X26" i="119" s="1"/>
  <c r="Y12" i="123"/>
  <c r="X12" i="123"/>
  <c r="X11" i="123" s="1"/>
  <c r="Y41" i="123"/>
  <c r="AA41" i="123" s="1"/>
  <c r="X41" i="123"/>
  <c r="Y15" i="119"/>
  <c r="AA15" i="119" s="1"/>
  <c r="X15" i="119"/>
  <c r="S14" i="134"/>
  <c r="U14" i="134" s="1"/>
  <c r="W14" i="134" s="1"/>
  <c r="X14" i="134" s="1"/>
  <c r="Y9" i="120"/>
  <c r="AA9" i="120" s="1"/>
  <c r="AB9" i="120" s="1"/>
  <c r="AA27" i="119" l="1"/>
  <c r="AA26" i="119" s="1"/>
  <c r="Y26" i="119"/>
  <c r="AA12" i="123"/>
  <c r="AA11" i="123" s="1"/>
  <c r="Y11" i="123"/>
  <c r="AB41" i="123"/>
  <c r="AB15" i="119"/>
  <c r="AB12" i="123"/>
  <c r="AB11" i="123" s="1"/>
  <c r="AB27" i="119"/>
  <c r="AB26" i="119" s="1"/>
  <c r="Y14" i="134"/>
  <c r="X13" i="134"/>
  <c r="AA14" i="134" l="1"/>
  <c r="Y13" i="134"/>
  <c r="AA13" i="134" l="1"/>
  <c r="AB14" i="134"/>
  <c r="AB13" i="134" s="1"/>
  <c r="K17" i="133" l="1"/>
  <c r="N24" i="121" l="1"/>
  <c r="O24" i="121" s="1"/>
  <c r="M24" i="121"/>
  <c r="M8" i="121" s="1"/>
  <c r="P24" i="121" l="1"/>
  <c r="Q24" i="121" s="1"/>
  <c r="V24" i="121"/>
  <c r="R24" i="121"/>
  <c r="T24" i="121"/>
  <c r="S24" i="121" l="1"/>
  <c r="U24" i="121" s="1"/>
  <c r="W24" i="121" s="1"/>
  <c r="X24" i="121" s="1"/>
  <c r="X8" i="121" s="1"/>
  <c r="Y24" i="121" l="1"/>
  <c r="N10" i="123"/>
  <c r="O10" i="123" s="1"/>
  <c r="M10" i="123"/>
  <c r="AA24" i="121" l="1"/>
  <c r="AA8" i="121" s="1"/>
  <c r="Y8" i="121"/>
  <c r="V10" i="123"/>
  <c r="R10" i="123"/>
  <c r="T10" i="123"/>
  <c r="P10" i="123"/>
  <c r="Q10" i="123" s="1"/>
  <c r="AB24" i="121"/>
  <c r="AB8" i="121" s="1"/>
  <c r="S10" i="123" l="1"/>
  <c r="U10" i="123" s="1"/>
  <c r="W10" i="123" s="1"/>
  <c r="X10" i="123" s="1"/>
  <c r="Y10" i="123" l="1"/>
  <c r="AA10" i="123" s="1"/>
  <c r="AB10" i="123" s="1"/>
  <c r="M10" i="135" l="1"/>
  <c r="N10" i="135" s="1"/>
  <c r="L10" i="135"/>
  <c r="L45" i="135" s="1"/>
  <c r="U10" i="135" l="1"/>
  <c r="O10" i="135"/>
  <c r="P10" i="135" s="1"/>
  <c r="Q10" i="135"/>
  <c r="S10" i="135"/>
  <c r="N10" i="132"/>
  <c r="O10" i="132" s="1"/>
  <c r="M10" i="132"/>
  <c r="J45" i="135"/>
  <c r="N12" i="120"/>
  <c r="O12" i="120" s="1"/>
  <c r="M12" i="120"/>
  <c r="J12" i="120"/>
  <c r="R10" i="135" l="1"/>
  <c r="T10" i="135" s="1"/>
  <c r="V10" i="135" s="1"/>
  <c r="W10" i="135" s="1"/>
  <c r="W45" i="135" s="1"/>
  <c r="T10" i="132"/>
  <c r="V10" i="132"/>
  <c r="P10" i="132"/>
  <c r="Q10" i="132" s="1"/>
  <c r="R10" i="132"/>
  <c r="T12" i="120"/>
  <c r="P12" i="120"/>
  <c r="Q12" i="120" s="1"/>
  <c r="R12" i="120"/>
  <c r="V12" i="120"/>
  <c r="S10" i="132" l="1"/>
  <c r="U10" i="132" s="1"/>
  <c r="W10" i="132" s="1"/>
  <c r="X10" i="132" s="1"/>
  <c r="S12" i="120"/>
  <c r="U12" i="120" s="1"/>
  <c r="W12" i="120" s="1"/>
  <c r="X12" i="120" s="1"/>
  <c r="X10" i="135"/>
  <c r="Z10" i="135" l="1"/>
  <c r="Z45" i="135" s="1"/>
  <c r="X45" i="135"/>
  <c r="Y12" i="120"/>
  <c r="AA12" i="120" s="1"/>
  <c r="AB12" i="120" s="1"/>
  <c r="Y10" i="132"/>
  <c r="AA10" i="132" s="1"/>
  <c r="AA10" i="135"/>
  <c r="AA45" i="135" s="1"/>
  <c r="AB10" i="132" l="1"/>
  <c r="N9" i="123" l="1"/>
  <c r="M9" i="123"/>
  <c r="M8" i="123" s="1"/>
  <c r="Z9" i="134"/>
  <c r="Z15" i="134" s="1"/>
  <c r="L9" i="134"/>
  <c r="L15" i="134" s="1"/>
  <c r="K9" i="134"/>
  <c r="K15" i="134" s="1"/>
  <c r="O9" i="123" l="1"/>
  <c r="O8" i="123" s="1"/>
  <c r="N8" i="123"/>
  <c r="M9" i="134"/>
  <c r="M15" i="134" s="1"/>
  <c r="P9" i="123" l="1"/>
  <c r="P8" i="123" s="1"/>
  <c r="T9" i="123"/>
  <c r="T8" i="123" s="1"/>
  <c r="V9" i="123"/>
  <c r="V8" i="123" s="1"/>
  <c r="R9" i="123"/>
  <c r="R8" i="123" s="1"/>
  <c r="Q9" i="123" l="1"/>
  <c r="Q8" i="123" s="1"/>
  <c r="S9" i="123"/>
  <c r="U9" i="123" s="1"/>
  <c r="Y9" i="134"/>
  <c r="Y15" i="134" s="1"/>
  <c r="S8" i="123" l="1"/>
  <c r="W9" i="123"/>
  <c r="X9" i="123" s="1"/>
  <c r="U8" i="123"/>
  <c r="X9" i="134"/>
  <c r="X15" i="134" s="1"/>
  <c r="AA9" i="134"/>
  <c r="AA15" i="134" s="1"/>
  <c r="W8" i="123" l="1"/>
  <c r="Y9" i="123"/>
  <c r="AB9" i="134"/>
  <c r="AB15" i="134" s="1"/>
  <c r="X8" i="123" l="1"/>
  <c r="AA9" i="123"/>
  <c r="AA8" i="123" s="1"/>
  <c r="Y8" i="123"/>
  <c r="N12" i="133"/>
  <c r="O12" i="133" s="1"/>
  <c r="M12" i="133"/>
  <c r="M17" i="133" s="1"/>
  <c r="AB9" i="123" l="1"/>
  <c r="AB8" i="123" s="1"/>
  <c r="P12" i="133"/>
  <c r="Q12" i="133" s="1"/>
  <c r="R12" i="133"/>
  <c r="T12" i="133"/>
  <c r="V12" i="133"/>
  <c r="S12" i="133" l="1"/>
  <c r="U12" i="133" s="1"/>
  <c r="W12" i="133" s="1"/>
  <c r="X12" i="133" s="1"/>
  <c r="X17" i="133" s="1"/>
  <c r="Y12" i="133" l="1"/>
  <c r="AA12" i="133" l="1"/>
  <c r="AA17" i="133" s="1"/>
  <c r="Y17" i="133"/>
  <c r="AB12" i="133"/>
  <c r="AB17" i="133" s="1"/>
  <c r="Y12" i="136" l="1"/>
  <c r="K12" i="136"/>
  <c r="J12" i="136"/>
  <c r="M12" i="136"/>
  <c r="L12" i="136" l="1"/>
  <c r="U12" i="136" l="1"/>
  <c r="S12" i="136"/>
  <c r="Q12" i="136"/>
  <c r="N12" i="136"/>
  <c r="O12" i="136" l="1"/>
  <c r="P12" i="136"/>
  <c r="R12" i="136" l="1"/>
  <c r="T12" i="136" l="1"/>
  <c r="V12" i="136" l="1"/>
  <c r="Z12" i="136" l="1"/>
  <c r="X12" i="136"/>
  <c r="W12" i="136"/>
  <c r="AA12" i="136" l="1"/>
  <c r="L12" i="131" l="1"/>
  <c r="N12" i="131" l="1"/>
  <c r="N9" i="119"/>
  <c r="O9" i="119" s="1"/>
  <c r="M9" i="119"/>
  <c r="O12" i="131" l="1"/>
  <c r="P12" i="131" s="1"/>
  <c r="S12" i="131"/>
  <c r="Q12" i="131"/>
  <c r="T9" i="119"/>
  <c r="P9" i="119"/>
  <c r="Q9" i="119" s="1"/>
  <c r="U12" i="131"/>
  <c r="V9" i="119"/>
  <c r="R9" i="119"/>
  <c r="R12" i="131" l="1"/>
  <c r="T12" i="131" s="1"/>
  <c r="V12" i="131"/>
  <c r="S9" i="119"/>
  <c r="U9" i="119" s="1"/>
  <c r="W9" i="119" s="1"/>
  <c r="X9" i="119" s="1"/>
  <c r="Y9" i="119" l="1"/>
  <c r="W12" i="131"/>
  <c r="X12" i="131"/>
  <c r="Z12" i="131" s="1"/>
  <c r="AA9" i="119" l="1"/>
  <c r="AA12" i="131"/>
  <c r="AB9" i="119"/>
  <c r="N11" i="118" l="1"/>
  <c r="O11" i="118" s="1"/>
  <c r="N12" i="118"/>
  <c r="O12" i="118" s="1"/>
  <c r="N17" i="123"/>
  <c r="O17" i="123" s="1"/>
  <c r="N13" i="119"/>
  <c r="O13" i="119" s="1"/>
  <c r="N11" i="119"/>
  <c r="O11" i="119" s="1"/>
  <c r="R11" i="119" l="1"/>
  <c r="P11" i="119"/>
  <c r="Q11" i="119" s="1"/>
  <c r="V11" i="119"/>
  <c r="T11" i="119"/>
  <c r="V12" i="118"/>
  <c r="R12" i="118"/>
  <c r="T12" i="118"/>
  <c r="P12" i="118"/>
  <c r="Q12" i="118" s="1"/>
  <c r="V13" i="119"/>
  <c r="P13" i="119"/>
  <c r="Q13" i="119" s="1"/>
  <c r="T13" i="119"/>
  <c r="R13" i="119"/>
  <c r="T17" i="123"/>
  <c r="P17" i="123"/>
  <c r="Q17" i="123" s="1"/>
  <c r="R17" i="123"/>
  <c r="V17" i="123"/>
  <c r="R11" i="118"/>
  <c r="P11" i="118"/>
  <c r="Q11" i="118" s="1"/>
  <c r="T11" i="118"/>
  <c r="V11" i="118"/>
  <c r="S11" i="118" l="1"/>
  <c r="U11" i="118" s="1"/>
  <c r="W11" i="118" s="1"/>
  <c r="X11" i="118" s="1"/>
  <c r="S11" i="119"/>
  <c r="U11" i="119" s="1"/>
  <c r="W11" i="119" s="1"/>
  <c r="X26" i="121"/>
  <c r="S13" i="119"/>
  <c r="U13" i="119" s="1"/>
  <c r="W13" i="119" s="1"/>
  <c r="S12" i="118"/>
  <c r="U12" i="118" s="1"/>
  <c r="W12" i="118" s="1"/>
  <c r="X12" i="118" s="1"/>
  <c r="S17" i="123"/>
  <c r="U17" i="123" s="1"/>
  <c r="W17" i="123" s="1"/>
  <c r="X17" i="123" s="1"/>
  <c r="X15" i="123" s="1"/>
  <c r="L13" i="131"/>
  <c r="N13" i="131" s="1"/>
  <c r="Y11" i="119" l="1"/>
  <c r="X11" i="119"/>
  <c r="X8" i="119" s="1"/>
  <c r="Y13" i="119"/>
  <c r="X13" i="119"/>
  <c r="Y11" i="118"/>
  <c r="Y26" i="121"/>
  <c r="Y17" i="123"/>
  <c r="Y15" i="123" s="1"/>
  <c r="Y12" i="118"/>
  <c r="S13" i="131"/>
  <c r="O13" i="131"/>
  <c r="P13" i="131" s="1"/>
  <c r="Q13" i="131"/>
  <c r="U13" i="131"/>
  <c r="AA11" i="119" l="1"/>
  <c r="AA8" i="119" s="1"/>
  <c r="Y8" i="119"/>
  <c r="R13" i="131"/>
  <c r="T13" i="131" s="1"/>
  <c r="V13" i="131" s="1"/>
  <c r="J13" i="131"/>
  <c r="X13" i="131" l="1"/>
  <c r="Z13" i="131" s="1"/>
  <c r="W13" i="131"/>
  <c r="AA13" i="131" l="1"/>
  <c r="S45" i="135" l="1"/>
  <c r="O45" i="135"/>
  <c r="M45" i="135"/>
  <c r="N45" i="135" l="1"/>
  <c r="P45" i="135" l="1"/>
  <c r="L17" i="131" l="1"/>
  <c r="N17" i="131" s="1"/>
  <c r="L16" i="131"/>
  <c r="N16" i="131" s="1"/>
  <c r="L15" i="131"/>
  <c r="N15" i="131" s="1"/>
  <c r="L14" i="131"/>
  <c r="N14" i="131" s="1"/>
  <c r="L11" i="131"/>
  <c r="N11" i="131" s="1"/>
  <c r="L10" i="131"/>
  <c r="L9" i="131"/>
  <c r="N9" i="131" s="1"/>
  <c r="N10" i="131" l="1"/>
  <c r="O14" i="131"/>
  <c r="P14" i="131" s="1"/>
  <c r="S14" i="131"/>
  <c r="Q14" i="131"/>
  <c r="S15" i="131"/>
  <c r="O15" i="131"/>
  <c r="P15" i="131" s="1"/>
  <c r="Q15" i="131"/>
  <c r="O16" i="131"/>
  <c r="P16" i="131" s="1"/>
  <c r="S16" i="131"/>
  <c r="Q16" i="131"/>
  <c r="Q9" i="131"/>
  <c r="O9" i="131"/>
  <c r="P9" i="131" s="1"/>
  <c r="U9" i="131"/>
  <c r="S9" i="131"/>
  <c r="O10" i="131"/>
  <c r="P10" i="131" s="1"/>
  <c r="S10" i="131"/>
  <c r="S11" i="131"/>
  <c r="O11" i="131"/>
  <c r="P11" i="131" s="1"/>
  <c r="Q11" i="131"/>
  <c r="S17" i="131"/>
  <c r="O17" i="131"/>
  <c r="P17" i="131" s="1"/>
  <c r="Q17" i="131"/>
  <c r="U16" i="131"/>
  <c r="Q10" i="131"/>
  <c r="U10" i="131"/>
  <c r="U11" i="131"/>
  <c r="U17" i="131"/>
  <c r="U15" i="131"/>
  <c r="U14" i="131"/>
  <c r="Z37" i="120"/>
  <c r="L37" i="120"/>
  <c r="R16" i="131" l="1"/>
  <c r="R10" i="131"/>
  <c r="T10" i="131" s="1"/>
  <c r="V10" i="131" s="1"/>
  <c r="X10" i="131" s="1"/>
  <c r="Z10" i="131" s="1"/>
  <c r="R9" i="131"/>
  <c r="T9" i="131" s="1"/>
  <c r="V9" i="131" s="1"/>
  <c r="R15" i="131"/>
  <c r="T15" i="131" s="1"/>
  <c r="V15" i="131" s="1"/>
  <c r="X15" i="131" s="1"/>
  <c r="R14" i="131"/>
  <c r="T14" i="131" s="1"/>
  <c r="V14" i="131" s="1"/>
  <c r="X14" i="131" s="1"/>
  <c r="R17" i="131"/>
  <c r="T17" i="131" s="1"/>
  <c r="V17" i="131" s="1"/>
  <c r="X17" i="131" s="1"/>
  <c r="R11" i="131"/>
  <c r="T11" i="131" s="1"/>
  <c r="V11" i="131" s="1"/>
  <c r="X11" i="131" s="1"/>
  <c r="T16" i="131"/>
  <c r="V16" i="131" s="1"/>
  <c r="X16" i="131" s="1"/>
  <c r="W9" i="131" l="1"/>
  <c r="X9" i="131"/>
  <c r="T15" i="134" l="1"/>
  <c r="P15" i="134"/>
  <c r="N15" i="134"/>
  <c r="O15" i="134" l="1"/>
  <c r="R15" i="134" l="1"/>
  <c r="Q15" i="134"/>
  <c r="Z37" i="121" l="1"/>
  <c r="Z41" i="121" s="1"/>
  <c r="L37" i="121"/>
  <c r="L41" i="121" s="1"/>
  <c r="S15" i="134" l="1"/>
  <c r="U15" i="134"/>
  <c r="J10" i="121" l="1"/>
  <c r="M13" i="119" l="1"/>
  <c r="K37" i="121" l="1"/>
  <c r="K41" i="121" s="1"/>
  <c r="M37" i="121" l="1"/>
  <c r="M17" i="123" l="1"/>
  <c r="M15" i="123" s="1"/>
  <c r="M26" i="121" l="1"/>
  <c r="M41" i="121" s="1"/>
  <c r="Z42" i="123" l="1"/>
  <c r="L42" i="123"/>
  <c r="K42" i="123"/>
  <c r="T17" i="133" l="1"/>
  <c r="P17" i="133"/>
  <c r="N17" i="133"/>
  <c r="X42" i="123" l="1"/>
  <c r="M42" i="123"/>
  <c r="Q17" i="133" l="1"/>
  <c r="Y42" i="123"/>
  <c r="O17" i="133" l="1"/>
  <c r="AA42" i="123"/>
  <c r="AB42" i="123"/>
  <c r="M11" i="118" l="1"/>
  <c r="Z14" i="118" l="1"/>
  <c r="L14" i="118"/>
  <c r="K8" i="119" l="1"/>
  <c r="Z40" i="123" l="1"/>
  <c r="Z47" i="123" s="1"/>
  <c r="M40" i="123"/>
  <c r="M47" i="123" s="1"/>
  <c r="L40" i="123"/>
  <c r="L47" i="123" s="1"/>
  <c r="K40" i="123"/>
  <c r="K47" i="123" s="1"/>
  <c r="J17" i="123"/>
  <c r="J24" i="121" l="1"/>
  <c r="J13" i="121"/>
  <c r="J9" i="121"/>
  <c r="Z14" i="119" l="1"/>
  <c r="L14" i="119"/>
  <c r="Z12" i="119"/>
  <c r="Z32" i="119" s="1"/>
  <c r="L12" i="119"/>
  <c r="L32" i="119" s="1"/>
  <c r="K12" i="119"/>
  <c r="K32" i="119" s="1"/>
  <c r="M11" i="119"/>
  <c r="AB11" i="119" l="1"/>
  <c r="AB8" i="119" s="1"/>
  <c r="M8" i="119"/>
  <c r="Z17" i="132"/>
  <c r="T17" i="132"/>
  <c r="P17" i="132"/>
  <c r="N17" i="132"/>
  <c r="L17" i="132"/>
  <c r="K17" i="132" l="1"/>
  <c r="M17" i="132" l="1"/>
  <c r="V17" i="132"/>
  <c r="Q17" i="132"/>
  <c r="O17" i="132"/>
  <c r="M12" i="119" l="1"/>
  <c r="J10" i="131" l="1"/>
  <c r="J11" i="131"/>
  <c r="J12" i="131"/>
  <c r="J14" i="131"/>
  <c r="J15" i="131"/>
  <c r="J16" i="131"/>
  <c r="J17" i="131"/>
  <c r="J9" i="131"/>
  <c r="J11" i="118"/>
  <c r="J12" i="118"/>
  <c r="J10" i="118"/>
  <c r="J41" i="123"/>
  <c r="J16" i="123"/>
  <c r="J12" i="123"/>
  <c r="J38" i="121"/>
  <c r="Y19" i="131" l="1"/>
  <c r="M19" i="131"/>
  <c r="K19" i="131"/>
  <c r="N19" i="131" l="1"/>
  <c r="L19" i="131"/>
  <c r="O19" i="131" l="1"/>
  <c r="S19" i="131"/>
  <c r="P19" i="131" l="1"/>
  <c r="M12" i="118" l="1"/>
  <c r="M14" i="118" l="1"/>
  <c r="N14" i="118"/>
  <c r="N47" i="123"/>
  <c r="N41" i="121"/>
  <c r="N37" i="120"/>
  <c r="K14" i="118" l="1"/>
  <c r="O47" i="123"/>
  <c r="O41" i="121"/>
  <c r="O14" i="118" l="1"/>
  <c r="N32" i="119" l="1"/>
  <c r="M14" i="119" l="1"/>
  <c r="M32" i="119"/>
  <c r="O32" i="119" l="1"/>
  <c r="Z17" i="131" l="1"/>
  <c r="U45" i="135"/>
  <c r="AA17" i="123"/>
  <c r="AA15" i="123" s="1"/>
  <c r="V15" i="134"/>
  <c r="Z11" i="131"/>
  <c r="AA13" i="119"/>
  <c r="W14" i="131"/>
  <c r="W10" i="131"/>
  <c r="AA10" i="131" s="1"/>
  <c r="Q45" i="135"/>
  <c r="Z9" i="131"/>
  <c r="Z15" i="131"/>
  <c r="W15" i="131"/>
  <c r="W16" i="131"/>
  <c r="Z16" i="131"/>
  <c r="R41" i="121"/>
  <c r="AA26" i="121"/>
  <c r="V17" i="133"/>
  <c r="R17" i="133"/>
  <c r="R17" i="132"/>
  <c r="U19" i="131"/>
  <c r="Q19" i="131"/>
  <c r="T37" i="120"/>
  <c r="R47" i="123"/>
  <c r="V32" i="119"/>
  <c r="V47" i="123"/>
  <c r="T41" i="121"/>
  <c r="P37" i="120"/>
  <c r="P47" i="123"/>
  <c r="V14" i="118"/>
  <c r="R32" i="119"/>
  <c r="T14" i="118"/>
  <c r="T47" i="123"/>
  <c r="V41" i="121"/>
  <c r="P32" i="119"/>
  <c r="T32" i="119"/>
  <c r="R14" i="118"/>
  <c r="P14" i="118"/>
  <c r="P41" i="121"/>
  <c r="Z14" i="131" l="1"/>
  <c r="AA14" i="131" s="1"/>
  <c r="W17" i="131"/>
  <c r="AA17" i="131" s="1"/>
  <c r="W11" i="131"/>
  <c r="AA11" i="131" s="1"/>
  <c r="AB17" i="123"/>
  <c r="AB15" i="123" s="1"/>
  <c r="AB26" i="121"/>
  <c r="AA15" i="131"/>
  <c r="AA9" i="131"/>
  <c r="X37" i="121"/>
  <c r="X41" i="121" s="1"/>
  <c r="W15" i="134"/>
  <c r="AA37" i="121"/>
  <c r="AA41" i="121" s="1"/>
  <c r="Y37" i="121"/>
  <c r="Y41" i="121" s="1"/>
  <c r="AB13" i="119"/>
  <c r="AA16" i="131"/>
  <c r="R45" i="135"/>
  <c r="AA11" i="118"/>
  <c r="AB11" i="118" s="1"/>
  <c r="S17" i="133"/>
  <c r="AA40" i="123"/>
  <c r="AA47" i="123" s="1"/>
  <c r="Y40" i="123"/>
  <c r="Y47" i="123" s="1"/>
  <c r="R19" i="131"/>
  <c r="U17" i="132"/>
  <c r="S17" i="132"/>
  <c r="X40" i="123"/>
  <c r="X47" i="123" s="1"/>
  <c r="AA12" i="118"/>
  <c r="AB12" i="118" s="1"/>
  <c r="Q47" i="123"/>
  <c r="Q32" i="119"/>
  <c r="X14" i="119"/>
  <c r="Q41" i="121"/>
  <c r="Q14" i="118"/>
  <c r="AB37" i="121" l="1"/>
  <c r="AB41" i="121" s="1"/>
  <c r="T45" i="135"/>
  <c r="U17" i="133"/>
  <c r="AB40" i="123"/>
  <c r="AB47" i="123" s="1"/>
  <c r="X12" i="119"/>
  <c r="W17" i="132"/>
  <c r="T19" i="131"/>
  <c r="AA12" i="119"/>
  <c r="Y12" i="119"/>
  <c r="AA14" i="119"/>
  <c r="Y14" i="119"/>
  <c r="S14" i="118"/>
  <c r="S41" i="121"/>
  <c r="S47" i="123"/>
  <c r="S32" i="119"/>
  <c r="V45" i="135" l="1"/>
  <c r="W17" i="133"/>
  <c r="Y17" i="132"/>
  <c r="AA17" i="132"/>
  <c r="X17" i="132"/>
  <c r="V19" i="131"/>
  <c r="AB12" i="119"/>
  <c r="AB14" i="119"/>
  <c r="U41" i="121"/>
  <c r="U47" i="123"/>
  <c r="U14" i="118"/>
  <c r="U32" i="119"/>
  <c r="AB17" i="132" l="1"/>
  <c r="Z19" i="131"/>
  <c r="X19" i="131"/>
  <c r="W19" i="131"/>
  <c r="Y32" i="119"/>
  <c r="W32" i="119"/>
  <c r="X32" i="119"/>
  <c r="X14" i="118"/>
  <c r="Y14" i="118"/>
  <c r="W14" i="118"/>
  <c r="W47" i="123"/>
  <c r="W41" i="121"/>
  <c r="AA19" i="131" l="1"/>
  <c r="AA32" i="119"/>
  <c r="AA14" i="118"/>
  <c r="AB32" i="119" l="1"/>
  <c r="AB14" i="118"/>
  <c r="K37" i="120"/>
  <c r="J9" i="120"/>
  <c r="V37" i="120" l="1"/>
  <c r="R37" i="120"/>
  <c r="O37" i="120"/>
  <c r="Q37" i="120"/>
  <c r="M37" i="120"/>
  <c r="S37" i="120" l="1"/>
  <c r="U37" i="120" l="1"/>
  <c r="W37" i="120" l="1"/>
  <c r="X37" i="120" l="1"/>
  <c r="AA37" i="120"/>
  <c r="Y37" i="120" l="1"/>
  <c r="AB37" i="120"/>
</calcChain>
</file>

<file path=xl/sharedStrings.xml><?xml version="1.0" encoding="utf-8"?>
<sst xmlns="http://schemas.openxmlformats.org/spreadsheetml/2006/main" count="1570" uniqueCount="664">
  <si>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</si>
  <si>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</si>
  <si>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</si>
  <si>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</si>
  <si>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</si>
  <si>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</si>
  <si>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</si>
  <si>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</si>
  <si>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</si>
  <si>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</si>
  <si>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</si>
  <si>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</si>
  <si>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</si>
  <si>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</si>
  <si>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</si>
  <si>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</si>
  <si>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</si>
  <si>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</si>
  <si>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</si>
  <si>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</si>
  <si>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</si>
  <si>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</si>
  <si>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</si>
  <si>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</si>
  <si>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</si>
  <si>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</si>
  <si>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</si>
  <si>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</si>
  <si>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</si>
  <si>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</si>
  <si>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</si>
  <si>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</si>
  <si>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</si>
  <si>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</si>
  <si>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</si>
  <si>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</si>
  <si>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</si>
  <si>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</si>
  <si>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</si>
  <si>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</si>
  <si>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</si>
  <si>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</si>
  <si>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</si>
  <si>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</si>
  <si>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</si>
  <si>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</si>
  <si>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</si>
  <si>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</si>
  <si>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</si>
  <si>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</si>
  <si>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</si>
  <si>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</si>
  <si>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</si>
  <si>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</si>
  <si>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</si>
  <si>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</si>
  <si>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</si>
  <si>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</si>
  <si>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</si>
  <si>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</si>
  <si>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</si>
  <si>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</si>
  <si>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</si>
  <si>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</si>
  <si>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</si>
  <si>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</si>
  <si>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</si>
  <si>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</si>
  <si>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</si>
  <si>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</si>
  <si>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</si>
  <si>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AUXILIAR ASEO PUBLICO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</si>
  <si>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</si>
  <si>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</si>
  <si>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</si>
  <si>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</si>
  <si>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</si>
  <si>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</si>
  <si>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</si>
  <si>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</si>
  <si>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</si>
  <si>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</si>
  <si>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</si>
  <si>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</si>
  <si>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</si>
  <si>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</si>
  <si>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</si>
  <si>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</si>
  <si>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</si>
  <si>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</si>
  <si>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</si>
  <si>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</si>
  <si>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</si>
  <si>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</si>
  <si>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</si>
  <si>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DIRECTOR DE DESARROLLO SOCIAL</t>
  </si>
  <si>
    <t>SOFIA CASTRO AVELAR</t>
  </si>
  <si>
    <t>DIRECTOR DE TRANSPARENCIA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</si>
  <si>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</si>
  <si>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</si>
  <si>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</si>
  <si>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</si>
  <si>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</si>
  <si>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</si>
  <si>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</si>
  <si>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ROAE8305268D9</t>
  </si>
  <si>
    <t>088</t>
  </si>
  <si>
    <t>N°</t>
  </si>
  <si>
    <t>007</t>
  </si>
  <si>
    <t>PELG8902233V7</t>
  </si>
  <si>
    <t>CACG8412204R1</t>
  </si>
  <si>
    <t>102</t>
  </si>
  <si>
    <t>LAMC910610LB9</t>
  </si>
  <si>
    <t>PECI880515LKA</t>
  </si>
  <si>
    <t>105</t>
  </si>
  <si>
    <t>CAAS900829JN3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</si>
  <si>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</si>
  <si>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</si>
  <si>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</si>
  <si>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</si>
  <si>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</si>
  <si>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</si>
  <si>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</si>
  <si>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</si>
  <si>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DEPARTAMENTO DE TRANSPARENCIA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</si>
  <si>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</si>
  <si>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</si>
  <si>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</si>
  <si>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</si>
  <si>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</si>
  <si>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</si>
  <si>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DESARROLLO SOCIAL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</si>
  <si>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</si>
  <si>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</si>
  <si>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</si>
  <si>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</si>
  <si>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</si>
  <si>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</si>
  <si>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</si>
  <si>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</si>
  <si>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</si>
  <si>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</si>
  <si>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</si>
  <si>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MARIA GUADALUPE SOLIS CASILLAS</t>
  </si>
  <si>
    <t>FRED DE JESUS VILLALOBOS CASTILLO</t>
  </si>
  <si>
    <t xml:space="preserve">ENCARGADA DE COMEDOR 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</si>
  <si>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</si>
  <si>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</si>
  <si>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</si>
  <si>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</si>
  <si>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</si>
  <si>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</si>
  <si>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</si>
  <si>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SALVADOR GARCIA CASILLAS</t>
  </si>
  <si>
    <t>EDUARDO ROBLES CORONA</t>
  </si>
  <si>
    <t xml:space="preserve">                   L.C.P. CESAR JÉSUS LANDEROS MORA</t>
  </si>
  <si>
    <t xml:space="preserve">                               L.C.P. CESAR JÉSUS LANDEROS MORA</t>
  </si>
  <si>
    <t xml:space="preserve">                              L.C.P. CESAR JÉSUS LANDEROS MORA</t>
  </si>
  <si>
    <t xml:space="preserve">                         L.C.P. CESAR JÉSUS LANDEROS MORA</t>
  </si>
  <si>
    <t xml:space="preserve">                      L.C.P. CESAR JÉSUS LANDEROS MORA</t>
  </si>
  <si>
    <t xml:space="preserve">                          L.C.P. CESAR JÉSUS LANDEROS MORA</t>
  </si>
  <si>
    <t xml:space="preserve">                        L.C.P. CESAR JÉSUS LANDEROS MORA</t>
  </si>
  <si>
    <t>SOCG8710244C0</t>
  </si>
  <si>
    <t>VICF940917FW7</t>
  </si>
  <si>
    <t>CAAM750115HV3</t>
  </si>
  <si>
    <t>CASE8710163P8</t>
  </si>
  <si>
    <t>ROCE781126IN0</t>
  </si>
  <si>
    <t>GACS7702262M3</t>
  </si>
  <si>
    <t>157</t>
  </si>
  <si>
    <t>158</t>
  </si>
  <si>
    <t>168</t>
  </si>
  <si>
    <t>173</t>
  </si>
  <si>
    <t>184</t>
  </si>
  <si>
    <t>MARCOS NUÑEZ SILVA</t>
  </si>
  <si>
    <t>OPERADOR RETROEXCAVADORA</t>
  </si>
  <si>
    <t>NUSM8008193D2</t>
  </si>
  <si>
    <t>JORGE CASTRO SANDOVAL</t>
  </si>
  <si>
    <t>DAVID CASTRO RAMIREZ</t>
  </si>
  <si>
    <t>FONTANERO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</si>
  <si>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</si>
  <si>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</si>
  <si>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</si>
  <si>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</si>
  <si>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</si>
  <si>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</si>
  <si>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191</t>
  </si>
  <si>
    <t>195</t>
  </si>
  <si>
    <t>198</t>
  </si>
  <si>
    <t>SERGIO ARCINIEGA PERESCHICA</t>
  </si>
  <si>
    <t>AIPS720724KB4</t>
  </si>
  <si>
    <t>210</t>
  </si>
  <si>
    <t>216</t>
  </si>
  <si>
    <t>JULIAN MADERA CASTRO</t>
  </si>
  <si>
    <t>MACJ900422JF8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</si>
  <si>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</si>
  <si>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</si>
  <si>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</si>
  <si>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</si>
  <si>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</si>
  <si>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</si>
  <si>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</si>
  <si>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SUELDO  DEL 16 AL 31 DE OCTUBRE DE 2019</t>
  </si>
  <si>
    <t>PEDRO CESILIO GALLARDO</t>
  </si>
  <si>
    <t>CEGP800806JI4</t>
  </si>
  <si>
    <t>236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</si>
  <si>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</si>
  <si>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</si>
  <si>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</si>
  <si>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</si>
  <si>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</si>
  <si>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</si>
  <si>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</si>
  <si>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</si>
  <si>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</si>
  <si>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</si>
  <si>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</si>
  <si>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</si>
  <si>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</si>
  <si>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</si>
  <si>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</si>
  <si>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</si>
  <si>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</si>
  <si>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</si>
  <si>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</si>
  <si>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</si>
  <si>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</si>
  <si>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</si>
  <si>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</si>
  <si>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</si>
  <si>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</si>
  <si>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</si>
  <si>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</si>
  <si>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</si>
  <si>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</si>
  <si>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</si>
  <si>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</si>
  <si>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</si>
  <si>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</si>
  <si>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 xml:space="preserve">  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</si>
  <si>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</si>
  <si>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</si>
  <si>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</si>
  <si>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</si>
  <si>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</si>
  <si>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</si>
  <si>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</si>
  <si>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</si>
  <si>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</si>
  <si>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PECI880515MJCRSS02</t>
  </si>
  <si>
    <t>PELG890223MJCRLD06</t>
  </si>
  <si>
    <t>CACG841220MJCSSD03</t>
  </si>
  <si>
    <t>ROAE830526HJCDRV07</t>
  </si>
  <si>
    <t>FOVL710308HHGLZR08</t>
  </si>
  <si>
    <t>LAMC910610HJCNRS00</t>
  </si>
  <si>
    <t>CAAS900829MJCSVF05</t>
  </si>
  <si>
    <t>UUAJ620306HJCRVL01</t>
  </si>
  <si>
    <t>SOCM780618MJCLSR05</t>
  </si>
  <si>
    <t>IARM881208HZSBDR03</t>
  </si>
  <si>
    <t>CACS710320HJCSSL08</t>
  </si>
  <si>
    <t>SOCG871024MJCLSD09</t>
  </si>
  <si>
    <t>VICF940917HJCLSR05</t>
  </si>
  <si>
    <t>CAAM750115HJCSVG03</t>
  </si>
  <si>
    <t>AILC980829HJCVLR00</t>
  </si>
  <si>
    <t>CASE871016HJCSLD02</t>
  </si>
  <si>
    <t>ROCE781126HJCBRD03</t>
  </si>
  <si>
    <t>GACS770226HJCRSL00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</si>
  <si>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</si>
  <si>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</si>
  <si>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</si>
  <si>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</si>
  <si>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</si>
  <si>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</si>
  <si>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MACJ900422HJCDSL04</t>
  </si>
  <si>
    <t>AIAM870428HJCVVR02</t>
  </si>
  <si>
    <t>AIVH770303MJCVGR09</t>
  </si>
  <si>
    <t>CEGP800806HJCSLD07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</si>
  <si>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</si>
  <si>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</si>
  <si>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</si>
  <si>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</si>
  <si>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</si>
  <si>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291</t>
  </si>
  <si>
    <t>ERNESTO MERCADO CHAMORRO</t>
  </si>
  <si>
    <t>MECE941107CB8</t>
  </si>
  <si>
    <t>MECE941107HNTRHR01</t>
  </si>
  <si>
    <t>ENCARGADO DEL MODULO DE MAQUINA Y BODEGA MUNICIPAL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</si>
  <si>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</si>
  <si>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</si>
  <si>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</si>
  <si>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</si>
  <si>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</si>
  <si>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</si>
  <si>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</si>
  <si>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</si>
  <si>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</si>
  <si>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</si>
  <si>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ULISES LOPEZ RODRIGUEZ</t>
  </si>
  <si>
    <t>LORU840304TS8</t>
  </si>
  <si>
    <t>298</t>
  </si>
  <si>
    <t>SECRETARIA DE PROYECTOS PRODUCTIVOS</t>
  </si>
  <si>
    <t>LORU840304HJCPDL05</t>
  </si>
  <si>
    <t>AUXILIAR DEL REGISTRO CIVIL</t>
  </si>
  <si>
    <t>ANGELBERTO CASILLAS SOLIS</t>
  </si>
  <si>
    <t>301</t>
  </si>
  <si>
    <t>CASA730128UJ7</t>
  </si>
  <si>
    <t>CASA730128HJCSLN01</t>
  </si>
  <si>
    <t>303</t>
  </si>
  <si>
    <t>PAOLA ARACELI CORTEZ VARELA</t>
  </si>
  <si>
    <t>COVP990629626</t>
  </si>
  <si>
    <t>COVP990629MJCRRL01</t>
  </si>
  <si>
    <t>DIRECTORA DE CULTURA</t>
  </si>
  <si>
    <t>CULTURA</t>
  </si>
  <si>
    <t>ISR Salarios</t>
  </si>
  <si>
    <t>ALICIA CASTRO CASTRO</t>
  </si>
  <si>
    <t>CACX031118NV2</t>
  </si>
  <si>
    <t>CXCA031118MJCSSLA</t>
  </si>
  <si>
    <t>307</t>
  </si>
  <si>
    <t>309</t>
  </si>
  <si>
    <t>TANIA LIZBETH ALVAREZ HERNANDEZ</t>
  </si>
  <si>
    <t>AAHT990809FI1</t>
  </si>
  <si>
    <t>AAHT990809MDFLRN03</t>
  </si>
  <si>
    <t>FEHA DE INGRESO</t>
  </si>
  <si>
    <t>FECHA DE INGRESO</t>
  </si>
  <si>
    <t>DIRECTOR DE OBRAS PÚBLICAS</t>
  </si>
  <si>
    <t>CARG920319CA1</t>
  </si>
  <si>
    <t>113</t>
  </si>
  <si>
    <t>MA. GUADALUPE CASTRO RAMIREZ</t>
  </si>
  <si>
    <t>CARG920319MJCSMD07</t>
  </si>
  <si>
    <t>AERJ860323SE7</t>
  </si>
  <si>
    <t>143</t>
  </si>
  <si>
    <t>AERN860323HJCVMV12</t>
  </si>
  <si>
    <t>CESAR ALBERTO GUZMAN LOPEZ</t>
  </si>
  <si>
    <t>GULC030602HJCZPSA4</t>
  </si>
  <si>
    <t>315</t>
  </si>
  <si>
    <t>GULC030602IR2</t>
  </si>
  <si>
    <t>J NIEVES AVELAR RAMIREZ</t>
  </si>
  <si>
    <t>AFANADOR DEL PANTEON MUNICIPAL</t>
  </si>
  <si>
    <t>316</t>
  </si>
  <si>
    <t>JAIME BALTIERRA SILVA</t>
  </si>
  <si>
    <t>BASJ750313467</t>
  </si>
  <si>
    <t>BASJ750313HJCLLM04</t>
  </si>
  <si>
    <t>OPERADOR TRACTOR BULLDOZER D8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</si>
  <si>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</si>
  <si>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</si>
  <si>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</si>
  <si>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</si>
  <si>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</si>
  <si>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</si>
  <si>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</si>
  <si>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</si>
  <si>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</si>
  <si>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</si>
  <si>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</si>
  <si>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</si>
  <si>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</si>
  <si>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</si>
  <si>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</si>
  <si>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</si>
  <si>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DIRECTORA MEDIOS AUDIOVISUALES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</si>
  <si>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</si>
  <si>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</si>
  <si>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</si>
  <si>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</si>
  <si>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</si>
  <si>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</si>
  <si>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</si>
  <si>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SECRETARIA DE OBRAS PÚBLICAS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</si>
  <si>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</si>
  <si>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</si>
  <si>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</si>
  <si>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</si>
  <si>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</si>
  <si>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</si>
  <si>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</si>
  <si>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</si>
  <si>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</si>
  <si>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</si>
  <si>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AFANADORA CASA CULTURA</t>
  </si>
  <si>
    <t>337</t>
  </si>
  <si>
    <t>NEREYDA GUADALUPE MARROQUIN JURADO</t>
  </si>
  <si>
    <t>MAJN7810108P7</t>
  </si>
  <si>
    <t>MAJN781010MDGRRR10</t>
  </si>
  <si>
    <t>SUPERVISOR BODEGA MUNICIPAL</t>
  </si>
  <si>
    <t>RAFJ901020HK3</t>
  </si>
  <si>
    <t>RAFJ901020HJCMLS01</t>
  </si>
  <si>
    <t>JOSE DE JESUS RAMIREZ FLORES</t>
  </si>
  <si>
    <t>340</t>
  </si>
  <si>
    <t>DIRECTORA DE TURISMO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</si>
  <si>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</si>
  <si>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</si>
  <si>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</si>
  <si>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</si>
  <si>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</si>
  <si>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</si>
  <si>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</si>
  <si>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AUXILIAR MEDIOS AUDIOVISUALES</t>
  </si>
  <si>
    <t>DIRECTORA DE PROYECTOS PRODUCTIVOS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</si>
  <si>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</si>
  <si>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</si>
  <si>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</si>
  <si>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</si>
  <si>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</si>
  <si>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</si>
  <si>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TABLAS PUBLICADAS EL 29 DE DICIEMBRE DE 2023</t>
  </si>
  <si>
    <t>VIGENTES PARA 2024</t>
  </si>
  <si>
    <t>EJERCICIO 2024</t>
  </si>
  <si>
    <t>344</t>
  </si>
  <si>
    <t>MECA970101512</t>
  </si>
  <si>
    <t>MECA970101HNTRHN03</t>
  </si>
  <si>
    <t>JOSE ANTONIO MERCADO CHAMORRO</t>
  </si>
  <si>
    <t xml:space="preserve"> </t>
  </si>
  <si>
    <t>346</t>
  </si>
  <si>
    <t>JUAN PABLO MEZA PEREDIA</t>
  </si>
  <si>
    <t>MEPJ9301235T6</t>
  </si>
  <si>
    <t>MEPJ930123HJCZRN00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</si>
  <si>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</si>
  <si>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</si>
  <si>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</si>
  <si>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</si>
  <si>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</si>
  <si>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</si>
  <si>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</si>
  <si>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</si>
  <si>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</si>
  <si>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</si>
  <si>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</si>
  <si>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</si>
  <si>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</si>
  <si>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</si>
  <si>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</si>
  <si>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</si>
  <si>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</si>
  <si>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</si>
  <si>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</si>
  <si>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</si>
  <si>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355</t>
  </si>
  <si>
    <t>ABEL TORRES CARRILLO</t>
  </si>
  <si>
    <t>TOCA910376GZA</t>
  </si>
  <si>
    <t>TOCA910316HJCRRB01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</si>
  <si>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</si>
  <si>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</si>
  <si>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</si>
  <si>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</si>
  <si>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</si>
  <si>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</si>
  <si>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</si>
  <si>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357</t>
  </si>
  <si>
    <t>MARVIN ALEXIS AVILA LLAMAS</t>
  </si>
  <si>
    <t>AILM030822SJ0</t>
  </si>
  <si>
    <t>AVLLMR03082214H000</t>
  </si>
  <si>
    <t>358</t>
  </si>
  <si>
    <t>JUAN PABLO AMAYA GARCIA</t>
  </si>
  <si>
    <t>AAGJ030527HJCMRNA0</t>
  </si>
  <si>
    <t>AUXILIAR DE DESARROLLO SOCIAL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</si>
  <si>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</si>
  <si>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</si>
  <si>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</si>
  <si>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</si>
  <si>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</si>
  <si>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</si>
  <si>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</si>
  <si>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</si>
  <si>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</si>
  <si>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</si>
  <si>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</si>
  <si>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</si>
  <si>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</si>
  <si>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</si>
  <si>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</si>
  <si>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</si>
  <si>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</si>
  <si>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362</t>
  </si>
  <si>
    <t>363</t>
  </si>
  <si>
    <t>FERNANDO PLASCENCIA VILLEGAS</t>
  </si>
  <si>
    <t>PAVF9409062QA</t>
  </si>
  <si>
    <t>PAVF940906HJCLLR00</t>
  </si>
  <si>
    <t>JUAN ANTONIO CASTRO MERCADO</t>
  </si>
  <si>
    <t>CAMJ020716TC4</t>
  </si>
  <si>
    <t>CAMJ020716HNTSRNA7</t>
  </si>
  <si>
    <t>366</t>
  </si>
  <si>
    <t>06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</si>
  <si>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</si>
  <si>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</si>
  <si>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</si>
  <si>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</si>
  <si>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</si>
  <si>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</si>
  <si>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</si>
  <si>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</si>
  <si>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</si>
  <si>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</si>
  <si>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368</t>
  </si>
  <si>
    <t>ANA LILIA NAVA MIRAMONTES</t>
  </si>
  <si>
    <t>NAMA960523MZSVRN05</t>
  </si>
  <si>
    <t>NAMA960523F60</t>
  </si>
  <si>
    <t>AAGJ030527I75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</si>
  <si>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</si>
  <si>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</si>
  <si>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</si>
  <si>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</si>
  <si>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</si>
  <si>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</si>
  <si>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</si>
  <si>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</si>
  <si>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CONTRALORIA MUNICIPAL</t>
  </si>
  <si>
    <t>IORI MANUEL CASTILLO ALVAREZ</t>
  </si>
  <si>
    <t>CAAI971103HJCSLR03</t>
  </si>
  <si>
    <t>LEOBARDO MAGALLANES AVILA</t>
  </si>
  <si>
    <t>MAAL9212143Z2</t>
  </si>
  <si>
    <t>MAAL921214HJCGVB0</t>
  </si>
  <si>
    <t>383</t>
  </si>
  <si>
    <t>384</t>
  </si>
  <si>
    <t>GOEM910525B62</t>
  </si>
  <si>
    <t>GOEM910525MGTNST05</t>
  </si>
  <si>
    <t>AUXILIAR  DE BIBLIOTECA MUNICIPAL</t>
  </si>
  <si>
    <t>MATZUYAMA YUBARI GONZALEZ ESCAMILLA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</si>
  <si>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</si>
  <si>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</si>
  <si>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</si>
  <si>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</si>
  <si>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</si>
  <si>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</si>
  <si>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</si>
  <si>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376</t>
  </si>
  <si>
    <t>KARINA JAZMIN CASTRO AVILA</t>
  </si>
  <si>
    <t>CAAK040627VC2</t>
  </si>
  <si>
    <t>CAAK040627MJCSVRA5</t>
  </si>
  <si>
    <t>373</t>
  </si>
  <si>
    <t>MA. DEL ROSARIO CASTRO CASTRO</t>
  </si>
  <si>
    <t>CACR630628A65</t>
  </si>
  <si>
    <t>CACR630628MJCSSS10</t>
  </si>
  <si>
    <t>J GUADALUPE IBARRA RODRIGUEZ</t>
  </si>
  <si>
    <t>DIRECTOR DEL RASTRO</t>
  </si>
  <si>
    <t>SECRETARIA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</si>
  <si>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</si>
  <si>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</si>
  <si>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</si>
  <si>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</si>
  <si>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</si>
  <si>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</si>
  <si>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</si>
  <si>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</si>
  <si>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</si>
  <si>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</si>
  <si>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</si>
  <si>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</si>
  <si>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</si>
  <si>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</si>
  <si>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</si>
  <si>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</si>
  <si>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DIRECTOR DE DEPORTE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</si>
  <si>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</si>
  <si>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</si>
  <si>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</si>
  <si>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</si>
  <si>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</si>
  <si>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</si>
  <si>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</si>
  <si>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</si>
  <si>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</si>
  <si>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</si>
  <si>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</si>
  <si>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</si>
  <si>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</si>
  <si>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</si>
  <si>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</si>
  <si>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</si>
  <si>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</si>
  <si>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</si>
  <si>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</si>
  <si>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</si>
  <si>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</si>
  <si>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</si>
  <si>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</si>
  <si>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</si>
  <si>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</si>
  <si>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</si>
  <si>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</si>
  <si>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</si>
  <si>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</si>
  <si>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</si>
  <si>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</si>
  <si>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</si>
  <si>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</si>
  <si>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</si>
  <si>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</si>
  <si>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</si>
  <si>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</si>
  <si>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</si>
  <si>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</si>
  <si>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</si>
  <si>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</si>
  <si>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</si>
  <si>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</si>
  <si>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</si>
  <si>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</si>
  <si>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</si>
  <si>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</si>
  <si>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</si>
  <si>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</si>
  <si>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</si>
  <si>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</si>
  <si>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HERIBERTO CRUZ PEREZ</t>
  </si>
  <si>
    <t>PCH941018MU7</t>
  </si>
  <si>
    <t>PECH941018HJCRRR08</t>
  </si>
  <si>
    <t>VICTOR MANUEL TELLO RAMIREZ</t>
  </si>
  <si>
    <t>TERV940429P3A</t>
  </si>
  <si>
    <t>TERV940429HJCLMC01</t>
  </si>
  <si>
    <t>MÉDICO MUNICIPAL</t>
  </si>
  <si>
    <t>FRANCISCO XABIER ALBERTO LEÓN ÁVILA</t>
  </si>
  <si>
    <t>LEAF950708CYA</t>
  </si>
  <si>
    <t>LEAF950708HNENVR01</t>
  </si>
  <si>
    <t>RODRIGO SALAZAR ALVAREZ DEL CASTILLO</t>
  </si>
  <si>
    <t>SAAR850404NI0</t>
  </si>
  <si>
    <t>SAAR850404HJCLLD02</t>
  </si>
  <si>
    <t>190</t>
  </si>
  <si>
    <t>ABRAHAM ANCO GARCIA</t>
  </si>
  <si>
    <t>AOGA8509167A4</t>
  </si>
  <si>
    <t>AOGA850916HJCNRB08</t>
  </si>
  <si>
    <t>SUB-DIRECTOR DE OBRAS PÚBLICAS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</si>
  <si>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</si>
  <si>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</si>
  <si>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</si>
  <si>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</si>
  <si>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</si>
  <si>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</si>
  <si>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</si>
  <si>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</si>
  <si>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</si>
  <si>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</si>
  <si>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AUXILIAR DE SINDICATURA</t>
  </si>
  <si>
    <t>RUBISEL LLAMAS CASTRO</t>
  </si>
  <si>
    <t>LACR9001303N6</t>
  </si>
  <si>
    <t>LACR900130HJCLSB08</t>
  </si>
  <si>
    <t>AYUDANTE MECANICO MUNICIPAL</t>
  </si>
  <si>
    <t>JOSE RIVERA FLORES</t>
  </si>
  <si>
    <t>RIFJ771230D57</t>
  </si>
  <si>
    <t>RIFJ771230HJCVLS00</t>
  </si>
  <si>
    <t>395</t>
  </si>
  <si>
    <t>JOSE AVELAR FRIAS</t>
  </si>
  <si>
    <t>AEFJ640826BG5</t>
  </si>
  <si>
    <t>AEFJ640826HJCVRS09</t>
  </si>
  <si>
    <t>394</t>
  </si>
  <si>
    <t>396</t>
  </si>
  <si>
    <t>397</t>
  </si>
  <si>
    <t>DAYANA ASTUDILLO RAMIREZ</t>
  </si>
  <si>
    <t>JENNIFER NATALI GALLEGOS PEREZ</t>
  </si>
  <si>
    <t>AURD031109I90</t>
  </si>
  <si>
    <t>AURD031109MGRSMYA3</t>
  </si>
  <si>
    <t>GAPJ040617P15</t>
  </si>
  <si>
    <t>GAPJ040617MJCLRNA3</t>
  </si>
  <si>
    <t>CONTRALOR MUNICIPAL</t>
  </si>
  <si>
    <t>SUELDO  DEL 16 AL 30 DE NOVIEMBRE DE 2024</t>
  </si>
  <si>
    <t>SACA8104131B5</t>
  </si>
  <si>
    <t>305</t>
  </si>
  <si>
    <t>RAFAEL NUÑEZ SILVA</t>
  </si>
  <si>
    <t>NUSR670406TB4</t>
  </si>
  <si>
    <t>NUSR670406HJCXLF02</t>
  </si>
  <si>
    <t>ENCARGADA  DE BIBLIOTECA MUNICIPAL</t>
  </si>
  <si>
    <t>ARACELI AVELAR VALDEZ</t>
  </si>
  <si>
    <t>AEVA930930QJ2</t>
  </si>
  <si>
    <t>AEVA930930MJCVLR07</t>
  </si>
  <si>
    <t>SUELDO DEL 16 AL 30 DE NOVIEMBRE DE 2024</t>
  </si>
  <si>
    <t>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</si>
</sst>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6"/>
      <color rgb="FF000099"/>
      <name val="Verdana"/>
      <family val="2"/>
    </font>
    <font>
      <b/>
      <sz val="10"/>
      <color rgb="FF000099"/>
      <name val="Arial"/>
      <family val="2"/>
    </font>
    <font>
      <sz val="14"/>
      <color rgb="FF404041"/>
      <name val="Montserrat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rgb="FFECECEC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470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4" xfId="0" applyBorder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4" xfId="0" applyFont="1" applyBorder="1"/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4" xfId="0" applyFont="1" applyBorder="1"/>
    <xf numFmtId="0" fontId="4" fillId="0" borderId="0" xfId="0" applyFont="1"/>
    <xf numFmtId="43" fontId="1" fillId="0" borderId="0" xfId="2" applyFont="1" applyProtection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49" fontId="29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9" fontId="27" fillId="0" borderId="0" xfId="0" applyNumberFormat="1" applyFont="1" applyAlignment="1">
      <alignment horizontal="center"/>
    </xf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4" fillId="5" borderId="4" xfId="0" applyFont="1" applyFill="1" applyBorder="1"/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5" borderId="4" xfId="0" applyNumberFormat="1" applyFont="1" applyFill="1" applyBorder="1" applyAlignment="1">
      <alignment horizontal="center"/>
    </xf>
    <xf numFmtId="49" fontId="29" fillId="0" borderId="4" xfId="0" applyNumberFormat="1" applyFont="1" applyBorder="1" applyAlignment="1">
      <alignment horizontal="center"/>
    </xf>
    <xf numFmtId="0" fontId="29" fillId="0" borderId="4" xfId="0" applyFont="1" applyBorder="1" applyAlignment="1" applyProtection="1">
      <alignment horizontal="left"/>
      <protection locked="0"/>
    </xf>
    <xf numFmtId="0" fontId="29" fillId="0" borderId="4" xfId="0" applyFont="1" applyBorder="1" applyAlignment="1" applyProtection="1">
      <alignment horizontal="left" wrapText="1"/>
      <protection locked="0"/>
    </xf>
    <xf numFmtId="0" fontId="29" fillId="0" borderId="4" xfId="0" applyFont="1" applyBorder="1" applyAlignment="1" applyProtection="1">
      <alignment horizontal="center"/>
      <protection locked="0"/>
    </xf>
    <xf numFmtId="2" fontId="29" fillId="0" borderId="4" xfId="0" applyNumberFormat="1" applyFont="1" applyBorder="1" applyAlignment="1" applyProtection="1">
      <alignment horizontal="right"/>
      <protection locked="0"/>
    </xf>
    <xf numFmtId="165" fontId="29" fillId="0" borderId="4" xfId="2" applyNumberFormat="1" applyFont="1" applyFill="1" applyBorder="1" applyAlignment="1" applyProtection="1">
      <alignment horizontal="right"/>
    </xf>
    <xf numFmtId="165" fontId="29" fillId="0" borderId="4" xfId="2" applyNumberFormat="1" applyFont="1" applyBorder="1" applyAlignment="1" applyProtection="1">
      <alignment horizontal="right"/>
      <protection locked="0"/>
    </xf>
    <xf numFmtId="165" fontId="29" fillId="0" borderId="4" xfId="2" applyNumberFormat="1" applyFont="1" applyBorder="1" applyAlignment="1" applyProtection="1">
      <alignment horizontal="right"/>
    </xf>
    <xf numFmtId="165" fontId="29" fillId="2" borderId="4" xfId="2" applyNumberFormat="1" applyFont="1" applyFill="1" applyBorder="1" applyAlignment="1" applyProtection="1">
      <alignment horizontal="right"/>
    </xf>
    <xf numFmtId="10" fontId="29" fillId="2" borderId="4" xfId="3" applyNumberFormat="1" applyFont="1" applyFill="1" applyBorder="1" applyAlignment="1" applyProtection="1">
      <alignment horizontal="right"/>
    </xf>
    <xf numFmtId="165" fontId="29" fillId="7" borderId="4" xfId="2" applyNumberFormat="1" applyFont="1" applyFill="1" applyBorder="1" applyAlignment="1" applyProtection="1">
      <alignment horizontal="right"/>
    </xf>
    <xf numFmtId="166" fontId="29" fillId="0" borderId="4" xfId="2" applyNumberFormat="1" applyFont="1" applyBorder="1" applyAlignment="1" applyProtection="1">
      <alignment horizontal="right"/>
      <protection locked="0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49" fontId="29" fillId="0" borderId="1" xfId="0" applyNumberFormat="1" applyFont="1" applyBorder="1" applyAlignment="1">
      <alignment horizontal="center"/>
    </xf>
    <xf numFmtId="0" fontId="29" fillId="5" borderId="4" xfId="0" applyFont="1" applyFill="1" applyBorder="1" applyAlignment="1" applyProtection="1">
      <alignment horizontal="left"/>
      <protection locked="0"/>
    </xf>
    <xf numFmtId="0" fontId="29" fillId="5" borderId="4" xfId="0" applyFont="1" applyFill="1" applyBorder="1" applyAlignment="1" applyProtection="1">
      <alignment horizontal="center"/>
      <protection locked="0"/>
    </xf>
    <xf numFmtId="0" fontId="29" fillId="5" borderId="4" xfId="0" applyFont="1" applyFill="1" applyBorder="1" applyAlignment="1">
      <alignment horizontal="center"/>
    </xf>
    <xf numFmtId="0" fontId="29" fillId="0" borderId="7" xfId="0" applyFont="1" applyBorder="1" applyAlignment="1" applyProtection="1">
      <alignment horizontal="center"/>
      <protection locked="0"/>
    </xf>
    <xf numFmtId="2" fontId="29" fillId="0" borderId="7" xfId="0" applyNumberFormat="1" applyFont="1" applyBorder="1" applyAlignment="1" applyProtection="1">
      <alignment horizontal="right"/>
      <protection locked="0"/>
    </xf>
    <xf numFmtId="165" fontId="29" fillId="0" borderId="7" xfId="2" applyNumberFormat="1" applyFont="1" applyFill="1" applyBorder="1" applyAlignment="1" applyProtection="1">
      <alignment horizontal="right"/>
    </xf>
    <xf numFmtId="165" fontId="29" fillId="0" borderId="7" xfId="2" applyNumberFormat="1" applyFont="1" applyBorder="1" applyAlignment="1" applyProtection="1">
      <alignment horizontal="right"/>
      <protection locked="0"/>
    </xf>
    <xf numFmtId="165" fontId="29" fillId="0" borderId="7" xfId="2" applyNumberFormat="1" applyFont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0" fontId="29" fillId="5" borderId="4" xfId="0" applyFont="1" applyFill="1" applyBorder="1" applyAlignment="1">
      <alignment horizontal="left"/>
    </xf>
    <xf numFmtId="0" fontId="29" fillId="5" borderId="4" xfId="0" applyFont="1" applyFill="1" applyBorder="1" applyAlignment="1">
      <alignment horizontal="left" wrapText="1"/>
    </xf>
    <xf numFmtId="0" fontId="29" fillId="5" borderId="2" xfId="0" applyFont="1" applyFill="1" applyBorder="1" applyAlignment="1">
      <alignment horizontal="center"/>
    </xf>
    <xf numFmtId="0" fontId="29" fillId="0" borderId="2" xfId="0" applyFont="1" applyBorder="1"/>
    <xf numFmtId="4" fontId="29" fillId="0" borderId="4" xfId="0" applyNumberFormat="1" applyFont="1" applyBorder="1" applyAlignment="1" applyProtection="1">
      <alignment horizontal="right"/>
      <protection locked="0"/>
    </xf>
    <xf numFmtId="4" fontId="29" fillId="5" borderId="4" xfId="0" applyNumberFormat="1" applyFont="1" applyFill="1" applyBorder="1" applyAlignment="1" applyProtection="1">
      <alignment horizontal="right"/>
      <protection locked="0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2" xfId="0" applyNumberFormat="1" applyFont="1" applyBorder="1" applyAlignment="1">
      <alignment horizontal="center"/>
    </xf>
    <xf numFmtId="49" fontId="29" fillId="0" borderId="0" xfId="0" applyNumberFormat="1" applyFont="1" applyAlignment="1">
      <alignment horizontal="center"/>
    </xf>
    <xf numFmtId="0" fontId="29" fillId="0" borderId="4" xfId="0" applyFont="1" applyBorder="1" applyAlignment="1">
      <alignment wrapText="1"/>
    </xf>
    <xf numFmtId="0" fontId="29" fillId="5" borderId="4" xfId="0" applyFont="1" applyFill="1" applyBorder="1"/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2" fontId="29" fillId="0" borderId="4" xfId="0" applyNumberFormat="1" applyFont="1" applyBorder="1" applyAlignment="1" applyProtection="1">
      <alignment horizontal="left"/>
      <protection locked="0"/>
    </xf>
    <xf numFmtId="0" fontId="31" fillId="0" borderId="0" xfId="0" applyFont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wrapText="1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166" fontId="29" fillId="0" borderId="0" xfId="2" applyNumberFormat="1" applyFont="1" applyBorder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49" fontId="29" fillId="5" borderId="0" xfId="0" applyNumberFormat="1" applyFont="1" applyFill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49" fontId="33" fillId="5" borderId="14" xfId="5" applyNumberFormat="1" applyFont="1" applyFill="1" applyBorder="1" applyAlignment="1" applyProtection="1">
      <alignment vertical="center" wrapText="1"/>
      <protection locked="0"/>
    </xf>
    <xf numFmtId="49" fontId="33" fillId="0" borderId="4" xfId="5" applyNumberFormat="1" applyFont="1" applyBorder="1" applyAlignment="1" applyProtection="1">
      <alignment wrapText="1"/>
      <protection locked="0"/>
    </xf>
    <xf numFmtId="49" fontId="33" fillId="5" borderId="2" xfId="5" applyNumberFormat="1" applyFont="1" applyFill="1" applyBorder="1" applyAlignment="1" applyProtection="1">
      <alignment vertical="center" wrapText="1"/>
      <protection locked="0"/>
    </xf>
    <xf numFmtId="0" fontId="33" fillId="0" borderId="4" xfId="0" applyFont="1" applyBorder="1" applyAlignment="1" applyProtection="1">
      <alignment horizontal="left" wrapText="1"/>
      <protection locked="0"/>
    </xf>
    <xf numFmtId="0" fontId="33" fillId="5" borderId="4" xfId="0" applyFont="1" applyFill="1" applyBorder="1" applyAlignment="1" applyProtection="1">
      <alignment horizontal="left" wrapText="1"/>
      <protection locked="0"/>
    </xf>
    <xf numFmtId="14" fontId="29" fillId="0" borderId="4" xfId="0" applyNumberFormat="1" applyFont="1" applyBorder="1" applyAlignment="1" applyProtection="1">
      <alignment horizontal="left"/>
      <protection locked="0"/>
    </xf>
    <xf numFmtId="14" fontId="29" fillId="0" borderId="4" xfId="0" applyNumberFormat="1" applyFont="1" applyBorder="1" applyAlignment="1" applyProtection="1">
      <alignment horizontal="center"/>
      <protection locked="0"/>
    </xf>
    <xf numFmtId="14" fontId="29" fillId="0" borderId="2" xfId="0" applyNumberFormat="1" applyFont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14" fontId="29" fillId="5" borderId="4" xfId="0" applyNumberFormat="1" applyFont="1" applyFill="1" applyBorder="1" applyAlignment="1" applyProtection="1">
      <alignment horizontal="center"/>
      <protection locked="0"/>
    </xf>
    <xf numFmtId="14" fontId="29" fillId="5" borderId="4" xfId="0" applyNumberFormat="1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1" xfId="0" applyFont="1" applyFill="1" applyBorder="1" applyAlignment="1">
      <alignment horizontal="center" wrapText="1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9" fontId="29" fillId="0" borderId="0" xfId="0" applyNumberFormat="1" applyFont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5" borderId="1" xfId="0" applyNumberFormat="1" applyFont="1" applyFill="1" applyBorder="1" applyAlignment="1">
      <alignment horizontal="center"/>
    </xf>
    <xf numFmtId="0" fontId="29" fillId="0" borderId="1" xfId="0" applyFont="1" applyBorder="1" applyAlignment="1" applyProtection="1">
      <alignment horizontal="left"/>
      <protection locked="0"/>
    </xf>
    <xf numFmtId="2" fontId="29" fillId="0" borderId="1" xfId="0" applyNumberFormat="1" applyFont="1" applyBorder="1" applyAlignment="1" applyProtection="1">
      <alignment horizontal="left"/>
      <protection locked="0"/>
    </xf>
    <xf numFmtId="14" fontId="29" fillId="0" borderId="1" xfId="0" applyNumberFormat="1" applyFont="1" applyBorder="1" applyAlignment="1" applyProtection="1">
      <alignment horizontal="center"/>
      <protection locked="0"/>
    </xf>
    <xf numFmtId="0" fontId="29" fillId="0" borderId="1" xfId="0" applyFont="1" applyBorder="1" applyAlignment="1" applyProtection="1">
      <alignment horizontal="left" wrapText="1"/>
      <protection locked="0"/>
    </xf>
    <xf numFmtId="0" fontId="29" fillId="0" borderId="1" xfId="0" applyFont="1" applyBorder="1" applyAlignment="1" applyProtection="1">
      <alignment horizontal="center"/>
      <protection locked="0"/>
    </xf>
    <xf numFmtId="2" fontId="29" fillId="0" borderId="1" xfId="0" applyNumberFormat="1" applyFont="1" applyBorder="1" applyAlignment="1" applyProtection="1">
      <alignment horizontal="right"/>
      <protection locked="0"/>
    </xf>
    <xf numFmtId="0" fontId="33" fillId="0" borderId="3" xfId="0" applyFont="1" applyBorder="1" applyAlignment="1" applyProtection="1">
      <alignment horizontal="left" wrapText="1"/>
      <protection locked="0"/>
    </xf>
    <xf numFmtId="0" fontId="33" fillId="5" borderId="4" xfId="0" applyFont="1" applyFill="1" applyBorder="1" applyAlignment="1">
      <alignment horizontal="left" wrapText="1"/>
    </xf>
    <xf numFmtId="49" fontId="33" fillId="5" borderId="4" xfId="5" applyNumberFormat="1" applyFont="1" applyFill="1" applyBorder="1" applyAlignment="1" applyProtection="1">
      <alignment vertical="center" wrapText="1"/>
      <protection locked="0"/>
    </xf>
    <xf numFmtId="0" fontId="33" fillId="0" borderId="2" xfId="0" applyFont="1" applyBorder="1" applyAlignment="1">
      <alignment wrapText="1"/>
    </xf>
    <xf numFmtId="0" fontId="33" fillId="5" borderId="4" xfId="0" applyFont="1" applyFill="1" applyBorder="1" applyAlignment="1" applyProtection="1">
      <alignment horizontal="left"/>
      <protection locked="0"/>
    </xf>
    <xf numFmtId="0" fontId="33" fillId="0" borderId="4" xfId="0" applyFont="1" applyBorder="1" applyAlignment="1">
      <alignment wrapText="1"/>
    </xf>
    <xf numFmtId="49" fontId="33" fillId="5" borderId="4" xfId="0" applyNumberFormat="1" applyFont="1" applyFill="1" applyBorder="1" applyAlignment="1">
      <alignment wrapText="1"/>
    </xf>
    <xf numFmtId="49" fontId="33" fillId="0" borderId="4" xfId="0" applyNumberFormat="1" applyFont="1" applyBorder="1" applyAlignment="1">
      <alignment wrapText="1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35" fillId="0" borderId="0" xfId="0" applyFont="1" applyAlignment="1">
      <alignment horizontal="left"/>
    </xf>
    <xf numFmtId="0" fontId="29" fillId="0" borderId="4" xfId="0" applyFont="1" applyBorder="1" applyAlignment="1">
      <alignment horizontal="left" wrapText="1"/>
    </xf>
    <xf numFmtId="0" fontId="29" fillId="5" borderId="4" xfId="0" applyFont="1" applyFill="1" applyBorder="1" applyAlignment="1" applyProtection="1">
      <alignment horizontal="left" wrapText="1"/>
      <protection locked="0"/>
    </xf>
    <xf numFmtId="0" fontId="0" fillId="3" borderId="0" xfId="0" applyFill="1"/>
    <xf numFmtId="0" fontId="36" fillId="3" borderId="0" xfId="0" applyFont="1" applyFill="1"/>
    <xf numFmtId="49" fontId="33" fillId="5" borderId="0" xfId="0" applyNumberFormat="1" applyFont="1" applyFill="1" applyAlignment="1">
      <alignment wrapText="1"/>
    </xf>
    <xf numFmtId="0" fontId="29" fillId="5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0" fontId="38" fillId="0" borderId="0" xfId="0" applyFont="1" applyAlignment="1" applyProtection="1">
      <alignment horizontal="center"/>
      <protection locked="0"/>
    </xf>
    <xf numFmtId="165" fontId="29" fillId="5" borderId="4" xfId="2" applyNumberFormat="1" applyFont="1" applyFill="1" applyBorder="1" applyAlignment="1" applyProtection="1">
      <alignment horizontal="right"/>
    </xf>
    <xf numFmtId="0" fontId="18" fillId="5" borderId="4" xfId="0" applyFont="1" applyFill="1" applyBorder="1"/>
    <xf numFmtId="49" fontId="1" fillId="0" borderId="0" xfId="0" applyNumberFormat="1" applyFont="1" applyAlignment="1">
      <alignment horizontal="center"/>
    </xf>
    <xf numFmtId="0" fontId="40" fillId="9" borderId="19" xfId="0" applyFont="1" applyFill="1" applyBorder="1" applyAlignment="1">
      <alignment vertical="center" wrapText="1"/>
    </xf>
    <xf numFmtId="0" fontId="33" fillId="5" borderId="4" xfId="0" applyFont="1" applyFill="1" applyBorder="1" applyAlignment="1">
      <alignment horizontal="center"/>
    </xf>
    <xf numFmtId="49" fontId="33" fillId="5" borderId="4" xfId="0" applyNumberFormat="1" applyFont="1" applyFill="1" applyBorder="1" applyAlignment="1">
      <alignment horizontal="center"/>
    </xf>
    <xf numFmtId="0" fontId="33" fillId="0" borderId="4" xfId="0" applyFont="1" applyBorder="1" applyAlignment="1" applyProtection="1">
      <alignment horizontal="left"/>
      <protection locked="0"/>
    </xf>
    <xf numFmtId="0" fontId="35" fillId="0" borderId="0" xfId="0" applyFont="1"/>
    <xf numFmtId="0" fontId="35" fillId="0" borderId="4" xfId="0" applyFont="1" applyBorder="1"/>
    <xf numFmtId="0" fontId="40" fillId="0" borderId="0" xfId="0" applyFont="1"/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4" fontId="29" fillId="0" borderId="0" xfId="0" applyNumberFormat="1" applyFont="1" applyAlignment="1" applyProtection="1">
      <alignment horizontal="center"/>
      <protection locked="0"/>
    </xf>
    <xf numFmtId="14" fontId="29" fillId="5" borderId="4" xfId="0" applyNumberFormat="1" applyFont="1" applyFill="1" applyBorder="1" applyAlignment="1">
      <alignment horizontal="left" wrapText="1"/>
    </xf>
    <xf numFmtId="0" fontId="41" fillId="0" borderId="4" xfId="0" applyFont="1" applyBorder="1"/>
    <xf numFmtId="0" fontId="29" fillId="0" borderId="3" xfId="0" applyFont="1" applyBorder="1"/>
    <xf numFmtId="0" fontId="42" fillId="0" borderId="4" xfId="0" applyFont="1" applyBorder="1" applyAlignment="1" applyProtection="1">
      <alignment horizontal="left" wrapText="1"/>
      <protection locked="0"/>
    </xf>
    <xf numFmtId="0" fontId="42" fillId="5" borderId="4" xfId="0" applyFont="1" applyFill="1" applyBorder="1" applyAlignment="1" applyProtection="1">
      <alignment horizontal="left" wrapText="1"/>
      <protection locked="0"/>
    </xf>
    <xf numFmtId="49" fontId="42" fillId="0" borderId="4" xfId="5" applyNumberFormat="1" applyFont="1" applyBorder="1" applyAlignment="1" applyProtection="1">
      <alignment wrapText="1"/>
      <protection locked="0"/>
    </xf>
    <xf numFmtId="0" fontId="29" fillId="0" borderId="3" xfId="0" applyFont="1" applyBorder="1" applyAlignment="1" applyProtection="1">
      <alignment horizontal="left" wrapText="1"/>
      <protection locked="0"/>
    </xf>
    <xf numFmtId="2" fontId="29" fillId="0" borderId="3" xfId="0" applyNumberFormat="1" applyFont="1" applyBorder="1" applyAlignment="1" applyProtection="1">
      <alignment horizontal="right"/>
      <protection locked="0"/>
    </xf>
    <xf numFmtId="49" fontId="42" fillId="0" borderId="2" xfId="5" applyNumberFormat="1" applyFont="1" applyBorder="1" applyAlignment="1" applyProtection="1">
      <alignment wrapText="1"/>
      <protection locked="0"/>
    </xf>
    <xf numFmtId="49" fontId="29" fillId="0" borderId="2" xfId="5" applyNumberFormat="1" applyFont="1" applyBorder="1" applyAlignment="1" applyProtection="1">
      <alignment vertical="center" wrapText="1"/>
      <protection locked="0"/>
    </xf>
    <xf numFmtId="0" fontId="42" fillId="5" borderId="0" xfId="0" applyFont="1" applyFill="1" applyAlignment="1" applyProtection="1">
      <alignment horizontal="left" wrapText="1"/>
      <protection locked="0"/>
    </xf>
    <xf numFmtId="14" fontId="29" fillId="0" borderId="0" xfId="0" applyNumberFormat="1" applyFont="1" applyAlignment="1" applyProtection="1">
      <alignment horizontal="left" wrapText="1"/>
      <protection locked="0"/>
    </xf>
    <xf numFmtId="165" fontId="33" fillId="0" borderId="2" xfId="2" applyNumberFormat="1" applyFont="1" applyFill="1" applyBorder="1" applyAlignment="1" applyProtection="1">
      <alignment horizontal="right"/>
    </xf>
    <xf numFmtId="165" fontId="33" fillId="0" borderId="2" xfId="2" applyNumberFormat="1" applyFont="1" applyBorder="1" applyAlignment="1" applyProtection="1">
      <alignment horizontal="right"/>
      <protection locked="0"/>
    </xf>
    <xf numFmtId="165" fontId="33" fillId="2" borderId="2" xfId="2" applyNumberFormat="1" applyFont="1" applyFill="1" applyBorder="1" applyAlignment="1" applyProtection="1">
      <alignment horizontal="right"/>
    </xf>
    <xf numFmtId="10" fontId="33" fillId="2" borderId="2" xfId="3" applyNumberFormat="1" applyFont="1" applyFill="1" applyBorder="1" applyAlignment="1" applyProtection="1">
      <alignment horizontal="right"/>
    </xf>
    <xf numFmtId="165" fontId="33" fillId="7" borderId="2" xfId="2" applyNumberFormat="1" applyFont="1" applyFill="1" applyBorder="1" applyAlignment="1" applyProtection="1">
      <alignment horizontal="right"/>
    </xf>
    <xf numFmtId="165" fontId="33" fillId="0" borderId="2" xfId="2" applyNumberFormat="1" applyFont="1" applyBorder="1" applyAlignment="1" applyProtection="1">
      <alignment horizontal="right"/>
    </xf>
    <xf numFmtId="166" fontId="33" fillId="0" borderId="2" xfId="2" applyNumberFormat="1" applyFont="1" applyBorder="1" applyAlignment="1" applyProtection="1">
      <alignment horizontal="right"/>
      <protection locked="0"/>
    </xf>
    <xf numFmtId="0" fontId="33" fillId="0" borderId="2" xfId="0" applyFont="1" applyBorder="1" applyAlignment="1" applyProtection="1">
      <alignment horizontal="left" wrapText="1"/>
      <protection locked="0"/>
    </xf>
    <xf numFmtId="0" fontId="33" fillId="0" borderId="4" xfId="0" applyFont="1" applyBorder="1" applyAlignment="1" applyProtection="1">
      <alignment horizontal="center"/>
      <protection locked="0"/>
    </xf>
    <xf numFmtId="2" fontId="33" fillId="0" borderId="4" xfId="0" applyNumberFormat="1" applyFont="1" applyBorder="1" applyAlignment="1" applyProtection="1">
      <alignment horizontal="right"/>
      <protection locked="0"/>
    </xf>
    <xf numFmtId="165" fontId="33" fillId="0" borderId="4" xfId="2" applyNumberFormat="1" applyFont="1" applyFill="1" applyBorder="1" applyAlignment="1" applyProtection="1">
      <alignment horizontal="right"/>
    </xf>
    <xf numFmtId="165" fontId="33" fillId="0" borderId="4" xfId="2" applyNumberFormat="1" applyFont="1" applyBorder="1" applyAlignment="1" applyProtection="1">
      <alignment horizontal="right"/>
      <protection locked="0"/>
    </xf>
    <xf numFmtId="165" fontId="33" fillId="0" borderId="4" xfId="2" applyNumberFormat="1" applyFont="1" applyBorder="1" applyAlignment="1" applyProtection="1">
      <alignment horizontal="right"/>
    </xf>
    <xf numFmtId="165" fontId="33" fillId="2" borderId="4" xfId="2" applyNumberFormat="1" applyFont="1" applyFill="1" applyBorder="1" applyAlignment="1" applyProtection="1">
      <alignment horizontal="right"/>
    </xf>
    <xf numFmtId="10" fontId="33" fillId="2" borderId="4" xfId="3" applyNumberFormat="1" applyFont="1" applyFill="1" applyBorder="1" applyAlignment="1" applyProtection="1">
      <alignment horizontal="right"/>
    </xf>
    <xf numFmtId="165" fontId="33" fillId="7" borderId="4" xfId="2" applyNumberFormat="1" applyFont="1" applyFill="1" applyBorder="1" applyAlignment="1" applyProtection="1">
      <alignment horizontal="right"/>
    </xf>
    <xf numFmtId="166" fontId="33" fillId="0" borderId="4" xfId="2" applyNumberFormat="1" applyFont="1" applyBorder="1" applyAlignment="1" applyProtection="1">
      <alignment horizontal="right"/>
      <protection locked="0"/>
    </xf>
    <xf numFmtId="0" fontId="33" fillId="0" borderId="2" xfId="0" applyFont="1" applyBorder="1" applyAlignment="1" applyProtection="1">
      <alignment horizontal="center"/>
      <protection locked="0"/>
    </xf>
    <xf numFmtId="2" fontId="33" fillId="0" borderId="2" xfId="0" applyNumberFormat="1" applyFont="1" applyBorder="1" applyAlignment="1" applyProtection="1">
      <alignment horizontal="right"/>
      <protection locked="0"/>
    </xf>
    <xf numFmtId="165" fontId="43" fillId="0" borderId="8" xfId="2" applyNumberFormat="1" applyFont="1" applyBorder="1" applyAlignment="1" applyProtection="1">
      <alignment horizontal="right"/>
    </xf>
    <xf numFmtId="165" fontId="43" fillId="2" borderId="8" xfId="2" applyNumberFormat="1" applyFont="1" applyFill="1" applyBorder="1" applyAlignment="1" applyProtection="1">
      <alignment horizontal="right"/>
    </xf>
    <xf numFmtId="14" fontId="33" fillId="0" borderId="4" xfId="0" applyNumberFormat="1" applyFont="1" applyBorder="1" applyAlignment="1" applyProtection="1">
      <alignment horizontal="center"/>
      <protection locked="0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14" fontId="33" fillId="0" borderId="4" xfId="0" applyNumberFormat="1" applyFont="1" applyBorder="1" applyAlignment="1" applyProtection="1">
      <alignment horizontal="left" wrapText="1"/>
      <protection locked="0"/>
    </xf>
    <xf numFmtId="14" fontId="33" fillId="0" borderId="2" xfId="0" applyNumberFormat="1" applyFont="1" applyBorder="1" applyAlignment="1" applyProtection="1">
      <alignment horizontal="center"/>
      <protection locked="0"/>
    </xf>
    <xf numFmtId="14" fontId="33" fillId="0" borderId="0" xfId="0" applyNumberFormat="1" applyFont="1" applyAlignment="1">
      <alignment horizontal="center"/>
    </xf>
    <xf numFmtId="14" fontId="33" fillId="0" borderId="4" xfId="0" applyNumberFormat="1" applyFont="1" applyBorder="1" applyAlignment="1">
      <alignment horizontal="center"/>
    </xf>
    <xf numFmtId="49" fontId="33" fillId="0" borderId="4" xfId="0" applyNumberFormat="1" applyFont="1" applyBorder="1" applyAlignment="1">
      <alignment horizontal="center"/>
    </xf>
    <xf numFmtId="14" fontId="33" fillId="5" borderId="4" xfId="0" applyNumberFormat="1" applyFont="1" applyFill="1" applyBorder="1" applyAlignment="1" applyProtection="1">
      <alignment horizontal="center"/>
      <protection locked="0"/>
    </xf>
    <xf numFmtId="0" fontId="43" fillId="0" borderId="0" xfId="0" applyFont="1"/>
    <xf numFmtId="0" fontId="33" fillId="0" borderId="0" xfId="0" applyFont="1"/>
    <xf numFmtId="0" fontId="32" fillId="0" borderId="0" xfId="0" applyFont="1"/>
    <xf numFmtId="49" fontId="33" fillId="0" borderId="3" xfId="0" applyNumberFormat="1" applyFont="1" applyBorder="1" applyAlignment="1">
      <alignment horizontal="center"/>
    </xf>
    <xf numFmtId="0" fontId="33" fillId="5" borderId="3" xfId="0" applyFont="1" applyFill="1" applyBorder="1" applyAlignment="1" applyProtection="1">
      <alignment horizontal="left" wrapText="1"/>
      <protection locked="0"/>
    </xf>
    <xf numFmtId="0" fontId="29" fillId="5" borderId="3" xfId="0" applyFont="1" applyFill="1" applyBorder="1" applyAlignment="1" applyProtection="1">
      <alignment horizontal="left"/>
      <protection locked="0"/>
    </xf>
    <xf numFmtId="14" fontId="33" fillId="5" borderId="3" xfId="0" applyNumberFormat="1" applyFont="1" applyFill="1" applyBorder="1" applyAlignment="1" applyProtection="1">
      <alignment horizontal="center"/>
      <protection locked="0"/>
    </xf>
    <xf numFmtId="0" fontId="33" fillId="0" borderId="3" xfId="0" applyFont="1" applyBorder="1" applyAlignment="1" applyProtection="1">
      <alignment horizontal="center"/>
      <protection locked="0"/>
    </xf>
    <xf numFmtId="2" fontId="33" fillId="0" borderId="3" xfId="0" applyNumberFormat="1" applyFont="1" applyBorder="1" applyAlignment="1" applyProtection="1">
      <alignment horizontal="right"/>
      <protection locked="0"/>
    </xf>
    <xf numFmtId="165" fontId="33" fillId="0" borderId="3" xfId="2" applyNumberFormat="1" applyFont="1" applyFill="1" applyBorder="1" applyAlignment="1" applyProtection="1">
      <alignment horizontal="right"/>
    </xf>
    <xf numFmtId="165" fontId="33" fillId="0" borderId="3" xfId="2" applyNumberFormat="1" applyFont="1" applyBorder="1" applyAlignment="1" applyProtection="1">
      <alignment horizontal="right"/>
      <protection locked="0"/>
    </xf>
    <xf numFmtId="165" fontId="33" fillId="0" borderId="3" xfId="2" applyNumberFormat="1" applyFont="1" applyBorder="1" applyAlignment="1" applyProtection="1">
      <alignment horizontal="right"/>
    </xf>
    <xf numFmtId="165" fontId="33" fillId="2" borderId="3" xfId="2" applyNumberFormat="1" applyFont="1" applyFill="1" applyBorder="1" applyAlignment="1" applyProtection="1">
      <alignment horizontal="right"/>
    </xf>
    <xf numFmtId="10" fontId="33" fillId="2" borderId="3" xfId="3" applyNumberFormat="1" applyFont="1" applyFill="1" applyBorder="1" applyAlignment="1" applyProtection="1">
      <alignment horizontal="right"/>
    </xf>
    <xf numFmtId="165" fontId="33" fillId="7" borderId="3" xfId="2" applyNumberFormat="1" applyFont="1" applyFill="1" applyBorder="1" applyAlignment="1" applyProtection="1">
      <alignment horizontal="right"/>
    </xf>
    <xf numFmtId="166" fontId="33" fillId="0" borderId="3" xfId="2" applyNumberFormat="1" applyFont="1" applyBorder="1" applyAlignment="1" applyProtection="1">
      <alignment horizontal="right"/>
      <protection locked="0"/>
    </xf>
    <xf numFmtId="49" fontId="33" fillId="0" borderId="2" xfId="0" applyNumberFormat="1" applyFont="1" applyBorder="1" applyAlignment="1">
      <alignment horizontal="center"/>
    </xf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33" fillId="5" borderId="4" xfId="0" applyFont="1" applyFill="1" applyBorder="1" applyAlignment="1">
      <alignment horizontal="center" wrapText="1"/>
    </xf>
    <xf numFmtId="49" fontId="33" fillId="5" borderId="4" xfId="0" applyNumberFormat="1" applyFont="1" applyFill="1" applyBorder="1" applyAlignment="1">
      <alignment horizontal="center" wrapText="1"/>
    </xf>
    <xf numFmtId="14" fontId="33" fillId="5" borderId="4" xfId="0" applyNumberFormat="1" applyFont="1" applyFill="1" applyBorder="1" applyAlignment="1">
      <alignment horizontal="center"/>
    </xf>
    <xf numFmtId="0" fontId="43" fillId="4" borderId="4" xfId="0" applyFont="1" applyFill="1" applyBorder="1" applyAlignment="1">
      <alignment horizontal="center" wrapText="1"/>
    </xf>
    <xf numFmtId="0" fontId="43" fillId="4" borderId="4" xfId="0" applyFont="1" applyFill="1" applyBorder="1" applyAlignment="1">
      <alignment horizontal="center"/>
    </xf>
    <xf numFmtId="165" fontId="43" fillId="4" borderId="4" xfId="0" applyNumberFormat="1" applyFont="1" applyFill="1" applyBorder="1" applyAlignment="1">
      <alignment horizontal="center"/>
    </xf>
    <xf numFmtId="0" fontId="43" fillId="7" borderId="4" xfId="0" applyFont="1" applyFill="1" applyBorder="1" applyAlignment="1">
      <alignment horizontal="center"/>
    </xf>
    <xf numFmtId="0" fontId="33" fillId="5" borderId="2" xfId="0" applyFont="1" applyFill="1" applyBorder="1" applyAlignment="1">
      <alignment horizontal="center"/>
    </xf>
    <xf numFmtId="0" fontId="43" fillId="4" borderId="2" xfId="0" applyFont="1" applyFill="1" applyBorder="1" applyAlignment="1">
      <alignment horizontal="center" wrapText="1"/>
    </xf>
    <xf numFmtId="0" fontId="43" fillId="4" borderId="2" xfId="0" applyFont="1" applyFill="1" applyBorder="1" applyAlignment="1">
      <alignment horizontal="center"/>
    </xf>
    <xf numFmtId="165" fontId="43" fillId="4" borderId="2" xfId="0" applyNumberFormat="1" applyFont="1" applyFill="1" applyBorder="1" applyAlignment="1">
      <alignment horizontal="center"/>
    </xf>
    <xf numFmtId="0" fontId="43" fillId="7" borderId="2" xfId="0" applyFont="1" applyFill="1" applyBorder="1" applyAlignment="1">
      <alignment horizontal="center"/>
    </xf>
    <xf numFmtId="165" fontId="43" fillId="0" borderId="4" xfId="2" applyNumberFormat="1" applyFont="1" applyBorder="1" applyAlignment="1" applyProtection="1">
      <alignment horizontal="right"/>
    </xf>
    <xf numFmtId="165" fontId="43" fillId="2" borderId="4" xfId="2" applyNumberFormat="1" applyFont="1" applyFill="1" applyBorder="1" applyAlignment="1" applyProtection="1">
      <alignment horizontal="right"/>
    </xf>
    <xf numFmtId="49" fontId="33" fillId="5" borderId="3" xfId="0" applyNumberFormat="1" applyFont="1" applyFill="1" applyBorder="1" applyAlignment="1">
      <alignment horizontal="center"/>
    </xf>
    <xf numFmtId="14" fontId="29" fillId="5" borderId="3" xfId="0" applyNumberFormat="1" applyFont="1" applyFill="1" applyBorder="1" applyAlignment="1" applyProtection="1">
      <alignment horizontal="center"/>
      <protection locked="0"/>
    </xf>
    <xf numFmtId="0" fontId="29" fillId="0" borderId="3" xfId="0" applyFont="1" applyBorder="1" applyAlignment="1" applyProtection="1">
      <alignment horizontal="center"/>
      <protection locked="0"/>
    </xf>
    <xf numFmtId="0" fontId="4" fillId="0" borderId="3" xfId="0" applyFont="1" applyBorder="1"/>
    <xf numFmtId="49" fontId="33" fillId="5" borderId="0" xfId="0" applyNumberFormat="1" applyFont="1" applyFill="1" applyAlignment="1">
      <alignment horizontal="center"/>
    </xf>
    <xf numFmtId="14" fontId="29" fillId="5" borderId="0" xfId="0" applyNumberFormat="1" applyFont="1" applyFill="1" applyAlignment="1" applyProtection="1">
      <alignment horizontal="center"/>
      <protection locked="0"/>
    </xf>
    <xf numFmtId="14" fontId="33" fillId="0" borderId="0" xfId="0" applyNumberFormat="1" applyFont="1" applyAlignment="1" applyProtection="1">
      <alignment horizontal="center"/>
      <protection locked="0"/>
    </xf>
    <xf numFmtId="0" fontId="17" fillId="4" borderId="0" xfId="0" applyFont="1" applyFill="1" applyAlignment="1">
      <alignment horizontal="center"/>
    </xf>
    <xf numFmtId="14" fontId="33" fillId="0" borderId="4" xfId="0" applyNumberFormat="1" applyFont="1" applyBorder="1" applyAlignment="1" applyProtection="1">
      <alignment horizontal="left"/>
      <protection locked="0"/>
    </xf>
    <xf numFmtId="0" fontId="43" fillId="4" borderId="3" xfId="0" applyFont="1" applyFill="1" applyBorder="1" applyAlignment="1">
      <alignment horizontal="center"/>
    </xf>
    <xf numFmtId="0" fontId="43" fillId="4" borderId="1" xfId="0" applyFont="1" applyFill="1" applyBorder="1" applyAlignment="1">
      <alignment horizontal="center"/>
    </xf>
    <xf numFmtId="0" fontId="43" fillId="4" borderId="1" xfId="0" applyFont="1" applyFill="1" applyBorder="1" applyAlignment="1">
      <alignment horizontal="center" wrapText="1"/>
    </xf>
    <xf numFmtId="0" fontId="33" fillId="0" borderId="4" xfId="0" applyFont="1" applyBorder="1"/>
    <xf numFmtId="0" fontId="43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14" fontId="33" fillId="0" borderId="2" xfId="0" applyNumberFormat="1" applyFont="1" applyBorder="1" applyAlignment="1">
      <alignment horizontal="center"/>
    </xf>
    <xf numFmtId="0" fontId="33" fillId="0" borderId="16" xfId="0" applyFont="1" applyBorder="1" applyAlignment="1" applyProtection="1">
      <alignment horizontal="center"/>
      <protection locked="0"/>
    </xf>
    <xf numFmtId="49" fontId="33" fillId="5" borderId="3" xfId="0" applyNumberFormat="1" applyFont="1" applyFill="1" applyBorder="1" applyAlignment="1">
      <alignment wrapText="1"/>
    </xf>
    <xf numFmtId="0" fontId="29" fillId="5" borderId="3" xfId="0" applyFont="1" applyFill="1" applyBorder="1"/>
    <xf numFmtId="14" fontId="33" fillId="0" borderId="3" xfId="0" applyNumberFormat="1" applyFont="1" applyBorder="1" applyAlignment="1">
      <alignment horizontal="center"/>
    </xf>
    <xf numFmtId="2" fontId="29" fillId="0" borderId="0" xfId="0" applyNumberFormat="1" applyFont="1" applyAlignment="1" applyProtection="1">
      <alignment horizontal="left"/>
      <protection locked="0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165" fontId="44" fillId="0" borderId="0" xfId="2" applyNumberFormat="1" applyFont="1" applyFill="1" applyBorder="1" applyAlignment="1" applyProtection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44" fillId="0" borderId="0" xfId="0" applyFont="1" applyAlignment="1" applyProtection="1">
      <alignment horizontal="center" wrapText="1"/>
      <protection locked="0"/>
    </xf>
    <xf numFmtId="0" fontId="32" fillId="0" borderId="4" xfId="0" applyFont="1" applyBorder="1" applyAlignment="1">
      <alignment horizont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1" fillId="0" borderId="11" xfId="0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9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3" fillId="4" borderId="15" xfId="0" applyFont="1" applyFill="1" applyBorder="1" applyAlignment="1">
      <alignment horizontal="center"/>
    </xf>
    <xf numFmtId="0" fontId="43" fillId="4" borderId="16" xfId="0" applyFont="1" applyFill="1" applyBorder="1" applyAlignment="1">
      <alignment horizontal="center"/>
    </xf>
    <xf numFmtId="0" fontId="43" fillId="4" borderId="17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816429</xdr:colOff>
      <xdr:row>0</xdr:row>
      <xdr:rowOff>0</xdr:rowOff>
    </xdr:from>
    <xdr:to>
      <xdr:col>3</xdr:col>
      <xdr:colOff>1132114</xdr:colOff>
      <xdr:row>3</xdr:row>
      <xdr:rowOff>169921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315685</xdr:colOff>
      <xdr:row>24</xdr:row>
      <xdr:rowOff>387635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39F83D52-37F7-46B8-98D7-1290B2FAAED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321" y="1758042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20</xdr:row>
      <xdr:rowOff>70039</xdr:rowOff>
    </xdr:from>
    <xdr:to>
      <xdr:col>3</xdr:col>
      <xdr:colOff>1804066</xdr:colOff>
      <xdr:row>23</xdr:row>
      <xdr:rowOff>64268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64266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504264</xdr:colOff>
      <xdr:row>35</xdr:row>
      <xdr:rowOff>70036</xdr:rowOff>
    </xdr:from>
    <xdr:to>
      <xdr:col>3</xdr:col>
      <xdr:colOff>1649985</xdr:colOff>
      <xdr:row>37</xdr:row>
      <xdr:rowOff>330405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2242ECC0-A1C2-4D4A-BC57-EB26CD523C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6948" y="4286249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3</xdr:row>
      <xdr:rowOff>222082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721590</xdr:colOff>
      <xdr:row>16</xdr:row>
      <xdr:rowOff>28863</xdr:rowOff>
    </xdr:from>
    <xdr:to>
      <xdr:col>4</xdr:col>
      <xdr:colOff>149925</xdr:colOff>
      <xdr:row>19</xdr:row>
      <xdr:rowOff>125389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E143EDE1-4C8A-42E4-80CF-24C0C40159C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1857374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173182</xdr:colOff>
      <xdr:row>31</xdr:row>
      <xdr:rowOff>72159</xdr:rowOff>
    </xdr:from>
    <xdr:to>
      <xdr:col>4</xdr:col>
      <xdr:colOff>57727</xdr:colOff>
      <xdr:row>34</xdr:row>
      <xdr:rowOff>101022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5CCD1E87-0DBE-4438-91D7-21BFAD6FAA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37667045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262283</xdr:colOff>
      <xdr:row>29</xdr:row>
      <xdr:rowOff>124241</xdr:rowOff>
    </xdr:from>
    <xdr:to>
      <xdr:col>3</xdr:col>
      <xdr:colOff>1408004</xdr:colOff>
      <xdr:row>32</xdr:row>
      <xdr:rowOff>159274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21638105-0E35-40AA-9FEC-4F63E5FFC9C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39348" y="15060545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15</xdr:row>
      <xdr:rowOff>317501</xdr:rowOff>
    </xdr:from>
    <xdr:to>
      <xdr:col>3</xdr:col>
      <xdr:colOff>1435612</xdr:colOff>
      <xdr:row>18</xdr:row>
      <xdr:rowOff>186882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19</xdr:row>
      <xdr:rowOff>294410</xdr:rowOff>
    </xdr:from>
    <xdr:to>
      <xdr:col>3</xdr:col>
      <xdr:colOff>1905000</xdr:colOff>
      <xdr:row>22</xdr:row>
      <xdr:rowOff>155864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E1E5D2EC-3DBE-47E0-957A-BB6B2D2B55D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9656137"/>
          <a:ext cx="1593273" cy="1056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346363</xdr:colOff>
      <xdr:row>35</xdr:row>
      <xdr:rowOff>190500</xdr:rowOff>
    </xdr:from>
    <xdr:to>
      <xdr:col>3</xdr:col>
      <xdr:colOff>1492084</xdr:colOff>
      <xdr:row>38</xdr:row>
      <xdr:rowOff>34638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1462622-AC2E-47F6-866E-DA1096EE94F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8706136"/>
          <a:ext cx="1145721" cy="969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83587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topLeftCell="A16" workbookViewId="0">
      <selection activeCell="I3" sqref="I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7" t="s">
        <v>212</v>
      </c>
    </row>
    <row r="3" spans="1:9" x14ac:dyDescent="0.2">
      <c r="B3" s="8" t="s">
        <v>47</v>
      </c>
      <c r="C3" s="7"/>
      <c r="D3" s="7"/>
      <c r="E3" s="7"/>
      <c r="F3" s="7"/>
      <c r="G3" s="7"/>
      <c r="I3" s="116">
        <v>248.93</v>
      </c>
    </row>
    <row r="4" spans="1:9" x14ac:dyDescent="0.2">
      <c r="B4" s="19" t="s">
        <v>405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04" t="s">
        <v>10</v>
      </c>
      <c r="C7" s="404"/>
      <c r="D7" s="404"/>
      <c r="E7" s="7"/>
      <c r="F7" s="397" t="s">
        <v>48</v>
      </c>
      <c r="G7" s="398"/>
      <c r="I7" s="117" t="s">
        <v>213</v>
      </c>
    </row>
    <row r="8" spans="1:9" ht="14.25" customHeight="1" x14ac:dyDescent="0.2">
      <c r="B8" s="401" t="s">
        <v>9</v>
      </c>
      <c r="C8" s="401"/>
      <c r="D8" s="401"/>
      <c r="E8" s="7"/>
      <c r="F8" s="402" t="s">
        <v>49</v>
      </c>
      <c r="G8" s="403"/>
      <c r="I8" s="116">
        <v>103.74</v>
      </c>
    </row>
    <row r="9" spans="1:9" ht="8.25" customHeight="1" x14ac:dyDescent="0.2">
      <c r="B9" s="405"/>
      <c r="C9" s="405"/>
      <c r="D9" s="405"/>
      <c r="E9" s="7"/>
      <c r="F9" s="399"/>
      <c r="G9" s="400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390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9081.01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9081.01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9081.01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9081.01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9081.01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9081.01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9081.01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9081.01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9081.01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9081.01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403</v>
      </c>
      <c r="C28" s="7"/>
      <c r="D28" s="7"/>
    </row>
    <row r="29" spans="1:8" x14ac:dyDescent="0.2">
      <c r="B29" s="32" t="s">
        <v>404</v>
      </c>
      <c r="C29" s="7"/>
      <c r="D29" s="7"/>
    </row>
    <row r="30" spans="1:8" x14ac:dyDescent="0.2">
      <c r="B30" s="270" t="s">
        <v>439</v>
      </c>
      <c r="C30" s="269"/>
      <c r="D30" s="269"/>
      <c r="E30" s="269"/>
      <c r="F30" s="269"/>
      <c r="G30" s="269"/>
      <c r="H30" s="269"/>
    </row>
    <row r="32" spans="1:8" ht="17.25" customHeight="1" x14ac:dyDescent="0.2">
      <c r="B32" s="5" t="s">
        <v>45</v>
      </c>
      <c r="E32" s="7"/>
      <c r="F32" s="397" t="s">
        <v>53</v>
      </c>
      <c r="G32" s="398"/>
    </row>
    <row r="33" spans="2:7" x14ac:dyDescent="0.2">
      <c r="E33" s="7"/>
      <c r="F33" s="402" t="s">
        <v>54</v>
      </c>
      <c r="G33" s="403"/>
    </row>
    <row r="34" spans="2:7" ht="5.25" customHeight="1" x14ac:dyDescent="0.2">
      <c r="E34" s="7"/>
      <c r="F34" s="399"/>
      <c r="G34" s="400"/>
    </row>
    <row r="35" spans="2:7" x14ac:dyDescent="0.2">
      <c r="B35" s="404" t="s">
        <v>10</v>
      </c>
      <c r="C35" s="404"/>
      <c r="D35" s="404"/>
      <c r="E35" s="7"/>
      <c r="F35" s="9" t="s">
        <v>16</v>
      </c>
      <c r="G35" s="9" t="s">
        <v>17</v>
      </c>
    </row>
    <row r="36" spans="2:7" x14ac:dyDescent="0.2">
      <c r="B36" s="401" t="s">
        <v>9</v>
      </c>
      <c r="C36" s="401"/>
      <c r="D36" s="401"/>
      <c r="E36" s="7"/>
      <c r="F36" s="9"/>
      <c r="G36" s="9" t="s">
        <v>18</v>
      </c>
    </row>
    <row r="37" spans="2:7" x14ac:dyDescent="0.2">
      <c r="B37" s="405"/>
      <c r="C37" s="405"/>
      <c r="D37" s="405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195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4540.5050000000001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4540.5050000000001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4540.5050000000001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4540.5050000000001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4540.5050000000001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4540.5050000000001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4540.5050000000001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4540.5050000000001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4540.5050000000001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4540.5050000000001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31"/>
  <sheetViews>
    <sheetView topLeftCell="B1" zoomScale="73" zoomScaleNormal="73" workbookViewId="0">
      <selection activeCell="D9" sqref="D9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23.5703125" customWidth="1"/>
    <col min="6" max="6" width="34" customWidth="1"/>
    <col min="7" max="7" width="17.7109375" customWidth="1"/>
    <col min="8" max="8" width="18.85546875" customWidth="1"/>
    <col min="9" max="9" width="8.28515625" hidden="1" customWidth="1"/>
    <col min="10" max="10" width="0.28515625" hidden="1" customWidth="1"/>
    <col min="11" max="11" width="17.7109375" customWidth="1"/>
    <col min="12" max="12" width="13.5703125" customWidth="1"/>
    <col min="13" max="13" width="16.85546875" customWidth="1"/>
    <col min="14" max="14" width="11.42578125" hidden="1" customWidth="1"/>
    <col min="15" max="17" width="16" hidden="1" customWidth="1"/>
    <col min="18" max="22" width="11.42578125" hidden="1" customWidth="1"/>
    <col min="23" max="23" width="1.5703125" hidden="1" customWidth="1"/>
    <col min="24" max="24" width="9" customWidth="1"/>
    <col min="25" max="26" width="14.42578125" customWidth="1"/>
    <col min="27" max="27" width="14.5703125" bestFit="1" customWidth="1"/>
    <col min="28" max="28" width="16.85546875" customWidth="1"/>
    <col min="29" max="29" width="73.140625" customWidth="1"/>
  </cols>
  <sheetData>
    <row r="1" spans="1:29" ht="18" x14ac:dyDescent="0.25">
      <c r="A1" s="421" t="s">
        <v>78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1"/>
    </row>
    <row r="2" spans="1:29" ht="18" x14ac:dyDescent="0.25">
      <c r="A2" s="421" t="s">
        <v>64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X2" s="421"/>
      <c r="Y2" s="421"/>
      <c r="Z2" s="421"/>
      <c r="AA2" s="421"/>
      <c r="AB2" s="421"/>
      <c r="AC2" s="421"/>
    </row>
    <row r="3" spans="1:29" ht="19.5" x14ac:dyDescent="0.25">
      <c r="A3" s="410" t="str">
        <f>PRESIDENCIA!A3</f>
        <v>SUELDO  DEL 16 AL 30 DE NOVIEMBRE DE 2024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0"/>
      <c r="Z3" s="410"/>
      <c r="AA3" s="410"/>
      <c r="AB3" s="410"/>
      <c r="AC3" s="410"/>
    </row>
    <row r="4" spans="1:29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29" x14ac:dyDescent="0.2">
      <c r="A5" s="22"/>
      <c r="B5" s="451" t="s">
        <v>100</v>
      </c>
      <c r="C5" s="451" t="s">
        <v>122</v>
      </c>
      <c r="D5" s="22"/>
      <c r="E5" s="22"/>
      <c r="F5" s="22"/>
      <c r="G5" s="22"/>
      <c r="H5" s="22"/>
      <c r="I5" s="23" t="s">
        <v>22</v>
      </c>
      <c r="J5" s="23" t="s">
        <v>5</v>
      </c>
      <c r="K5" s="422" t="s">
        <v>1</v>
      </c>
      <c r="L5" s="423"/>
      <c r="M5" s="424"/>
      <c r="N5" s="24" t="s">
        <v>25</v>
      </c>
      <c r="O5" s="25"/>
      <c r="P5" s="425" t="s">
        <v>8</v>
      </c>
      <c r="Q5" s="426"/>
      <c r="R5" s="426"/>
      <c r="S5" s="426"/>
      <c r="T5" s="426"/>
      <c r="U5" s="427"/>
      <c r="V5" s="24" t="s">
        <v>29</v>
      </c>
      <c r="W5" s="24" t="s">
        <v>9</v>
      </c>
      <c r="X5" s="23" t="s">
        <v>52</v>
      </c>
      <c r="Y5" s="428" t="s">
        <v>2</v>
      </c>
      <c r="Z5" s="429"/>
      <c r="AA5" s="430"/>
      <c r="AB5" s="23" t="s">
        <v>0</v>
      </c>
      <c r="AC5" s="34"/>
    </row>
    <row r="6" spans="1:29" ht="12.75" customHeight="1" x14ac:dyDescent="0.2">
      <c r="A6" s="26" t="s">
        <v>20</v>
      </c>
      <c r="B6" s="452"/>
      <c r="C6" s="452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312</v>
      </c>
      <c r="Z6" s="23" t="s">
        <v>56</v>
      </c>
      <c r="AA6" s="23" t="s">
        <v>6</v>
      </c>
      <c r="AB6" s="26" t="s">
        <v>3</v>
      </c>
      <c r="AC6" s="36" t="s">
        <v>57</v>
      </c>
    </row>
    <row r="7" spans="1:29" x14ac:dyDescent="0.2">
      <c r="A7" s="29"/>
      <c r="B7" s="453"/>
      <c r="C7" s="453"/>
      <c r="D7" s="29"/>
      <c r="E7" s="29"/>
      <c r="F7" s="29"/>
      <c r="G7" s="29"/>
      <c r="H7" s="29"/>
      <c r="I7" s="29"/>
      <c r="J7" s="29"/>
      <c r="K7" s="29" t="s">
        <v>46</v>
      </c>
      <c r="L7" s="29" t="s">
        <v>59</v>
      </c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 t="s">
        <v>215</v>
      </c>
      <c r="AA7" s="29" t="s">
        <v>43</v>
      </c>
      <c r="AB7" s="29" t="s">
        <v>4</v>
      </c>
      <c r="AC7" s="35"/>
    </row>
    <row r="8" spans="1:29" ht="42" customHeight="1" x14ac:dyDescent="0.3">
      <c r="A8" s="134"/>
      <c r="B8" s="389"/>
      <c r="C8" s="366"/>
      <c r="D8" s="365" t="s">
        <v>663</v>
      </c>
      <c r="E8" s="366" t="s">
        <v>101</v>
      </c>
      <c r="F8" s="366" t="s">
        <v>247</v>
      </c>
      <c r="G8" s="365" t="s">
        <v>322</v>
      </c>
      <c r="H8" s="386" t="s">
        <v>61</v>
      </c>
      <c r="I8" s="386"/>
      <c r="J8" s="386"/>
      <c r="K8" s="386"/>
      <c r="L8" s="386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5"/>
      <c r="X8" s="134"/>
      <c r="Y8" s="134"/>
      <c r="Z8" s="134"/>
      <c r="AA8" s="134"/>
      <c r="AB8" s="134"/>
      <c r="AC8" s="41"/>
    </row>
    <row r="9" spans="1:29" s="95" customFormat="1" ht="127.5" customHeight="1" x14ac:dyDescent="0.3">
      <c r="A9" s="112" t="s">
        <v>86</v>
      </c>
      <c r="B9" s="282" t="s">
        <v>172</v>
      </c>
      <c r="C9" s="348" t="s">
        <v>121</v>
      </c>
      <c r="D9" s="203" t="s">
        <v>154</v>
      </c>
      <c r="E9" s="180" t="s">
        <v>166</v>
      </c>
      <c r="F9" s="180" t="s">
        <v>264</v>
      </c>
      <c r="G9" s="390">
        <v>43374</v>
      </c>
      <c r="H9" s="283" t="s">
        <v>123</v>
      </c>
      <c r="I9" s="311">
        <v>9</v>
      </c>
      <c r="J9" s="312"/>
      <c r="K9" s="313">
        <v>4509</v>
      </c>
      <c r="L9" s="314">
        <v>0</v>
      </c>
      <c r="M9" s="315">
        <f>SUM(K9:L9)</f>
        <v>4509</v>
      </c>
      <c r="N9" s="316">
        <f>IF(K9/15&lt;=SMG,0,L9/2)</f>
        <v>0</v>
      </c>
      <c r="O9" s="316">
        <f t="shared" ref="O9" si="0">K9+N9</f>
        <v>4509</v>
      </c>
      <c r="P9" s="316">
        <f t="shared" ref="P9:P11" si="1">VLOOKUP(O9,Tarifa1,1)</f>
        <v>3124.36</v>
      </c>
      <c r="Q9" s="316">
        <f t="shared" ref="Q9" si="2">O9-P9</f>
        <v>1384.6399999999999</v>
      </c>
      <c r="R9" s="317">
        <f t="shared" ref="R9:R11" si="3">VLOOKUP(O9,Tarifa1,3)</f>
        <v>0.10879999999999999</v>
      </c>
      <c r="S9" s="316">
        <f t="shared" ref="S9" si="4">Q9*R9</f>
        <v>150.64883199999997</v>
      </c>
      <c r="T9" s="318">
        <f t="shared" ref="T9:T11" si="5">VLOOKUP(O9,Tarifa1,2)</f>
        <v>183.45</v>
      </c>
      <c r="U9" s="316">
        <f t="shared" ref="U9" si="6">S9+T9</f>
        <v>334.09883199999996</v>
      </c>
      <c r="V9" s="316">
        <f t="shared" ref="V9:V11" si="7">VLOOKUP(O9,Credito1,2)</f>
        <v>195</v>
      </c>
      <c r="W9" s="316">
        <f t="shared" ref="W9" si="8">ROUND(U9-V9,2)</f>
        <v>139.1</v>
      </c>
      <c r="X9" s="315">
        <f>-IF(W9&gt;0,0,0)</f>
        <v>0</v>
      </c>
      <c r="Y9" s="315">
        <f t="shared" ref="Y9:Y11" si="9">IF(K9/15&lt;=SMG,0,IF(W9&lt;0,0,W9))</f>
        <v>139.1</v>
      </c>
      <c r="Z9" s="319">
        <v>0</v>
      </c>
      <c r="AA9" s="315">
        <f t="shared" ref="AA9:AA11" si="10">SUM(Y9:Z9)</f>
        <v>139.1</v>
      </c>
      <c r="AB9" s="315">
        <f>M9+X9-AA9</f>
        <v>4369.8999999999996</v>
      </c>
      <c r="AC9" s="94"/>
    </row>
    <row r="10" spans="1:29" s="95" customFormat="1" ht="127.5" customHeight="1" x14ac:dyDescent="0.3">
      <c r="A10" s="158"/>
      <c r="B10" s="369">
        <v>188</v>
      </c>
      <c r="C10" s="348" t="s">
        <v>121</v>
      </c>
      <c r="D10" s="252" t="s">
        <v>173</v>
      </c>
      <c r="E10" s="177" t="s">
        <v>175</v>
      </c>
      <c r="F10" s="177" t="s">
        <v>266</v>
      </c>
      <c r="G10" s="391">
        <v>43389</v>
      </c>
      <c r="H10" s="206" t="s">
        <v>246</v>
      </c>
      <c r="I10" s="311">
        <v>15</v>
      </c>
      <c r="J10" s="312"/>
      <c r="K10" s="313">
        <v>6440.5</v>
      </c>
      <c r="L10" s="314">
        <v>0</v>
      </c>
      <c r="M10" s="313">
        <f>K10</f>
        <v>6440.5</v>
      </c>
      <c r="N10" s="316">
        <f t="shared" ref="N10" si="11">IF(K10/15&lt;=SMG,0,L10/2)</f>
        <v>0</v>
      </c>
      <c r="O10" s="316">
        <f t="shared" ref="O10:O15" si="12">K10+N10</f>
        <v>6440.5</v>
      </c>
      <c r="P10" s="316">
        <f t="shared" si="1"/>
        <v>6382.81</v>
      </c>
      <c r="Q10" s="316">
        <f t="shared" ref="Q10:Q15" si="13">O10-P10</f>
        <v>57.6899999999996</v>
      </c>
      <c r="R10" s="317">
        <f t="shared" si="3"/>
        <v>0.1792</v>
      </c>
      <c r="S10" s="316">
        <f t="shared" ref="S10:S15" si="14">Q10*R10</f>
        <v>10.338047999999928</v>
      </c>
      <c r="T10" s="318">
        <f t="shared" si="5"/>
        <v>583.65</v>
      </c>
      <c r="U10" s="316">
        <f t="shared" ref="U10:U15" si="15">S10+T10</f>
        <v>593.98804799999994</v>
      </c>
      <c r="V10" s="316">
        <f t="shared" si="7"/>
        <v>0</v>
      </c>
      <c r="W10" s="316">
        <f t="shared" ref="W10:W15" si="16">ROUND(U10-V10,2)</f>
        <v>593.99</v>
      </c>
      <c r="X10" s="315">
        <f>-IF(W10&gt;0,0,0)</f>
        <v>0</v>
      </c>
      <c r="Y10" s="315">
        <f t="shared" si="9"/>
        <v>593.99</v>
      </c>
      <c r="Z10" s="319">
        <v>0</v>
      </c>
      <c r="AA10" s="315">
        <f t="shared" si="10"/>
        <v>593.99</v>
      </c>
      <c r="AB10" s="315">
        <f>M10+X10-AA10+L10</f>
        <v>5846.51</v>
      </c>
      <c r="AC10" s="94"/>
    </row>
    <row r="11" spans="1:29" s="95" customFormat="1" ht="127.5" customHeight="1" x14ac:dyDescent="0.3">
      <c r="A11" s="182"/>
      <c r="B11" s="330" t="s">
        <v>232</v>
      </c>
      <c r="C11" s="330" t="s">
        <v>121</v>
      </c>
      <c r="D11" s="204" t="s">
        <v>233</v>
      </c>
      <c r="E11" s="154" t="s">
        <v>234</v>
      </c>
      <c r="F11" s="154" t="s">
        <v>268</v>
      </c>
      <c r="G11" s="325">
        <v>43512</v>
      </c>
      <c r="H11" s="283" t="s">
        <v>123</v>
      </c>
      <c r="I11" s="311">
        <v>15</v>
      </c>
      <c r="J11" s="312"/>
      <c r="K11" s="313">
        <v>4509</v>
      </c>
      <c r="L11" s="314">
        <v>0</v>
      </c>
      <c r="M11" s="315">
        <f>SUM(K11:L11)</f>
        <v>4509</v>
      </c>
      <c r="N11" s="316">
        <f>IF(K11/15&lt;=SMG,0,L11/2)</f>
        <v>0</v>
      </c>
      <c r="O11" s="316">
        <f t="shared" si="12"/>
        <v>4509</v>
      </c>
      <c r="P11" s="316">
        <f t="shared" si="1"/>
        <v>3124.36</v>
      </c>
      <c r="Q11" s="316">
        <f t="shared" si="13"/>
        <v>1384.6399999999999</v>
      </c>
      <c r="R11" s="317">
        <f t="shared" si="3"/>
        <v>0.10879999999999999</v>
      </c>
      <c r="S11" s="316">
        <f t="shared" si="14"/>
        <v>150.64883199999997</v>
      </c>
      <c r="T11" s="318">
        <f t="shared" si="5"/>
        <v>183.45</v>
      </c>
      <c r="U11" s="316">
        <f t="shared" si="15"/>
        <v>334.09883199999996</v>
      </c>
      <c r="V11" s="316">
        <f t="shared" si="7"/>
        <v>195</v>
      </c>
      <c r="W11" s="316">
        <f t="shared" si="16"/>
        <v>139.1</v>
      </c>
      <c r="X11" s="315">
        <f>-IF(W11&gt;0,0,0)</f>
        <v>0</v>
      </c>
      <c r="Y11" s="315">
        <f t="shared" si="9"/>
        <v>139.1</v>
      </c>
      <c r="Z11" s="319">
        <v>0</v>
      </c>
      <c r="AA11" s="315">
        <f t="shared" si="10"/>
        <v>139.1</v>
      </c>
      <c r="AB11" s="315">
        <f>M11+X11-AA11</f>
        <v>4369.8999999999996</v>
      </c>
      <c r="AC11" s="94"/>
    </row>
    <row r="12" spans="1:29" s="95" customFormat="1" ht="127.5" customHeight="1" x14ac:dyDescent="0.3">
      <c r="A12" s="182"/>
      <c r="B12" s="369">
        <v>317</v>
      </c>
      <c r="C12" s="330" t="s">
        <v>121</v>
      </c>
      <c r="D12" s="205" t="s">
        <v>342</v>
      </c>
      <c r="E12" s="180" t="s">
        <v>343</v>
      </c>
      <c r="F12" s="180" t="s">
        <v>344</v>
      </c>
      <c r="G12" s="390">
        <v>45078</v>
      </c>
      <c r="H12" s="283" t="s">
        <v>123</v>
      </c>
      <c r="I12" s="311">
        <v>15</v>
      </c>
      <c r="J12" s="312"/>
      <c r="K12" s="313">
        <v>4509</v>
      </c>
      <c r="L12" s="314">
        <v>0</v>
      </c>
      <c r="M12" s="315">
        <f>SUM(K12:L12)</f>
        <v>4509</v>
      </c>
      <c r="N12" s="316">
        <f>IF(K12/15&lt;=SMG,0,L12/2)</f>
        <v>0</v>
      </c>
      <c r="O12" s="316">
        <f t="shared" si="12"/>
        <v>4509</v>
      </c>
      <c r="P12" s="316">
        <f t="shared" ref="P12:P15" si="17">VLOOKUP(O12,Tarifa1,1)</f>
        <v>3124.36</v>
      </c>
      <c r="Q12" s="316">
        <f t="shared" si="13"/>
        <v>1384.6399999999999</v>
      </c>
      <c r="R12" s="317">
        <f t="shared" ref="R12:R15" si="18">VLOOKUP(O12,Tarifa1,3)</f>
        <v>0.10879999999999999</v>
      </c>
      <c r="S12" s="316">
        <f t="shared" si="14"/>
        <v>150.64883199999997</v>
      </c>
      <c r="T12" s="318">
        <f t="shared" ref="T12:T15" si="19">VLOOKUP(O12,Tarifa1,2)</f>
        <v>183.45</v>
      </c>
      <c r="U12" s="316">
        <f t="shared" si="15"/>
        <v>334.09883199999996</v>
      </c>
      <c r="V12" s="316">
        <f t="shared" ref="V12:V15" si="20">VLOOKUP(O12,Credito1,2)</f>
        <v>195</v>
      </c>
      <c r="W12" s="316">
        <f t="shared" si="16"/>
        <v>139.1</v>
      </c>
      <c r="X12" s="315">
        <f t="shared" ref="X12" si="21">-IF(W12&gt;0,0,0)</f>
        <v>0</v>
      </c>
      <c r="Y12" s="315">
        <f t="shared" ref="Y12:Y15" si="22">IF(K12/15&lt;=SMG,0,IF(W12&lt;0,0,W12))</f>
        <v>139.1</v>
      </c>
      <c r="Z12" s="319">
        <v>0</v>
      </c>
      <c r="AA12" s="315">
        <f t="shared" ref="AA12:AA14" si="23">SUM(Y12:Z12)</f>
        <v>139.1</v>
      </c>
      <c r="AB12" s="315">
        <f>M12+X12-AA12</f>
        <v>4369.8999999999996</v>
      </c>
      <c r="AC12" s="94"/>
    </row>
    <row r="13" spans="1:29" s="95" customFormat="1" ht="127.5" customHeight="1" x14ac:dyDescent="0.3">
      <c r="A13" s="182"/>
      <c r="B13" s="369">
        <v>353</v>
      </c>
      <c r="C13" s="330" t="s">
        <v>121</v>
      </c>
      <c r="D13" s="205" t="s">
        <v>432</v>
      </c>
      <c r="E13" s="180" t="s">
        <v>433</v>
      </c>
      <c r="F13" s="180" t="s">
        <v>434</v>
      </c>
      <c r="G13" s="390">
        <v>45391</v>
      </c>
      <c r="H13" s="283" t="s">
        <v>123</v>
      </c>
      <c r="I13" s="311">
        <v>15</v>
      </c>
      <c r="J13" s="312"/>
      <c r="K13" s="313">
        <v>4509</v>
      </c>
      <c r="L13" s="314">
        <v>0</v>
      </c>
      <c r="M13" s="315">
        <f>SUM(K13:L13)</f>
        <v>4509</v>
      </c>
      <c r="N13" s="316">
        <f>IF(K13/15&lt;=SMG,0,L13/2)</f>
        <v>0</v>
      </c>
      <c r="O13" s="316">
        <f t="shared" si="12"/>
        <v>4509</v>
      </c>
      <c r="P13" s="316">
        <f t="shared" si="17"/>
        <v>3124.36</v>
      </c>
      <c r="Q13" s="316">
        <f t="shared" si="13"/>
        <v>1384.6399999999999</v>
      </c>
      <c r="R13" s="317">
        <f t="shared" si="18"/>
        <v>0.10879999999999999</v>
      </c>
      <c r="S13" s="316">
        <f t="shared" si="14"/>
        <v>150.64883199999997</v>
      </c>
      <c r="T13" s="318">
        <f t="shared" si="19"/>
        <v>183.45</v>
      </c>
      <c r="U13" s="316">
        <f t="shared" si="15"/>
        <v>334.09883199999996</v>
      </c>
      <c r="V13" s="316">
        <f t="shared" si="20"/>
        <v>195</v>
      </c>
      <c r="W13" s="316">
        <f t="shared" si="16"/>
        <v>139.1</v>
      </c>
      <c r="X13" s="315">
        <f t="shared" ref="X13:X15" si="24">-IF(W13&gt;0,0,0)</f>
        <v>0</v>
      </c>
      <c r="Y13" s="315">
        <f t="shared" si="22"/>
        <v>139.1</v>
      </c>
      <c r="Z13" s="319">
        <v>0</v>
      </c>
      <c r="AA13" s="315">
        <f t="shared" si="23"/>
        <v>139.1</v>
      </c>
      <c r="AB13" s="315">
        <f>M13+X13-AA13</f>
        <v>4369.8999999999996</v>
      </c>
      <c r="AC13" s="94"/>
    </row>
    <row r="14" spans="1:29" s="95" customFormat="1" ht="127.5" customHeight="1" x14ac:dyDescent="0.3">
      <c r="A14" s="182"/>
      <c r="B14" s="369">
        <v>398</v>
      </c>
      <c r="C14" s="330" t="s">
        <v>121</v>
      </c>
      <c r="D14" s="205" t="s">
        <v>639</v>
      </c>
      <c r="E14" s="180" t="s">
        <v>640</v>
      </c>
      <c r="F14" s="180" t="s">
        <v>641</v>
      </c>
      <c r="G14" s="390">
        <v>45597</v>
      </c>
      <c r="H14" s="283" t="s">
        <v>123</v>
      </c>
      <c r="I14" s="311">
        <v>15</v>
      </c>
      <c r="J14" s="312"/>
      <c r="K14" s="313">
        <v>4509</v>
      </c>
      <c r="L14" s="314">
        <v>0</v>
      </c>
      <c r="M14" s="315">
        <f>SUM(K14:L14)</f>
        <v>4509</v>
      </c>
      <c r="N14" s="316">
        <f>IF(K14/15&lt;=SMG,0,L14/2)</f>
        <v>0</v>
      </c>
      <c r="O14" s="316">
        <f t="shared" si="12"/>
        <v>4509</v>
      </c>
      <c r="P14" s="316">
        <f t="shared" si="17"/>
        <v>3124.36</v>
      </c>
      <c r="Q14" s="316">
        <f t="shared" si="13"/>
        <v>1384.6399999999999</v>
      </c>
      <c r="R14" s="317">
        <f t="shared" si="18"/>
        <v>0.10879999999999999</v>
      </c>
      <c r="S14" s="316">
        <f t="shared" si="14"/>
        <v>150.64883199999997</v>
      </c>
      <c r="T14" s="318">
        <f t="shared" si="19"/>
        <v>183.45</v>
      </c>
      <c r="U14" s="316">
        <f t="shared" si="15"/>
        <v>334.09883199999996</v>
      </c>
      <c r="V14" s="316">
        <f t="shared" si="20"/>
        <v>195</v>
      </c>
      <c r="W14" s="316">
        <f t="shared" si="16"/>
        <v>139.1</v>
      </c>
      <c r="X14" s="315">
        <f t="shared" si="24"/>
        <v>0</v>
      </c>
      <c r="Y14" s="315">
        <f t="shared" si="22"/>
        <v>139.1</v>
      </c>
      <c r="Z14" s="319">
        <v>0</v>
      </c>
      <c r="AA14" s="315">
        <f t="shared" si="23"/>
        <v>139.1</v>
      </c>
      <c r="AB14" s="315">
        <f>M14+X14-AA14</f>
        <v>4369.8999999999996</v>
      </c>
      <c r="AC14" s="94"/>
    </row>
    <row r="15" spans="1:29" s="95" customFormat="1" ht="127.5" customHeight="1" x14ac:dyDescent="0.3">
      <c r="A15" s="182"/>
      <c r="B15" s="282" t="s">
        <v>205</v>
      </c>
      <c r="C15" s="330" t="s">
        <v>121</v>
      </c>
      <c r="D15" s="206" t="s">
        <v>81</v>
      </c>
      <c r="E15" s="143" t="s">
        <v>110</v>
      </c>
      <c r="F15" s="143" t="s">
        <v>250</v>
      </c>
      <c r="G15" s="324">
        <v>41410</v>
      </c>
      <c r="H15" s="206" t="s">
        <v>194</v>
      </c>
      <c r="I15" s="311">
        <v>15</v>
      </c>
      <c r="J15" s="312">
        <f>K15/I15</f>
        <v>221.16666666666666</v>
      </c>
      <c r="K15" s="313">
        <v>3317.5</v>
      </c>
      <c r="L15" s="314">
        <v>0</v>
      </c>
      <c r="M15" s="315">
        <f>SUM(K15:L15)</f>
        <v>3317.5</v>
      </c>
      <c r="N15" s="316">
        <f>IF(K15/15&lt;=SMG,0,L15/2)</f>
        <v>0</v>
      </c>
      <c r="O15" s="316">
        <f t="shared" si="12"/>
        <v>3317.5</v>
      </c>
      <c r="P15" s="316">
        <f t="shared" si="17"/>
        <v>3124.36</v>
      </c>
      <c r="Q15" s="316">
        <f t="shared" si="13"/>
        <v>193.13999999999987</v>
      </c>
      <c r="R15" s="317">
        <f t="shared" si="18"/>
        <v>0.10879999999999999</v>
      </c>
      <c r="S15" s="316">
        <f t="shared" si="14"/>
        <v>21.013631999999983</v>
      </c>
      <c r="T15" s="318">
        <f t="shared" si="19"/>
        <v>183.45</v>
      </c>
      <c r="U15" s="316">
        <f t="shared" si="15"/>
        <v>204.46363199999996</v>
      </c>
      <c r="V15" s="316">
        <f t="shared" si="20"/>
        <v>195</v>
      </c>
      <c r="W15" s="316">
        <f t="shared" si="16"/>
        <v>9.4600000000000009</v>
      </c>
      <c r="X15" s="315">
        <f t="shared" si="24"/>
        <v>0</v>
      </c>
      <c r="Y15" s="315">
        <f t="shared" si="22"/>
        <v>0</v>
      </c>
      <c r="Z15" s="319">
        <v>0</v>
      </c>
      <c r="AA15" s="315">
        <f>SUM(Y15:Z15)</f>
        <v>0</v>
      </c>
      <c r="AB15" s="315">
        <f>M15+X15-AA15</f>
        <v>3317.5</v>
      </c>
      <c r="AC15" s="94"/>
    </row>
    <row r="16" spans="1:29" ht="18" x14ac:dyDescent="0.25">
      <c r="A16" s="167"/>
      <c r="B16" s="167"/>
      <c r="C16" s="167"/>
      <c r="D16" s="167"/>
      <c r="E16" s="167"/>
      <c r="F16" s="167"/>
      <c r="G16" s="167"/>
      <c r="H16" s="167"/>
      <c r="I16" s="168"/>
      <c r="J16" s="167"/>
      <c r="K16" s="169"/>
      <c r="L16" s="169"/>
      <c r="M16" s="169"/>
      <c r="N16" s="170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</row>
    <row r="17" spans="1:29" ht="45" customHeight="1" thickBot="1" x14ac:dyDescent="0.35">
      <c r="A17" s="406" t="s">
        <v>44</v>
      </c>
      <c r="B17" s="407"/>
      <c r="C17" s="407"/>
      <c r="D17" s="407"/>
      <c r="E17" s="407"/>
      <c r="F17" s="407"/>
      <c r="G17" s="407"/>
      <c r="H17" s="407"/>
      <c r="I17" s="407"/>
      <c r="J17" s="408"/>
      <c r="K17" s="322">
        <f t="shared" ref="K17:AB17" si="25">SUM(K9:K16)</f>
        <v>32303</v>
      </c>
      <c r="L17" s="322">
        <f t="shared" si="25"/>
        <v>0</v>
      </c>
      <c r="M17" s="322">
        <f t="shared" si="25"/>
        <v>32303</v>
      </c>
      <c r="N17" s="323">
        <f t="shared" si="25"/>
        <v>0</v>
      </c>
      <c r="O17" s="323">
        <f t="shared" si="25"/>
        <v>32303</v>
      </c>
      <c r="P17" s="323">
        <f t="shared" si="25"/>
        <v>25128.97</v>
      </c>
      <c r="Q17" s="323">
        <f t="shared" si="25"/>
        <v>7174.029999999997</v>
      </c>
      <c r="R17" s="323">
        <f t="shared" si="25"/>
        <v>0.83199999999999996</v>
      </c>
      <c r="S17" s="323">
        <f t="shared" si="25"/>
        <v>784.59583999999984</v>
      </c>
      <c r="T17" s="323">
        <f t="shared" si="25"/>
        <v>1684.3500000000001</v>
      </c>
      <c r="U17" s="323">
        <f t="shared" si="25"/>
        <v>2468.9458399999994</v>
      </c>
      <c r="V17" s="323">
        <f t="shared" si="25"/>
        <v>1170</v>
      </c>
      <c r="W17" s="323">
        <f t="shared" si="25"/>
        <v>1298.95</v>
      </c>
      <c r="X17" s="322">
        <f t="shared" si="25"/>
        <v>0</v>
      </c>
      <c r="Y17" s="322">
        <f t="shared" si="25"/>
        <v>1289.49</v>
      </c>
      <c r="Z17" s="322">
        <f t="shared" si="25"/>
        <v>0</v>
      </c>
      <c r="AA17" s="322">
        <f t="shared" si="25"/>
        <v>1289.49</v>
      </c>
      <c r="AB17" s="322">
        <f t="shared" si="25"/>
        <v>31013.510000000002</v>
      </c>
    </row>
    <row r="18" spans="1:29" ht="13.5" thickTop="1" x14ac:dyDescent="0.2"/>
    <row r="29" spans="1:29" x14ac:dyDescent="0.2">
      <c r="D29" s="4"/>
      <c r="Y29" s="4"/>
    </row>
    <row r="30" spans="1:29" ht="18" x14ac:dyDescent="0.25">
      <c r="D30" s="334" t="s">
        <v>598</v>
      </c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334" t="s">
        <v>160</v>
      </c>
      <c r="Z30" s="114"/>
      <c r="AA30" s="114"/>
      <c r="AB30" s="114"/>
    </row>
    <row r="31" spans="1:29" ht="18" x14ac:dyDescent="0.25">
      <c r="D31" s="334" t="s">
        <v>624</v>
      </c>
      <c r="E31" s="334"/>
      <c r="F31" s="334"/>
      <c r="G31" s="334"/>
      <c r="H31" s="334"/>
      <c r="I31" s="334"/>
      <c r="J31" s="334"/>
      <c r="K31" s="334"/>
      <c r="L31" s="33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334" t="s">
        <v>244</v>
      </c>
      <c r="Z31" s="114"/>
      <c r="AA31" s="334"/>
      <c r="AB31" s="334"/>
      <c r="AC31" s="43"/>
    </row>
  </sheetData>
  <mergeCells count="9">
    <mergeCell ref="Y5:AA5"/>
    <mergeCell ref="A17:J17"/>
    <mergeCell ref="A1:AC1"/>
    <mergeCell ref="A2:AC2"/>
    <mergeCell ref="A3:AC3"/>
    <mergeCell ref="K5:M5"/>
    <mergeCell ref="P5:U5"/>
    <mergeCell ref="B5:B7"/>
    <mergeCell ref="C5:C7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O71"/>
  <sheetViews>
    <sheetView topLeftCell="B30" zoomScale="68" zoomScaleNormal="68" workbookViewId="0">
      <selection activeCell="K33" sqref="K33"/>
    </sheetView>
  </sheetViews>
  <sheetFormatPr baseColWidth="10" defaultColWidth="11.42578125" defaultRowHeight="12.75" x14ac:dyDescent="0.2"/>
  <cols>
    <col min="1" max="1" width="5.5703125" style="68" hidden="1" customWidth="1"/>
    <col min="2" max="2" width="10.5703125" style="68" customWidth="1"/>
    <col min="3" max="3" width="9" style="68" customWidth="1"/>
    <col min="4" max="4" width="31.140625" style="68" customWidth="1"/>
    <col min="5" max="5" width="24.28515625" style="68" customWidth="1"/>
    <col min="6" max="6" width="32.85546875" style="68" customWidth="1"/>
    <col min="7" max="7" width="16.28515625" style="68" customWidth="1"/>
    <col min="8" max="8" width="22" style="68" customWidth="1"/>
    <col min="9" max="9" width="11.28515625" style="68" hidden="1" customWidth="1"/>
    <col min="10" max="10" width="17.5703125" style="68" customWidth="1"/>
    <col min="11" max="11" width="14" style="68" customWidth="1"/>
    <col min="12" max="12" width="18" style="68" customWidth="1"/>
    <col min="13" max="13" width="12.7109375" style="68" hidden="1" customWidth="1"/>
    <col min="14" max="14" width="13.140625" style="68" hidden="1" customWidth="1"/>
    <col min="15" max="15" width="14.42578125" style="68" hidden="1" customWidth="1"/>
    <col min="16" max="16" width="15" style="68" hidden="1" customWidth="1"/>
    <col min="17" max="17" width="11" style="68" hidden="1" customWidth="1"/>
    <col min="18" max="19" width="13.140625" style="68" hidden="1" customWidth="1"/>
    <col min="20" max="20" width="15.42578125" style="68" hidden="1" customWidth="1"/>
    <col min="21" max="21" width="10.42578125" style="68" hidden="1" customWidth="1"/>
    <col min="22" max="22" width="13.140625" style="68" hidden="1" customWidth="1"/>
    <col min="23" max="23" width="11.5703125" style="68" customWidth="1"/>
    <col min="24" max="24" width="15.5703125" style="68" customWidth="1"/>
    <col min="25" max="25" width="14.5703125" style="68" customWidth="1"/>
    <col min="26" max="26" width="15.85546875" style="68" customWidth="1"/>
    <col min="27" max="27" width="18" style="68" customWidth="1"/>
    <col min="28" max="28" width="111.85546875" style="68" customWidth="1"/>
    <col min="29" max="29" width="73.42578125" style="68" customWidth="1"/>
    <col min="30" max="16384" width="11.42578125" style="68"/>
  </cols>
  <sheetData>
    <row r="1" spans="1:30" ht="18" x14ac:dyDescent="0.25">
      <c r="A1" s="421" t="s">
        <v>77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"/>
    </row>
    <row r="2" spans="1:30" ht="18" x14ac:dyDescent="0.25">
      <c r="A2" s="421" t="s">
        <v>64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X2" s="421"/>
      <c r="Y2" s="421"/>
      <c r="Z2" s="421"/>
      <c r="AA2" s="421"/>
      <c r="AB2" s="421"/>
      <c r="AC2" s="4"/>
    </row>
    <row r="3" spans="1:30" ht="19.5" customHeight="1" x14ac:dyDescent="0.25">
      <c r="A3" s="42" t="s">
        <v>201</v>
      </c>
      <c r="B3" s="454" t="s">
        <v>662</v>
      </c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454"/>
      <c r="T3" s="454"/>
      <c r="U3" s="454"/>
      <c r="V3" s="454"/>
      <c r="W3" s="454"/>
      <c r="X3" s="454"/>
      <c r="Y3" s="454"/>
      <c r="Z3" s="454"/>
      <c r="AA3" s="454"/>
      <c r="AB3" s="454"/>
      <c r="AC3" s="276"/>
      <c r="AD3" s="276"/>
    </row>
    <row r="4" spans="1:30" ht="11.2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422" t="s">
        <v>1</v>
      </c>
      <c r="K5" s="423"/>
      <c r="L5" s="424"/>
      <c r="M5" s="24" t="s">
        <v>25</v>
      </c>
      <c r="N5" s="25"/>
      <c r="O5" s="425" t="s">
        <v>8</v>
      </c>
      <c r="P5" s="426"/>
      <c r="Q5" s="426"/>
      <c r="R5" s="426"/>
      <c r="S5" s="426"/>
      <c r="T5" s="427"/>
      <c r="U5" s="24" t="s">
        <v>29</v>
      </c>
      <c r="V5" s="24" t="s">
        <v>9</v>
      </c>
      <c r="W5" s="23" t="s">
        <v>52</v>
      </c>
      <c r="X5" s="428" t="s">
        <v>2</v>
      </c>
      <c r="Y5" s="429"/>
      <c r="Z5" s="430"/>
      <c r="AA5" s="23" t="s">
        <v>0</v>
      </c>
      <c r="AB5" s="106"/>
      <c r="AC5" s="4"/>
    </row>
    <row r="6" spans="1:30" ht="32.25" customHeight="1" x14ac:dyDescent="0.2">
      <c r="A6" s="26" t="s">
        <v>20</v>
      </c>
      <c r="B6" s="46" t="s">
        <v>100</v>
      </c>
      <c r="C6" s="46" t="s">
        <v>122</v>
      </c>
      <c r="D6" s="26" t="s">
        <v>21</v>
      </c>
      <c r="E6" s="26"/>
      <c r="F6" s="26"/>
      <c r="G6" s="26"/>
      <c r="H6" s="26"/>
      <c r="I6" s="27" t="s">
        <v>23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312</v>
      </c>
      <c r="Y6" s="23" t="s">
        <v>56</v>
      </c>
      <c r="Z6" s="23" t="s">
        <v>6</v>
      </c>
      <c r="AA6" s="26" t="s">
        <v>3</v>
      </c>
      <c r="AB6" s="36" t="s">
        <v>57</v>
      </c>
      <c r="AC6" s="4"/>
    </row>
    <row r="7" spans="1:30" x14ac:dyDescent="0.2">
      <c r="A7" s="29"/>
      <c r="B7" s="26"/>
      <c r="C7" s="26"/>
      <c r="D7" s="26"/>
      <c r="E7" s="26"/>
      <c r="F7" s="26"/>
      <c r="G7" s="26"/>
      <c r="H7" s="26"/>
      <c r="I7" s="26"/>
      <c r="J7" s="26" t="s">
        <v>46</v>
      </c>
      <c r="K7" s="26" t="s">
        <v>59</v>
      </c>
      <c r="L7" s="26" t="s">
        <v>28</v>
      </c>
      <c r="M7" s="28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133</v>
      </c>
      <c r="W7" s="26" t="s">
        <v>51</v>
      </c>
      <c r="X7" s="26"/>
      <c r="Y7" s="26"/>
      <c r="Z7" s="26" t="s">
        <v>43</v>
      </c>
      <c r="AA7" s="26" t="s">
        <v>4</v>
      </c>
      <c r="AB7" s="107"/>
      <c r="AC7" s="4"/>
    </row>
    <row r="8" spans="1:30" ht="42" customHeight="1" x14ac:dyDescent="0.3">
      <c r="A8" s="39"/>
      <c r="B8" s="458" t="s">
        <v>120</v>
      </c>
      <c r="C8" s="459"/>
      <c r="D8" s="460"/>
      <c r="E8" s="366" t="s">
        <v>101</v>
      </c>
      <c r="F8" s="366" t="s">
        <v>247</v>
      </c>
      <c r="G8" s="365" t="s">
        <v>322</v>
      </c>
      <c r="H8" s="366" t="s">
        <v>61</v>
      </c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1"/>
      <c r="AC8" s="4"/>
    </row>
    <row r="9" spans="1:30" ht="167.25" customHeight="1" x14ac:dyDescent="0.3">
      <c r="A9" s="112" t="s">
        <v>84</v>
      </c>
      <c r="B9" s="330" t="s">
        <v>415</v>
      </c>
      <c r="C9" s="330" t="s">
        <v>121</v>
      </c>
      <c r="D9" s="254" t="s">
        <v>416</v>
      </c>
      <c r="E9" s="184" t="s">
        <v>417</v>
      </c>
      <c r="F9" s="184" t="s">
        <v>418</v>
      </c>
      <c r="G9" s="364">
        <v>45367</v>
      </c>
      <c r="H9" s="283" t="s">
        <v>66</v>
      </c>
      <c r="I9" s="311">
        <v>15</v>
      </c>
      <c r="J9" s="313">
        <v>10602</v>
      </c>
      <c r="K9" s="314">
        <v>0</v>
      </c>
      <c r="L9" s="315">
        <f t="shared" ref="L9" si="0">SUM(J9:K9)</f>
        <v>10602</v>
      </c>
      <c r="M9" s="316">
        <f t="shared" ref="M9" si="1">IF(J9/15&lt;=SMG,0,K9/2)</f>
        <v>0</v>
      </c>
      <c r="N9" s="316">
        <f t="shared" ref="N9" si="2">J9+M9</f>
        <v>10602</v>
      </c>
      <c r="O9" s="316">
        <f t="shared" ref="O9" si="3">VLOOKUP(N9,Tarifa1,1)</f>
        <v>7641.91</v>
      </c>
      <c r="P9" s="316">
        <f>N9-O9</f>
        <v>2960.09</v>
      </c>
      <c r="Q9" s="317">
        <f t="shared" ref="Q9" si="4">VLOOKUP(N9,Tarifa1,3)</f>
        <v>0.21360000000000001</v>
      </c>
      <c r="R9" s="316">
        <f>P9*Q9</f>
        <v>632.27522400000009</v>
      </c>
      <c r="S9" s="318">
        <f t="shared" ref="S9" si="5">VLOOKUP(N9,Tarifa1,2)</f>
        <v>809.25</v>
      </c>
      <c r="T9" s="316">
        <f>R9+S9</f>
        <v>1441.525224</v>
      </c>
      <c r="U9" s="316">
        <f t="shared" ref="U9" si="6">VLOOKUP(N9,Credito1,2)</f>
        <v>0</v>
      </c>
      <c r="V9" s="316">
        <f>ROUND(T9-U9,2)</f>
        <v>1441.53</v>
      </c>
      <c r="W9" s="315">
        <f>-IF(V9&gt;0,0,0)</f>
        <v>0</v>
      </c>
      <c r="X9" s="315">
        <f t="shared" ref="X9" si="7">IF(J9/15&lt;=SMG,0,IF(V9&lt;0,0,V9))</f>
        <v>1441.53</v>
      </c>
      <c r="Y9" s="319">
        <v>0</v>
      </c>
      <c r="Z9" s="315">
        <f t="shared" ref="Z9" si="8">SUM(X9:Y9)</f>
        <v>1441.53</v>
      </c>
      <c r="AA9" s="315">
        <f>L9+W9-X9</f>
        <v>9160.4699999999993</v>
      </c>
      <c r="AB9" s="90"/>
      <c r="AC9" s="4"/>
    </row>
    <row r="10" spans="1:30" s="95" customFormat="1" ht="167.25" customHeight="1" x14ac:dyDescent="0.3">
      <c r="A10" s="182"/>
      <c r="B10" s="330" t="s">
        <v>190</v>
      </c>
      <c r="C10" s="330" t="s">
        <v>121</v>
      </c>
      <c r="D10" s="254" t="s">
        <v>188</v>
      </c>
      <c r="E10" s="184" t="s">
        <v>189</v>
      </c>
      <c r="F10" s="184" t="s">
        <v>271</v>
      </c>
      <c r="G10" s="364">
        <v>43601</v>
      </c>
      <c r="H10" s="206" t="s">
        <v>79</v>
      </c>
      <c r="I10" s="311">
        <v>15</v>
      </c>
      <c r="J10" s="313">
        <v>8661.5</v>
      </c>
      <c r="K10" s="314">
        <v>0</v>
      </c>
      <c r="L10" s="315">
        <f t="shared" ref="L10:L12" si="9">SUM(J10:K10)</f>
        <v>8661.5</v>
      </c>
      <c r="M10" s="316">
        <f t="shared" ref="M10:M12" si="10">IF(J10/15&lt;=SMG,0,K10/2)</f>
        <v>0</v>
      </c>
      <c r="N10" s="316">
        <f t="shared" ref="N10:N12" si="11">J10+M10</f>
        <v>8661.5</v>
      </c>
      <c r="O10" s="316">
        <f t="shared" ref="O10" si="12">VLOOKUP(N10,Tarifa1,1)</f>
        <v>7641.91</v>
      </c>
      <c r="P10" s="316">
        <f t="shared" ref="P10" si="13">N10-O10</f>
        <v>1019.5900000000001</v>
      </c>
      <c r="Q10" s="317">
        <f t="shared" ref="Q10" si="14">VLOOKUP(N10,Tarifa1,3)</f>
        <v>0.21360000000000001</v>
      </c>
      <c r="R10" s="316">
        <f t="shared" ref="R10" si="15">P10*Q10</f>
        <v>217.78442400000003</v>
      </c>
      <c r="S10" s="318">
        <f t="shared" ref="S10" si="16">VLOOKUP(N10,Tarifa1,2)</f>
        <v>809.25</v>
      </c>
      <c r="T10" s="316">
        <f t="shared" ref="T10" si="17">R10+S10</f>
        <v>1027.0344239999999</v>
      </c>
      <c r="U10" s="316">
        <f t="shared" ref="U10" si="18">VLOOKUP(N10,Credito1,2)</f>
        <v>0</v>
      </c>
      <c r="V10" s="316">
        <f t="shared" ref="V10" si="19">ROUND(T10-U10,2)</f>
        <v>1027.03</v>
      </c>
      <c r="W10" s="315">
        <f t="shared" ref="W10:W12" si="20">-IF(V10&gt;0,0,0)</f>
        <v>0</v>
      </c>
      <c r="X10" s="315">
        <f t="shared" ref="X10" si="21">IF(J10/15&lt;=SMG,0,IF(V10&lt;0,0,V10))</f>
        <v>1027.03</v>
      </c>
      <c r="Y10" s="319">
        <v>0</v>
      </c>
      <c r="Z10" s="315">
        <f t="shared" ref="Z10:Z12" si="22">SUM(X10:Y10)</f>
        <v>1027.03</v>
      </c>
      <c r="AA10" s="315">
        <f t="shared" ref="AA10:AA12" si="23">L10+W10-Z10</f>
        <v>7634.47</v>
      </c>
      <c r="AB10" s="90"/>
      <c r="AC10" s="4"/>
    </row>
    <row r="11" spans="1:30" s="95" customFormat="1" ht="167.25" customHeight="1" x14ac:dyDescent="0.3">
      <c r="A11" s="182"/>
      <c r="B11" s="330" t="s">
        <v>423</v>
      </c>
      <c r="C11" s="330" t="s">
        <v>121</v>
      </c>
      <c r="D11" s="255" t="s">
        <v>621</v>
      </c>
      <c r="E11" s="184" t="s">
        <v>424</v>
      </c>
      <c r="F11" s="113" t="s">
        <v>425</v>
      </c>
      <c r="G11" s="329">
        <v>45367</v>
      </c>
      <c r="H11" s="206" t="s">
        <v>79</v>
      </c>
      <c r="I11" s="311">
        <v>15</v>
      </c>
      <c r="J11" s="313">
        <v>8661.5</v>
      </c>
      <c r="K11" s="314">
        <v>0</v>
      </c>
      <c r="L11" s="315">
        <f t="shared" ref="L11" si="24">SUM(J11:K11)</f>
        <v>8661.5</v>
      </c>
      <c r="M11" s="316">
        <f t="shared" ref="M11" si="25">IF(J11/15&lt;=SMG,0,K11/2)</f>
        <v>0</v>
      </c>
      <c r="N11" s="316">
        <f t="shared" ref="N11" si="26">J11+M11</f>
        <v>8661.5</v>
      </c>
      <c r="O11" s="316">
        <f t="shared" ref="O11" si="27">VLOOKUP(N11,Tarifa1,1)</f>
        <v>7641.91</v>
      </c>
      <c r="P11" s="316">
        <f t="shared" ref="P11" si="28">N11-O11</f>
        <v>1019.5900000000001</v>
      </c>
      <c r="Q11" s="317">
        <f t="shared" ref="Q11" si="29">VLOOKUP(N11,Tarifa1,3)</f>
        <v>0.21360000000000001</v>
      </c>
      <c r="R11" s="316">
        <f t="shared" ref="R11" si="30">P11*Q11</f>
        <v>217.78442400000003</v>
      </c>
      <c r="S11" s="318">
        <f t="shared" ref="S11" si="31">VLOOKUP(N11,Tarifa1,2)</f>
        <v>809.25</v>
      </c>
      <c r="T11" s="316">
        <f t="shared" ref="T11" si="32">R11+S11</f>
        <v>1027.0344239999999</v>
      </c>
      <c r="U11" s="316">
        <f t="shared" ref="U11" si="33">VLOOKUP(N11,Credito1,2)</f>
        <v>0</v>
      </c>
      <c r="V11" s="316">
        <f t="shared" ref="V11" si="34">ROUND(T11-U11,2)</f>
        <v>1027.03</v>
      </c>
      <c r="W11" s="315">
        <f t="shared" ref="W11" si="35">-IF(V11&gt;0,0,0)</f>
        <v>0</v>
      </c>
      <c r="X11" s="315">
        <f t="shared" ref="X11" si="36">IF(J11/15&lt;=SMG,0,IF(V11&lt;0,0,V11))</f>
        <v>1027.03</v>
      </c>
      <c r="Y11" s="319">
        <v>0</v>
      </c>
      <c r="Z11" s="315">
        <f t="shared" ref="Z11" si="37">SUM(X11:Y11)</f>
        <v>1027.03</v>
      </c>
      <c r="AA11" s="315">
        <f t="shared" ref="AA11" si="38">L11+W11-Z11</f>
        <v>7634.47</v>
      </c>
      <c r="AB11" s="90"/>
      <c r="AC11" s="4"/>
    </row>
    <row r="12" spans="1:30" s="95" customFormat="1" ht="167.25" customHeight="1" x14ac:dyDescent="0.3">
      <c r="A12" s="182"/>
      <c r="B12" s="330" t="s">
        <v>419</v>
      </c>
      <c r="C12" s="330" t="s">
        <v>121</v>
      </c>
      <c r="D12" s="255" t="s">
        <v>420</v>
      </c>
      <c r="E12" s="184" t="s">
        <v>421</v>
      </c>
      <c r="F12" s="184" t="s">
        <v>422</v>
      </c>
      <c r="G12" s="364">
        <v>45367</v>
      </c>
      <c r="H12" s="206" t="s">
        <v>286</v>
      </c>
      <c r="I12" s="311">
        <v>15</v>
      </c>
      <c r="J12" s="313">
        <v>8256.5</v>
      </c>
      <c r="K12" s="314">
        <v>0</v>
      </c>
      <c r="L12" s="315">
        <f t="shared" si="9"/>
        <v>8256.5</v>
      </c>
      <c r="M12" s="316">
        <f t="shared" si="10"/>
        <v>0</v>
      </c>
      <c r="N12" s="316">
        <f t="shared" si="11"/>
        <v>8256.5</v>
      </c>
      <c r="O12" s="316">
        <f t="shared" ref="O12" si="39">VLOOKUP(N12,Tarifa1,1)</f>
        <v>7641.91</v>
      </c>
      <c r="P12" s="316">
        <f t="shared" ref="P12" si="40">N12-O12</f>
        <v>614.59000000000015</v>
      </c>
      <c r="Q12" s="317">
        <f t="shared" ref="Q12" si="41">VLOOKUP(N12,Tarifa1,3)</f>
        <v>0.21360000000000001</v>
      </c>
      <c r="R12" s="316">
        <f t="shared" ref="R12" si="42">P12*Q12</f>
        <v>131.27642400000005</v>
      </c>
      <c r="S12" s="318">
        <f t="shared" ref="S12" si="43">VLOOKUP(N12,Tarifa1,2)</f>
        <v>809.25</v>
      </c>
      <c r="T12" s="316">
        <f t="shared" ref="T12" si="44">R12+S12</f>
        <v>940.52642400000002</v>
      </c>
      <c r="U12" s="316">
        <f t="shared" ref="U12" si="45">VLOOKUP(N12,Credito1,2)</f>
        <v>0</v>
      </c>
      <c r="V12" s="316">
        <f t="shared" ref="V12" si="46">ROUND(T12-U12,2)</f>
        <v>940.53</v>
      </c>
      <c r="W12" s="315">
        <f t="shared" si="20"/>
        <v>0</v>
      </c>
      <c r="X12" s="315">
        <f t="shared" ref="X12" si="47">IF(J12/15&lt;=SMG,0,IF(V12&lt;0,0,V12))</f>
        <v>940.53</v>
      </c>
      <c r="Y12" s="319">
        <v>0</v>
      </c>
      <c r="Z12" s="315">
        <f t="shared" si="22"/>
        <v>940.53</v>
      </c>
      <c r="AA12" s="315">
        <f t="shared" si="23"/>
        <v>7315.97</v>
      </c>
      <c r="AB12" s="90"/>
      <c r="AC12" s="4"/>
    </row>
    <row r="13" spans="1:30" s="95" customFormat="1" ht="167.25" customHeight="1" x14ac:dyDescent="0.3">
      <c r="A13" s="182"/>
      <c r="B13" s="330" t="s">
        <v>411</v>
      </c>
      <c r="C13" s="330" t="s">
        <v>121</v>
      </c>
      <c r="D13" s="255" t="s">
        <v>412</v>
      </c>
      <c r="E13" s="184" t="s">
        <v>413</v>
      </c>
      <c r="F13" s="113" t="s">
        <v>414</v>
      </c>
      <c r="G13" s="329">
        <v>45352</v>
      </c>
      <c r="H13" s="206" t="s">
        <v>286</v>
      </c>
      <c r="I13" s="311">
        <v>15</v>
      </c>
      <c r="J13" s="313">
        <v>8256.5</v>
      </c>
      <c r="K13" s="314">
        <v>0</v>
      </c>
      <c r="L13" s="315">
        <f t="shared" ref="L13" si="48">SUM(J13:K13)</f>
        <v>8256.5</v>
      </c>
      <c r="M13" s="316">
        <f t="shared" ref="M13:M14" si="49">IF(J13/15&lt;=SMG,0,K13/2)</f>
        <v>0</v>
      </c>
      <c r="N13" s="316">
        <f t="shared" ref="N13:N14" si="50">J13+M13</f>
        <v>8256.5</v>
      </c>
      <c r="O13" s="316">
        <f t="shared" ref="O13:O14" si="51">VLOOKUP(N13,Tarifa1,1)</f>
        <v>7641.91</v>
      </c>
      <c r="P13" s="316">
        <f t="shared" ref="P13:P14" si="52">N13-O13</f>
        <v>614.59000000000015</v>
      </c>
      <c r="Q13" s="317">
        <f t="shared" ref="Q13:Q14" si="53">VLOOKUP(N13,Tarifa1,3)</f>
        <v>0.21360000000000001</v>
      </c>
      <c r="R13" s="316">
        <f t="shared" ref="R13:R14" si="54">P13*Q13</f>
        <v>131.27642400000005</v>
      </c>
      <c r="S13" s="318">
        <f t="shared" ref="S13:S14" si="55">VLOOKUP(N13,Tarifa1,2)</f>
        <v>809.25</v>
      </c>
      <c r="T13" s="316">
        <f t="shared" ref="T13:T14" si="56">R13+S13</f>
        <v>940.52642400000002</v>
      </c>
      <c r="U13" s="316">
        <f t="shared" ref="U13:U14" si="57">VLOOKUP(N13,Credito1,2)</f>
        <v>0</v>
      </c>
      <c r="V13" s="316">
        <f t="shared" ref="V13:V14" si="58">ROUND(T13-U13,2)</f>
        <v>940.53</v>
      </c>
      <c r="W13" s="315">
        <f t="shared" ref="W13:W14" si="59">-IF(V13&gt;0,0,0)</f>
        <v>0</v>
      </c>
      <c r="X13" s="315">
        <f t="shared" ref="X13:X14" si="60">IF(J13/15&lt;=SMG,0,IF(V13&lt;0,0,V13))</f>
        <v>940.53</v>
      </c>
      <c r="Y13" s="319">
        <v>0</v>
      </c>
      <c r="Z13" s="315">
        <f t="shared" ref="Z13:Z14" si="61">SUM(X13:Y13)</f>
        <v>940.53</v>
      </c>
      <c r="AA13" s="315">
        <f t="shared" ref="AA13:AA14" si="62">L13+W13-Z13</f>
        <v>7315.97</v>
      </c>
      <c r="AB13" s="90"/>
      <c r="AC13" s="4"/>
    </row>
    <row r="14" spans="1:30" s="95" customFormat="1" ht="167.25" customHeight="1" x14ac:dyDescent="0.3">
      <c r="A14" s="182"/>
      <c r="B14" s="330" t="s">
        <v>429</v>
      </c>
      <c r="C14" s="330" t="s">
        <v>121</v>
      </c>
      <c r="D14" s="255" t="s">
        <v>620</v>
      </c>
      <c r="E14" s="184" t="s">
        <v>430</v>
      </c>
      <c r="F14" s="113" t="s">
        <v>431</v>
      </c>
      <c r="G14" s="329">
        <v>45367</v>
      </c>
      <c r="H14" s="206" t="s">
        <v>286</v>
      </c>
      <c r="I14" s="311"/>
      <c r="J14" s="313">
        <v>8256.5</v>
      </c>
      <c r="K14" s="314">
        <v>0</v>
      </c>
      <c r="L14" s="315">
        <f t="shared" ref="L14" si="63">SUM(J14:K14)</f>
        <v>8256.5</v>
      </c>
      <c r="M14" s="316">
        <f t="shared" si="49"/>
        <v>0</v>
      </c>
      <c r="N14" s="316">
        <f t="shared" si="50"/>
        <v>8256.5</v>
      </c>
      <c r="O14" s="316">
        <f t="shared" si="51"/>
        <v>7641.91</v>
      </c>
      <c r="P14" s="316">
        <f t="shared" si="52"/>
        <v>614.59000000000015</v>
      </c>
      <c r="Q14" s="317">
        <f t="shared" si="53"/>
        <v>0.21360000000000001</v>
      </c>
      <c r="R14" s="316">
        <f t="shared" si="54"/>
        <v>131.27642400000005</v>
      </c>
      <c r="S14" s="318">
        <f t="shared" si="55"/>
        <v>809.25</v>
      </c>
      <c r="T14" s="316">
        <f t="shared" si="56"/>
        <v>940.52642400000002</v>
      </c>
      <c r="U14" s="316">
        <f t="shared" si="57"/>
        <v>0</v>
      </c>
      <c r="V14" s="316">
        <f t="shared" si="58"/>
        <v>940.53</v>
      </c>
      <c r="W14" s="315">
        <f t="shared" si="59"/>
        <v>0</v>
      </c>
      <c r="X14" s="315">
        <f t="shared" si="60"/>
        <v>940.53</v>
      </c>
      <c r="Y14" s="319">
        <v>0</v>
      </c>
      <c r="Z14" s="315">
        <f t="shared" si="61"/>
        <v>940.53</v>
      </c>
      <c r="AA14" s="315">
        <f t="shared" si="62"/>
        <v>7315.97</v>
      </c>
      <c r="AB14" s="90"/>
      <c r="AC14" s="4"/>
    </row>
    <row r="15" spans="1:30" s="95" customFormat="1" ht="167.25" customHeight="1" x14ac:dyDescent="0.3">
      <c r="A15" s="182"/>
      <c r="B15" s="330" t="s">
        <v>106</v>
      </c>
      <c r="C15" s="330" t="s">
        <v>121</v>
      </c>
      <c r="D15" s="254" t="s">
        <v>83</v>
      </c>
      <c r="E15" s="113" t="s">
        <v>119</v>
      </c>
      <c r="F15" s="113" t="s">
        <v>252</v>
      </c>
      <c r="G15" s="329">
        <v>41898</v>
      </c>
      <c r="H15" s="206" t="s">
        <v>80</v>
      </c>
      <c r="I15" s="311">
        <v>15</v>
      </c>
      <c r="J15" s="313">
        <v>7851.5</v>
      </c>
      <c r="K15" s="314">
        <v>0</v>
      </c>
      <c r="L15" s="315">
        <f t="shared" ref="L15:L17" si="64">SUM(J15:K15)</f>
        <v>7851.5</v>
      </c>
      <c r="M15" s="316">
        <f t="shared" ref="M15:M17" si="65">IF(J15/15&lt;=SMG,0,K15/2)</f>
        <v>0</v>
      </c>
      <c r="N15" s="316">
        <f t="shared" ref="N15:N17" si="66">J15+M15</f>
        <v>7851.5</v>
      </c>
      <c r="O15" s="316">
        <f t="shared" ref="O15:O17" si="67">VLOOKUP(N15,Tarifa1,1)</f>
        <v>7641.91</v>
      </c>
      <c r="P15" s="316">
        <f t="shared" ref="P15:P17" si="68">N15-O15</f>
        <v>209.59000000000015</v>
      </c>
      <c r="Q15" s="317">
        <f t="shared" ref="Q15:Q17" si="69">VLOOKUP(N15,Tarifa1,3)</f>
        <v>0.21360000000000001</v>
      </c>
      <c r="R15" s="316">
        <f t="shared" ref="R15:R17" si="70">P15*Q15</f>
        <v>44.768424000000032</v>
      </c>
      <c r="S15" s="318">
        <f t="shared" ref="S15:S17" si="71">VLOOKUP(N15,Tarifa1,2)</f>
        <v>809.25</v>
      </c>
      <c r="T15" s="316">
        <f t="shared" ref="T15:T17" si="72">R15+S15</f>
        <v>854.01842399999998</v>
      </c>
      <c r="U15" s="316">
        <f t="shared" ref="U15:U17" si="73">VLOOKUP(N15,Credito1,2)</f>
        <v>0</v>
      </c>
      <c r="V15" s="316">
        <f t="shared" ref="V15:V17" si="74">ROUND(T15-U15,2)</f>
        <v>854.02</v>
      </c>
      <c r="W15" s="315">
        <f t="shared" ref="W15:W17" si="75">-IF(V15&gt;0,0,0)</f>
        <v>0</v>
      </c>
      <c r="X15" s="315">
        <f t="shared" ref="X15:X17" si="76">IF(J15/15&lt;=SMG,0,IF(V15&lt;0,0,V15))</f>
        <v>854.02</v>
      </c>
      <c r="Y15" s="319">
        <v>0</v>
      </c>
      <c r="Z15" s="315">
        <f t="shared" ref="Z15" si="77">SUM(X15:Y15)</f>
        <v>854.02</v>
      </c>
      <c r="AA15" s="315">
        <f t="shared" ref="AA15:AA17" si="78">L15+W15-Z15</f>
        <v>6997.48</v>
      </c>
      <c r="AB15" s="90"/>
      <c r="AC15" s="4"/>
    </row>
    <row r="16" spans="1:30" s="95" customFormat="1" ht="167.25" customHeight="1" x14ac:dyDescent="0.3">
      <c r="A16" s="182"/>
      <c r="B16" s="330" t="s">
        <v>204</v>
      </c>
      <c r="C16" s="330" t="s">
        <v>121</v>
      </c>
      <c r="D16" s="256" t="s">
        <v>202</v>
      </c>
      <c r="E16" s="184" t="s">
        <v>203</v>
      </c>
      <c r="F16" s="184" t="s">
        <v>275</v>
      </c>
      <c r="G16" s="364">
        <v>43831</v>
      </c>
      <c r="H16" s="206" t="s">
        <v>80</v>
      </c>
      <c r="I16" s="392">
        <v>15</v>
      </c>
      <c r="J16" s="313">
        <v>7851.5</v>
      </c>
      <c r="K16" s="314">
        <v>0</v>
      </c>
      <c r="L16" s="315">
        <f t="shared" si="64"/>
        <v>7851.5</v>
      </c>
      <c r="M16" s="316">
        <f t="shared" si="65"/>
        <v>0</v>
      </c>
      <c r="N16" s="316">
        <f t="shared" si="66"/>
        <v>7851.5</v>
      </c>
      <c r="O16" s="316">
        <f t="shared" si="67"/>
        <v>7641.91</v>
      </c>
      <c r="P16" s="316">
        <f t="shared" si="68"/>
        <v>209.59000000000015</v>
      </c>
      <c r="Q16" s="317">
        <f t="shared" si="69"/>
        <v>0.21360000000000001</v>
      </c>
      <c r="R16" s="316">
        <f t="shared" si="70"/>
        <v>44.768424000000032</v>
      </c>
      <c r="S16" s="318">
        <f t="shared" si="71"/>
        <v>809.25</v>
      </c>
      <c r="T16" s="316">
        <f t="shared" si="72"/>
        <v>854.01842399999998</v>
      </c>
      <c r="U16" s="316">
        <f t="shared" si="73"/>
        <v>0</v>
      </c>
      <c r="V16" s="316">
        <f t="shared" si="74"/>
        <v>854.02</v>
      </c>
      <c r="W16" s="315">
        <f t="shared" si="75"/>
        <v>0</v>
      </c>
      <c r="X16" s="315">
        <f t="shared" si="76"/>
        <v>854.02</v>
      </c>
      <c r="Y16" s="319">
        <v>0</v>
      </c>
      <c r="Z16" s="315">
        <f t="shared" ref="Z16:Z17" si="79">SUM(X16:Y16)</f>
        <v>854.02</v>
      </c>
      <c r="AA16" s="315">
        <f t="shared" si="78"/>
        <v>6997.48</v>
      </c>
      <c r="AB16" s="90"/>
      <c r="AC16" s="4"/>
    </row>
    <row r="17" spans="1:29" s="95" customFormat="1" ht="167.25" customHeight="1" x14ac:dyDescent="0.3">
      <c r="A17" s="182"/>
      <c r="B17" s="330" t="s">
        <v>281</v>
      </c>
      <c r="C17" s="330" t="s">
        <v>121</v>
      </c>
      <c r="D17" s="255" t="s">
        <v>282</v>
      </c>
      <c r="E17" s="184" t="s">
        <v>283</v>
      </c>
      <c r="F17" s="184" t="s">
        <v>284</v>
      </c>
      <c r="G17" s="364">
        <v>44608</v>
      </c>
      <c r="H17" s="206" t="s">
        <v>80</v>
      </c>
      <c r="I17" s="311"/>
      <c r="J17" s="313">
        <v>7851.5</v>
      </c>
      <c r="K17" s="314">
        <v>0</v>
      </c>
      <c r="L17" s="315">
        <f t="shared" si="64"/>
        <v>7851.5</v>
      </c>
      <c r="M17" s="316">
        <f t="shared" si="65"/>
        <v>0</v>
      </c>
      <c r="N17" s="316">
        <f t="shared" si="66"/>
        <v>7851.5</v>
      </c>
      <c r="O17" s="316">
        <f t="shared" si="67"/>
        <v>7641.91</v>
      </c>
      <c r="P17" s="316">
        <f t="shared" si="68"/>
        <v>209.59000000000015</v>
      </c>
      <c r="Q17" s="317">
        <f t="shared" si="69"/>
        <v>0.21360000000000001</v>
      </c>
      <c r="R17" s="316">
        <f t="shared" si="70"/>
        <v>44.768424000000032</v>
      </c>
      <c r="S17" s="318">
        <f t="shared" si="71"/>
        <v>809.25</v>
      </c>
      <c r="T17" s="316">
        <f t="shared" si="72"/>
        <v>854.01842399999998</v>
      </c>
      <c r="U17" s="316">
        <f t="shared" si="73"/>
        <v>0</v>
      </c>
      <c r="V17" s="316">
        <f t="shared" si="74"/>
        <v>854.02</v>
      </c>
      <c r="W17" s="315">
        <f t="shared" si="75"/>
        <v>0</v>
      </c>
      <c r="X17" s="315">
        <f t="shared" si="76"/>
        <v>854.02</v>
      </c>
      <c r="Y17" s="319">
        <v>0</v>
      </c>
      <c r="Z17" s="315">
        <f t="shared" si="79"/>
        <v>854.02</v>
      </c>
      <c r="AA17" s="315">
        <f t="shared" si="78"/>
        <v>6997.48</v>
      </c>
      <c r="AB17" s="91"/>
      <c r="AC17" s="4"/>
    </row>
    <row r="18" spans="1:29" ht="53.25" customHeight="1" x14ac:dyDescent="0.3">
      <c r="A18" s="182"/>
      <c r="B18" s="182"/>
      <c r="C18" s="182"/>
      <c r="D18" s="271"/>
      <c r="E18" s="272"/>
      <c r="F18" s="114"/>
      <c r="G18" s="215"/>
      <c r="H18" s="191"/>
      <c r="I18" s="192"/>
      <c r="J18" s="194"/>
      <c r="K18" s="195"/>
      <c r="L18" s="196"/>
      <c r="M18" s="273"/>
      <c r="N18" s="273"/>
      <c r="O18" s="273"/>
      <c r="P18" s="273"/>
      <c r="Q18" s="274"/>
      <c r="R18" s="273"/>
      <c r="S18" s="275"/>
      <c r="T18" s="273"/>
      <c r="U18" s="273"/>
      <c r="V18" s="273"/>
      <c r="W18" s="196"/>
      <c r="X18" s="196"/>
      <c r="Y18" s="197"/>
      <c r="Z18" s="196"/>
      <c r="AA18" s="196"/>
      <c r="AB18" s="4"/>
      <c r="AC18" s="4"/>
    </row>
    <row r="19" spans="1:29" ht="5.25" customHeight="1" x14ac:dyDescent="0.3">
      <c r="A19" s="182"/>
      <c r="B19" s="182"/>
      <c r="C19" s="182"/>
      <c r="D19" s="271"/>
      <c r="E19" s="272"/>
      <c r="F19" s="114"/>
      <c r="G19" s="215"/>
      <c r="H19" s="191"/>
      <c r="I19" s="192"/>
      <c r="J19" s="194"/>
      <c r="K19" s="195"/>
      <c r="L19" s="196"/>
      <c r="M19" s="273"/>
      <c r="N19" s="273"/>
      <c r="O19" s="273"/>
      <c r="P19" s="273"/>
      <c r="Q19" s="274"/>
      <c r="R19" s="273"/>
      <c r="S19" s="275"/>
      <c r="T19" s="273"/>
      <c r="U19" s="273"/>
      <c r="V19" s="273"/>
      <c r="W19" s="196"/>
      <c r="X19" s="196"/>
      <c r="Y19" s="197"/>
      <c r="Z19" s="196"/>
      <c r="AA19" s="196"/>
      <c r="AB19" s="4"/>
      <c r="AC19" s="4"/>
    </row>
    <row r="20" spans="1:29" ht="5.25" customHeight="1" x14ac:dyDescent="0.3">
      <c r="A20" s="182"/>
      <c r="B20" s="182"/>
      <c r="C20" s="182"/>
      <c r="D20" s="271"/>
      <c r="E20" s="272"/>
      <c r="F20" s="114"/>
      <c r="G20" s="215"/>
      <c r="H20" s="191"/>
      <c r="I20" s="192"/>
      <c r="J20" s="194"/>
      <c r="K20" s="195"/>
      <c r="L20" s="196"/>
      <c r="M20" s="273"/>
      <c r="N20" s="273"/>
      <c r="O20" s="273"/>
      <c r="P20" s="273"/>
      <c r="Q20" s="274"/>
      <c r="R20" s="273"/>
      <c r="S20" s="275"/>
      <c r="T20" s="273"/>
      <c r="U20" s="273"/>
      <c r="V20" s="273"/>
      <c r="W20" s="196"/>
      <c r="X20" s="196"/>
      <c r="Y20" s="197"/>
      <c r="Z20" s="196"/>
      <c r="AA20" s="196"/>
      <c r="AB20" s="4"/>
      <c r="AC20" s="4"/>
    </row>
    <row r="21" spans="1:29" ht="27.75" customHeight="1" x14ac:dyDescent="0.25">
      <c r="A21" s="182"/>
      <c r="B21" s="454" t="s">
        <v>444</v>
      </c>
      <c r="C21" s="455"/>
      <c r="D21" s="455"/>
      <c r="E21" s="455"/>
      <c r="F21" s="455"/>
      <c r="G21" s="455"/>
      <c r="H21" s="455"/>
      <c r="I21" s="455"/>
      <c r="J21" s="455"/>
      <c r="K21" s="455"/>
      <c r="L21" s="455"/>
      <c r="M21" s="455"/>
      <c r="N21" s="455"/>
      <c r="O21" s="455"/>
      <c r="P21" s="455"/>
      <c r="Q21" s="455"/>
      <c r="R21" s="455"/>
      <c r="S21" s="455"/>
      <c r="T21" s="455"/>
      <c r="U21" s="455"/>
      <c r="V21" s="455"/>
      <c r="W21" s="455"/>
      <c r="X21" s="455"/>
      <c r="Y21" s="455"/>
      <c r="Z21" s="455"/>
      <c r="AA21" s="455"/>
      <c r="AB21" s="455"/>
      <c r="AC21" s="4"/>
    </row>
    <row r="22" spans="1:29" ht="23.25" customHeight="1" x14ac:dyDescent="0.25">
      <c r="A22" s="182"/>
      <c r="B22" s="454" t="s">
        <v>445</v>
      </c>
      <c r="C22" s="455"/>
      <c r="D22" s="455"/>
      <c r="E22" s="455"/>
      <c r="F22" s="455"/>
      <c r="G22" s="455"/>
      <c r="H22" s="455"/>
      <c r="I22" s="455"/>
      <c r="J22" s="455"/>
      <c r="K22" s="455"/>
      <c r="L22" s="455"/>
      <c r="M22" s="455"/>
      <c r="N22" s="455"/>
      <c r="O22" s="455"/>
      <c r="P22" s="455"/>
      <c r="Q22" s="455"/>
      <c r="R22" s="455"/>
      <c r="S22" s="455"/>
      <c r="T22" s="455"/>
      <c r="U22" s="455"/>
      <c r="V22" s="455"/>
      <c r="W22" s="455"/>
      <c r="X22" s="455"/>
      <c r="Y22" s="455"/>
      <c r="Z22" s="455"/>
      <c r="AA22" s="455"/>
      <c r="AB22" s="455"/>
      <c r="AC22" s="4"/>
    </row>
    <row r="23" spans="1:29" ht="21" customHeight="1" x14ac:dyDescent="0.25">
      <c r="A23" s="182"/>
      <c r="B23" s="454" t="s">
        <v>662</v>
      </c>
      <c r="C23" s="454"/>
      <c r="D23" s="454"/>
      <c r="E23" s="454"/>
      <c r="F23" s="454"/>
      <c r="G23" s="454"/>
      <c r="H23" s="454"/>
      <c r="I23" s="454"/>
      <c r="J23" s="454"/>
      <c r="K23" s="454"/>
      <c r="L23" s="454"/>
      <c r="M23" s="454"/>
      <c r="N23" s="454"/>
      <c r="O23" s="454"/>
      <c r="P23" s="454"/>
      <c r="Q23" s="454"/>
      <c r="R23" s="454"/>
      <c r="S23" s="454"/>
      <c r="T23" s="454"/>
      <c r="U23" s="454"/>
      <c r="V23" s="454"/>
      <c r="W23" s="454"/>
      <c r="X23" s="454"/>
      <c r="Y23" s="454"/>
      <c r="Z23" s="454"/>
      <c r="AA23" s="454"/>
      <c r="AB23" s="454"/>
      <c r="AC23" s="4"/>
    </row>
    <row r="24" spans="1:29" ht="20.25" customHeight="1" x14ac:dyDescent="0.25">
      <c r="A24" s="182"/>
      <c r="B24" s="456"/>
      <c r="C24" s="457"/>
      <c r="D24" s="457"/>
      <c r="E24" s="457"/>
      <c r="F24" s="457"/>
      <c r="G24" s="457"/>
      <c r="H24" s="457"/>
      <c r="I24" s="457"/>
      <c r="J24" s="457"/>
      <c r="K24" s="457"/>
      <c r="L24" s="457"/>
      <c r="M24" s="457"/>
      <c r="N24" s="457"/>
      <c r="O24" s="457"/>
      <c r="P24" s="457"/>
      <c r="Q24" s="457"/>
      <c r="R24" s="457"/>
      <c r="S24" s="457"/>
      <c r="T24" s="457"/>
      <c r="U24" s="457"/>
      <c r="V24" s="457"/>
      <c r="W24" s="457"/>
      <c r="X24" s="457"/>
      <c r="Y24" s="457"/>
      <c r="Z24" s="457"/>
      <c r="AA24" s="457"/>
      <c r="AB24" s="457"/>
      <c r="AC24" s="4"/>
    </row>
    <row r="25" spans="1:29" ht="169.5" customHeight="1" x14ac:dyDescent="0.3">
      <c r="A25" s="182"/>
      <c r="B25" s="330" t="s">
        <v>349</v>
      </c>
      <c r="C25" s="330" t="s">
        <v>121</v>
      </c>
      <c r="D25" s="255" t="s">
        <v>350</v>
      </c>
      <c r="E25" s="184" t="s">
        <v>351</v>
      </c>
      <c r="F25" s="113" t="s">
        <v>352</v>
      </c>
      <c r="G25" s="329">
        <v>45092</v>
      </c>
      <c r="H25" s="206" t="s">
        <v>80</v>
      </c>
      <c r="I25" s="311"/>
      <c r="J25" s="313">
        <v>7851.5</v>
      </c>
      <c r="K25" s="314">
        <v>0</v>
      </c>
      <c r="L25" s="315">
        <f t="shared" ref="L25" si="80">SUM(J25:K25)</f>
        <v>7851.5</v>
      </c>
      <c r="M25" s="316">
        <f t="shared" ref="M25" si="81">IF(J25/15&lt;=SMG,0,K25/2)</f>
        <v>0</v>
      </c>
      <c r="N25" s="316">
        <f t="shared" ref="N25" si="82">J25+M25</f>
        <v>7851.5</v>
      </c>
      <c r="O25" s="316">
        <f t="shared" ref="O25" si="83">VLOOKUP(N25,Tarifa1,1)</f>
        <v>7641.91</v>
      </c>
      <c r="P25" s="316">
        <f t="shared" ref="P25" si="84">N25-O25</f>
        <v>209.59000000000015</v>
      </c>
      <c r="Q25" s="317">
        <f t="shared" ref="Q25" si="85">VLOOKUP(N25,Tarifa1,3)</f>
        <v>0.21360000000000001</v>
      </c>
      <c r="R25" s="316">
        <f t="shared" ref="R25" si="86">P25*Q25</f>
        <v>44.768424000000032</v>
      </c>
      <c r="S25" s="318">
        <f t="shared" ref="S25" si="87">VLOOKUP(N25,Tarifa1,2)</f>
        <v>809.25</v>
      </c>
      <c r="T25" s="316">
        <f t="shared" ref="T25" si="88">R25+S25</f>
        <v>854.01842399999998</v>
      </c>
      <c r="U25" s="316">
        <f t="shared" ref="U25" si="89">VLOOKUP(N25,Credito1,2)</f>
        <v>0</v>
      </c>
      <c r="V25" s="316">
        <f t="shared" ref="V25" si="90">ROUND(T25-U25,2)</f>
        <v>854.02</v>
      </c>
      <c r="W25" s="315">
        <f t="shared" ref="W25" si="91">-IF(V25&gt;0,0,0)</f>
        <v>0</v>
      </c>
      <c r="X25" s="315">
        <f t="shared" ref="X25" si="92">IF(J25/15&lt;=SMG,0,IF(V25&lt;0,0,V25))</f>
        <v>854.02</v>
      </c>
      <c r="Y25" s="319">
        <v>0</v>
      </c>
      <c r="Z25" s="315">
        <f t="shared" ref="Z25" si="93">SUM(X25:Y25)</f>
        <v>854.02</v>
      </c>
      <c r="AA25" s="315">
        <f t="shared" ref="AA25" si="94">L25+W25-Z25</f>
        <v>6997.48</v>
      </c>
      <c r="AB25" s="91"/>
      <c r="AC25" s="4"/>
    </row>
    <row r="26" spans="1:29" ht="169.5" customHeight="1" x14ac:dyDescent="0.3">
      <c r="A26" s="182"/>
      <c r="B26" s="330" t="s">
        <v>426</v>
      </c>
      <c r="C26" s="330" t="s">
        <v>121</v>
      </c>
      <c r="D26" s="255" t="s">
        <v>622</v>
      </c>
      <c r="E26" s="184" t="s">
        <v>427</v>
      </c>
      <c r="F26" s="113" t="s">
        <v>428</v>
      </c>
      <c r="G26" s="329">
        <v>45367</v>
      </c>
      <c r="H26" s="206" t="s">
        <v>80</v>
      </c>
      <c r="I26" s="311"/>
      <c r="J26" s="313">
        <v>7851.5</v>
      </c>
      <c r="K26" s="314">
        <v>0</v>
      </c>
      <c r="L26" s="315">
        <f t="shared" ref="L26" si="95">SUM(J26:K26)</f>
        <v>7851.5</v>
      </c>
      <c r="M26" s="316">
        <f t="shared" ref="M26" si="96">IF(J26/15&lt;=SMG,0,K26/2)</f>
        <v>0</v>
      </c>
      <c r="N26" s="316">
        <f t="shared" ref="N26" si="97">J26+M26</f>
        <v>7851.5</v>
      </c>
      <c r="O26" s="316">
        <f t="shared" ref="O26" si="98">VLOOKUP(N26,Tarifa1,1)</f>
        <v>7641.91</v>
      </c>
      <c r="P26" s="316">
        <f t="shared" ref="P26" si="99">N26-O26</f>
        <v>209.59000000000015</v>
      </c>
      <c r="Q26" s="317">
        <f t="shared" ref="Q26" si="100">VLOOKUP(N26,Tarifa1,3)</f>
        <v>0.21360000000000001</v>
      </c>
      <c r="R26" s="316">
        <f t="shared" ref="R26" si="101">P26*Q26</f>
        <v>44.768424000000032</v>
      </c>
      <c r="S26" s="318">
        <f t="shared" ref="S26" si="102">VLOOKUP(N26,Tarifa1,2)</f>
        <v>809.25</v>
      </c>
      <c r="T26" s="316">
        <f t="shared" ref="T26" si="103">R26+S26</f>
        <v>854.01842399999998</v>
      </c>
      <c r="U26" s="316">
        <f t="shared" ref="U26" si="104">VLOOKUP(N26,Credito1,2)</f>
        <v>0</v>
      </c>
      <c r="V26" s="316">
        <f t="shared" ref="V26" si="105">ROUND(T26-U26,2)</f>
        <v>854.02</v>
      </c>
      <c r="W26" s="315">
        <f t="shared" ref="W26" si="106">-IF(V26&gt;0,0,0)</f>
        <v>0</v>
      </c>
      <c r="X26" s="315">
        <f t="shared" ref="X26" si="107">IF(J26/15&lt;=SMG,0,IF(V26&lt;0,0,V26))</f>
        <v>854.02</v>
      </c>
      <c r="Y26" s="319">
        <v>0</v>
      </c>
      <c r="Z26" s="315">
        <f t="shared" ref="Z26" si="108">SUM(X26:Y26)</f>
        <v>854.02</v>
      </c>
      <c r="AA26" s="315">
        <f t="shared" ref="AA26" si="109">L26+W26-Z26</f>
        <v>6997.48</v>
      </c>
      <c r="AB26" s="91"/>
      <c r="AC26" s="4"/>
    </row>
    <row r="27" spans="1:29" ht="169.5" customHeight="1" x14ac:dyDescent="0.3">
      <c r="A27" s="182"/>
      <c r="B27" s="330" t="s">
        <v>389</v>
      </c>
      <c r="C27" s="330" t="s">
        <v>121</v>
      </c>
      <c r="D27" s="255" t="s">
        <v>390</v>
      </c>
      <c r="E27" s="184" t="s">
        <v>398</v>
      </c>
      <c r="F27" s="113" t="s">
        <v>391</v>
      </c>
      <c r="G27" s="329">
        <v>45200</v>
      </c>
      <c r="H27" s="206" t="s">
        <v>80</v>
      </c>
      <c r="I27" s="311"/>
      <c r="J27" s="313">
        <v>7851.5</v>
      </c>
      <c r="K27" s="314">
        <v>0</v>
      </c>
      <c r="L27" s="315">
        <f t="shared" ref="L27:L44" si="110">SUM(J27:K27)</f>
        <v>7851.5</v>
      </c>
      <c r="M27" s="316">
        <f t="shared" ref="M27:M44" si="111">IF(J27/15&lt;=SMG,0,K27/2)</f>
        <v>0</v>
      </c>
      <c r="N27" s="316">
        <f t="shared" ref="N27:N44" si="112">J27+M27</f>
        <v>7851.5</v>
      </c>
      <c r="O27" s="316">
        <f t="shared" ref="O27:O44" si="113">VLOOKUP(N27,Tarifa1,1)</f>
        <v>7641.91</v>
      </c>
      <c r="P27" s="316">
        <f t="shared" ref="P27:P44" si="114">N27-O27</f>
        <v>209.59000000000015</v>
      </c>
      <c r="Q27" s="317">
        <f t="shared" ref="Q27:Q44" si="115">VLOOKUP(N27,Tarifa1,3)</f>
        <v>0.21360000000000001</v>
      </c>
      <c r="R27" s="316">
        <f t="shared" ref="R27:R44" si="116">P27*Q27</f>
        <v>44.768424000000032</v>
      </c>
      <c r="S27" s="318">
        <f t="shared" ref="S27:S44" si="117">VLOOKUP(N27,Tarifa1,2)</f>
        <v>809.25</v>
      </c>
      <c r="T27" s="316">
        <f t="shared" ref="T27:T44" si="118">R27+S27</f>
        <v>854.01842399999998</v>
      </c>
      <c r="U27" s="316">
        <f t="shared" ref="U27:U44" si="119">VLOOKUP(N27,Credito1,2)</f>
        <v>0</v>
      </c>
      <c r="V27" s="316">
        <f t="shared" ref="V27:V44" si="120">ROUND(T27-U27,2)</f>
        <v>854.02</v>
      </c>
      <c r="W27" s="315">
        <f t="shared" ref="W27:W44" si="121">-IF(V27&gt;0,0,0)</f>
        <v>0</v>
      </c>
      <c r="X27" s="315">
        <f t="shared" ref="X27:X44" si="122">IF(J27/15&lt;=SMG,0,IF(V27&lt;0,0,V27))</f>
        <v>854.02</v>
      </c>
      <c r="Y27" s="319">
        <v>0</v>
      </c>
      <c r="Z27" s="315">
        <f t="shared" ref="Z27:Z44" si="123">SUM(X27:Y27)</f>
        <v>854.02</v>
      </c>
      <c r="AA27" s="315">
        <f t="shared" ref="AA27:AA44" si="124">L27+W27-Z27</f>
        <v>6997.48</v>
      </c>
      <c r="AB27" s="91"/>
      <c r="AC27" s="4"/>
    </row>
    <row r="28" spans="1:29" ht="169.5" customHeight="1" x14ac:dyDescent="0.3">
      <c r="A28" s="182"/>
      <c r="B28" s="330" t="s">
        <v>406</v>
      </c>
      <c r="C28" s="330" t="s">
        <v>121</v>
      </c>
      <c r="D28" s="255" t="s">
        <v>409</v>
      </c>
      <c r="E28" s="184" t="s">
        <v>407</v>
      </c>
      <c r="F28" s="113" t="s">
        <v>408</v>
      </c>
      <c r="G28" s="329">
        <v>45292</v>
      </c>
      <c r="H28" s="206" t="s">
        <v>80</v>
      </c>
      <c r="I28" s="311"/>
      <c r="J28" s="313">
        <v>7851.5</v>
      </c>
      <c r="K28" s="314">
        <v>0</v>
      </c>
      <c r="L28" s="315">
        <f t="shared" si="110"/>
        <v>7851.5</v>
      </c>
      <c r="M28" s="316">
        <f t="shared" si="111"/>
        <v>0</v>
      </c>
      <c r="N28" s="316">
        <f t="shared" si="112"/>
        <v>7851.5</v>
      </c>
      <c r="O28" s="316">
        <f t="shared" si="113"/>
        <v>7641.91</v>
      </c>
      <c r="P28" s="316">
        <f t="shared" si="114"/>
        <v>209.59000000000015</v>
      </c>
      <c r="Q28" s="317">
        <f t="shared" si="115"/>
        <v>0.21360000000000001</v>
      </c>
      <c r="R28" s="316">
        <f t="shared" si="116"/>
        <v>44.768424000000032</v>
      </c>
      <c r="S28" s="318">
        <f t="shared" si="117"/>
        <v>809.25</v>
      </c>
      <c r="T28" s="316">
        <f t="shared" si="118"/>
        <v>854.01842399999998</v>
      </c>
      <c r="U28" s="316">
        <f t="shared" si="119"/>
        <v>0</v>
      </c>
      <c r="V28" s="316">
        <f t="shared" si="120"/>
        <v>854.02</v>
      </c>
      <c r="W28" s="315">
        <f t="shared" si="121"/>
        <v>0</v>
      </c>
      <c r="X28" s="315">
        <f t="shared" si="122"/>
        <v>854.02</v>
      </c>
      <c r="Y28" s="319">
        <v>0</v>
      </c>
      <c r="Z28" s="315">
        <f t="shared" si="123"/>
        <v>854.02</v>
      </c>
      <c r="AA28" s="315">
        <f t="shared" si="124"/>
        <v>6997.48</v>
      </c>
      <c r="AB28" s="91"/>
      <c r="AC28" s="4"/>
    </row>
    <row r="29" spans="1:29" ht="169.5" customHeight="1" x14ac:dyDescent="0.3">
      <c r="A29" s="182"/>
      <c r="B29" s="330" t="s">
        <v>435</v>
      </c>
      <c r="C29" s="330" t="s">
        <v>121</v>
      </c>
      <c r="D29" s="255" t="s">
        <v>436</v>
      </c>
      <c r="E29" s="184" t="s">
        <v>437</v>
      </c>
      <c r="F29" s="113" t="s">
        <v>438</v>
      </c>
      <c r="G29" s="329">
        <v>45398</v>
      </c>
      <c r="H29" s="206" t="s">
        <v>80</v>
      </c>
      <c r="I29" s="311"/>
      <c r="J29" s="313">
        <v>7851.5</v>
      </c>
      <c r="K29" s="314">
        <v>0</v>
      </c>
      <c r="L29" s="315">
        <f t="shared" si="110"/>
        <v>7851.5</v>
      </c>
      <c r="M29" s="316">
        <f t="shared" si="111"/>
        <v>0</v>
      </c>
      <c r="N29" s="316">
        <f t="shared" si="112"/>
        <v>7851.5</v>
      </c>
      <c r="O29" s="316">
        <f t="shared" si="113"/>
        <v>7641.91</v>
      </c>
      <c r="P29" s="316">
        <f t="shared" si="114"/>
        <v>209.59000000000015</v>
      </c>
      <c r="Q29" s="317">
        <f t="shared" si="115"/>
        <v>0.21360000000000001</v>
      </c>
      <c r="R29" s="316">
        <f t="shared" si="116"/>
        <v>44.768424000000032</v>
      </c>
      <c r="S29" s="318">
        <f t="shared" si="117"/>
        <v>809.25</v>
      </c>
      <c r="T29" s="316">
        <f t="shared" si="118"/>
        <v>854.01842399999998</v>
      </c>
      <c r="U29" s="316">
        <f t="shared" si="119"/>
        <v>0</v>
      </c>
      <c r="V29" s="316">
        <f t="shared" si="120"/>
        <v>854.02</v>
      </c>
      <c r="W29" s="315">
        <f t="shared" si="121"/>
        <v>0</v>
      </c>
      <c r="X29" s="315">
        <f t="shared" si="122"/>
        <v>854.02</v>
      </c>
      <c r="Y29" s="319">
        <v>0</v>
      </c>
      <c r="Z29" s="315">
        <f t="shared" si="123"/>
        <v>854.02</v>
      </c>
      <c r="AA29" s="315">
        <f t="shared" si="124"/>
        <v>6997.48</v>
      </c>
      <c r="AB29" s="91"/>
      <c r="AC29" s="4"/>
    </row>
    <row r="30" spans="1:29" ht="169.5" customHeight="1" x14ac:dyDescent="0.3">
      <c r="A30" s="182"/>
      <c r="B30" s="330" t="s">
        <v>440</v>
      </c>
      <c r="C30" s="330" t="s">
        <v>121</v>
      </c>
      <c r="D30" s="255" t="s">
        <v>441</v>
      </c>
      <c r="E30" s="184" t="s">
        <v>442</v>
      </c>
      <c r="F30" s="113" t="s">
        <v>443</v>
      </c>
      <c r="G30" s="329">
        <v>45413</v>
      </c>
      <c r="H30" s="206" t="s">
        <v>80</v>
      </c>
      <c r="I30" s="311"/>
      <c r="J30" s="313">
        <v>7851.5</v>
      </c>
      <c r="K30" s="314">
        <v>0</v>
      </c>
      <c r="L30" s="315">
        <f t="shared" si="110"/>
        <v>7851.5</v>
      </c>
      <c r="M30" s="316">
        <f t="shared" si="111"/>
        <v>0</v>
      </c>
      <c r="N30" s="316">
        <f t="shared" si="112"/>
        <v>7851.5</v>
      </c>
      <c r="O30" s="316">
        <f t="shared" si="113"/>
        <v>7641.91</v>
      </c>
      <c r="P30" s="316">
        <f t="shared" si="114"/>
        <v>209.59000000000015</v>
      </c>
      <c r="Q30" s="317">
        <f t="shared" si="115"/>
        <v>0.21360000000000001</v>
      </c>
      <c r="R30" s="316">
        <f t="shared" si="116"/>
        <v>44.768424000000032</v>
      </c>
      <c r="S30" s="318">
        <f t="shared" si="117"/>
        <v>809.25</v>
      </c>
      <c r="T30" s="316">
        <f t="shared" si="118"/>
        <v>854.01842399999998</v>
      </c>
      <c r="U30" s="316">
        <f t="shared" si="119"/>
        <v>0</v>
      </c>
      <c r="V30" s="316">
        <f t="shared" si="120"/>
        <v>854.02</v>
      </c>
      <c r="W30" s="315">
        <f t="shared" si="121"/>
        <v>0</v>
      </c>
      <c r="X30" s="315">
        <f t="shared" si="122"/>
        <v>854.02</v>
      </c>
      <c r="Y30" s="319">
        <v>0</v>
      </c>
      <c r="Z30" s="315">
        <f t="shared" si="123"/>
        <v>854.02</v>
      </c>
      <c r="AA30" s="315">
        <f t="shared" si="124"/>
        <v>6997.48</v>
      </c>
      <c r="AB30" s="91"/>
      <c r="AC30" s="4"/>
    </row>
    <row r="31" spans="1:29" ht="169.5" customHeight="1" x14ac:dyDescent="0.3">
      <c r="A31" s="182"/>
      <c r="B31" s="330" t="s">
        <v>446</v>
      </c>
      <c r="C31" s="330" t="s">
        <v>121</v>
      </c>
      <c r="D31" s="255" t="s">
        <v>447</v>
      </c>
      <c r="E31" s="184" t="s">
        <v>448</v>
      </c>
      <c r="F31" s="113" t="s">
        <v>449</v>
      </c>
      <c r="G31" s="329">
        <v>45428</v>
      </c>
      <c r="H31" s="206" t="s">
        <v>80</v>
      </c>
      <c r="I31" s="311"/>
      <c r="J31" s="313">
        <v>7851.5</v>
      </c>
      <c r="K31" s="314">
        <v>0</v>
      </c>
      <c r="L31" s="315">
        <f t="shared" si="110"/>
        <v>7851.5</v>
      </c>
      <c r="M31" s="316">
        <f t="shared" si="111"/>
        <v>0</v>
      </c>
      <c r="N31" s="316">
        <f t="shared" si="112"/>
        <v>7851.5</v>
      </c>
      <c r="O31" s="316">
        <f t="shared" si="113"/>
        <v>7641.91</v>
      </c>
      <c r="P31" s="316">
        <f t="shared" si="114"/>
        <v>209.59000000000015</v>
      </c>
      <c r="Q31" s="317">
        <f t="shared" si="115"/>
        <v>0.21360000000000001</v>
      </c>
      <c r="R31" s="316">
        <f t="shared" si="116"/>
        <v>44.768424000000032</v>
      </c>
      <c r="S31" s="318">
        <f t="shared" si="117"/>
        <v>809.25</v>
      </c>
      <c r="T31" s="316">
        <f t="shared" si="118"/>
        <v>854.01842399999998</v>
      </c>
      <c r="U31" s="316">
        <f t="shared" si="119"/>
        <v>0</v>
      </c>
      <c r="V31" s="316">
        <f t="shared" si="120"/>
        <v>854.02</v>
      </c>
      <c r="W31" s="315">
        <f t="shared" si="121"/>
        <v>0</v>
      </c>
      <c r="X31" s="315">
        <f t="shared" si="122"/>
        <v>854.02</v>
      </c>
      <c r="Y31" s="319">
        <v>0</v>
      </c>
      <c r="Z31" s="315">
        <f t="shared" si="123"/>
        <v>854.02</v>
      </c>
      <c r="AA31" s="315">
        <f t="shared" si="124"/>
        <v>6997.48</v>
      </c>
      <c r="AB31" s="91"/>
      <c r="AC31" s="4"/>
    </row>
    <row r="32" spans="1:29" ht="169.5" customHeight="1" x14ac:dyDescent="0.3">
      <c r="A32" s="182"/>
      <c r="B32" s="330" t="s">
        <v>454</v>
      </c>
      <c r="C32" s="330" t="s">
        <v>121</v>
      </c>
      <c r="D32" s="255" t="s">
        <v>455</v>
      </c>
      <c r="E32" s="184" t="s">
        <v>461</v>
      </c>
      <c r="F32" s="113" t="s">
        <v>456</v>
      </c>
      <c r="G32" s="329">
        <v>45444</v>
      </c>
      <c r="H32" s="206" t="s">
        <v>80</v>
      </c>
      <c r="I32" s="311"/>
      <c r="J32" s="313">
        <v>7851.5</v>
      </c>
      <c r="K32" s="314">
        <v>0</v>
      </c>
      <c r="L32" s="315">
        <f t="shared" si="110"/>
        <v>7851.5</v>
      </c>
      <c r="M32" s="316">
        <f t="shared" si="111"/>
        <v>0</v>
      </c>
      <c r="N32" s="316">
        <f t="shared" si="112"/>
        <v>7851.5</v>
      </c>
      <c r="O32" s="316">
        <f t="shared" si="113"/>
        <v>7641.91</v>
      </c>
      <c r="P32" s="316">
        <f t="shared" si="114"/>
        <v>209.59000000000015</v>
      </c>
      <c r="Q32" s="317">
        <f t="shared" si="115"/>
        <v>0.21360000000000001</v>
      </c>
      <c r="R32" s="316">
        <f t="shared" si="116"/>
        <v>44.768424000000032</v>
      </c>
      <c r="S32" s="318">
        <f t="shared" si="117"/>
        <v>809.25</v>
      </c>
      <c r="T32" s="316">
        <f t="shared" si="118"/>
        <v>854.01842399999998</v>
      </c>
      <c r="U32" s="316">
        <f t="shared" si="119"/>
        <v>0</v>
      </c>
      <c r="V32" s="316">
        <f t="shared" si="120"/>
        <v>854.02</v>
      </c>
      <c r="W32" s="315">
        <f t="shared" si="121"/>
        <v>0</v>
      </c>
      <c r="X32" s="315">
        <f t="shared" si="122"/>
        <v>854.02</v>
      </c>
      <c r="Y32" s="319">
        <v>0</v>
      </c>
      <c r="Z32" s="315">
        <f t="shared" si="123"/>
        <v>854.02</v>
      </c>
      <c r="AA32" s="315">
        <f t="shared" si="124"/>
        <v>6997.48</v>
      </c>
      <c r="AB32" s="91"/>
      <c r="AC32" s="4"/>
    </row>
    <row r="33" spans="1:29" ht="169.5" customHeight="1" x14ac:dyDescent="0.3">
      <c r="A33" s="182"/>
      <c r="B33" s="330" t="s">
        <v>471</v>
      </c>
      <c r="C33" s="330" t="s">
        <v>121</v>
      </c>
      <c r="D33" s="255" t="s">
        <v>473</v>
      </c>
      <c r="E33" s="184" t="s">
        <v>474</v>
      </c>
      <c r="F33" s="113" t="s">
        <v>475</v>
      </c>
      <c r="G33" s="329">
        <v>45459</v>
      </c>
      <c r="H33" s="206" t="s">
        <v>80</v>
      </c>
      <c r="I33" s="311"/>
      <c r="J33" s="313">
        <v>7851.5</v>
      </c>
      <c r="K33" s="314">
        <v>0</v>
      </c>
      <c r="L33" s="315">
        <f t="shared" si="110"/>
        <v>7851.5</v>
      </c>
      <c r="M33" s="316">
        <f t="shared" si="111"/>
        <v>0</v>
      </c>
      <c r="N33" s="316">
        <f t="shared" si="112"/>
        <v>7851.5</v>
      </c>
      <c r="O33" s="316">
        <f t="shared" si="113"/>
        <v>7641.91</v>
      </c>
      <c r="P33" s="316">
        <f t="shared" si="114"/>
        <v>209.59000000000015</v>
      </c>
      <c r="Q33" s="317">
        <f t="shared" si="115"/>
        <v>0.21360000000000001</v>
      </c>
      <c r="R33" s="316">
        <f t="shared" si="116"/>
        <v>44.768424000000032</v>
      </c>
      <c r="S33" s="318">
        <f t="shared" si="117"/>
        <v>809.25</v>
      </c>
      <c r="T33" s="316">
        <f t="shared" si="118"/>
        <v>854.01842399999998</v>
      </c>
      <c r="U33" s="316">
        <f t="shared" si="119"/>
        <v>0</v>
      </c>
      <c r="V33" s="316">
        <f t="shared" si="120"/>
        <v>854.02</v>
      </c>
      <c r="W33" s="315">
        <f t="shared" si="121"/>
        <v>0</v>
      </c>
      <c r="X33" s="315">
        <f t="shared" si="122"/>
        <v>854.02</v>
      </c>
      <c r="Y33" s="319">
        <v>0</v>
      </c>
      <c r="Z33" s="315">
        <f t="shared" si="123"/>
        <v>854.02</v>
      </c>
      <c r="AA33" s="315">
        <f t="shared" si="124"/>
        <v>6997.48</v>
      </c>
      <c r="AB33" s="91"/>
      <c r="AC33" s="4"/>
    </row>
    <row r="34" spans="1:29" ht="15.75" customHeight="1" x14ac:dyDescent="0.3">
      <c r="A34" s="182"/>
      <c r="B34" s="349"/>
      <c r="C34" s="349"/>
      <c r="D34" s="271"/>
      <c r="E34" s="272"/>
      <c r="F34" s="114"/>
      <c r="G34" s="328"/>
      <c r="H34" s="288"/>
      <c r="I34" s="353"/>
      <c r="J34" s="355"/>
      <c r="K34" s="356"/>
      <c r="L34" s="357"/>
      <c r="M34" s="358"/>
      <c r="N34" s="358"/>
      <c r="O34" s="358"/>
      <c r="P34" s="358"/>
      <c r="Q34" s="359"/>
      <c r="R34" s="358"/>
      <c r="S34" s="360"/>
      <c r="T34" s="358"/>
      <c r="U34" s="358"/>
      <c r="V34" s="358"/>
      <c r="W34" s="357"/>
      <c r="X34" s="357"/>
      <c r="Y34" s="361"/>
      <c r="Z34" s="357"/>
      <c r="AA34" s="357"/>
      <c r="AB34" s="4"/>
      <c r="AC34" s="4"/>
    </row>
    <row r="35" spans="1:29" ht="15.75" customHeight="1" x14ac:dyDescent="0.3">
      <c r="A35" s="182"/>
      <c r="B35" s="349"/>
      <c r="C35" s="349"/>
      <c r="D35" s="271"/>
      <c r="E35" s="272"/>
      <c r="F35" s="114"/>
      <c r="G35" s="328"/>
      <c r="H35" s="288"/>
      <c r="I35" s="353"/>
      <c r="J35" s="355"/>
      <c r="K35" s="356"/>
      <c r="L35" s="357"/>
      <c r="M35" s="358"/>
      <c r="N35" s="358"/>
      <c r="O35" s="358"/>
      <c r="P35" s="358"/>
      <c r="Q35" s="359"/>
      <c r="R35" s="358"/>
      <c r="S35" s="360"/>
      <c r="T35" s="358"/>
      <c r="U35" s="358"/>
      <c r="V35" s="358"/>
      <c r="W35" s="357"/>
      <c r="X35" s="357"/>
      <c r="Y35" s="361"/>
      <c r="Z35" s="357"/>
      <c r="AA35" s="357"/>
      <c r="AB35" s="4"/>
      <c r="AC35" s="4"/>
    </row>
    <row r="36" spans="1:29" ht="32.25" customHeight="1" x14ac:dyDescent="0.25">
      <c r="A36" s="182"/>
      <c r="B36" s="454" t="s">
        <v>444</v>
      </c>
      <c r="C36" s="455"/>
      <c r="D36" s="455"/>
      <c r="E36" s="455"/>
      <c r="F36" s="455"/>
      <c r="G36" s="455"/>
      <c r="H36" s="455"/>
      <c r="I36" s="455"/>
      <c r="J36" s="455"/>
      <c r="K36" s="455"/>
      <c r="L36" s="455"/>
      <c r="M36" s="455"/>
      <c r="N36" s="455"/>
      <c r="O36" s="455"/>
      <c r="P36" s="455"/>
      <c r="Q36" s="455"/>
      <c r="R36" s="455"/>
      <c r="S36" s="455"/>
      <c r="T36" s="455"/>
      <c r="U36" s="455"/>
      <c r="V36" s="455"/>
      <c r="W36" s="455"/>
      <c r="X36" s="455"/>
      <c r="Y36" s="455"/>
      <c r="Z36" s="455"/>
      <c r="AA36" s="455"/>
      <c r="AB36" s="455"/>
      <c r="AC36" s="4"/>
    </row>
    <row r="37" spans="1:29" ht="18.75" customHeight="1" x14ac:dyDescent="0.25">
      <c r="A37" s="182"/>
      <c r="B37" s="454" t="s">
        <v>445</v>
      </c>
      <c r="C37" s="455"/>
      <c r="D37" s="455"/>
      <c r="E37" s="455"/>
      <c r="F37" s="455"/>
      <c r="G37" s="455"/>
      <c r="H37" s="455"/>
      <c r="I37" s="455"/>
      <c r="J37" s="455"/>
      <c r="K37" s="455"/>
      <c r="L37" s="455"/>
      <c r="M37" s="455"/>
      <c r="N37" s="455"/>
      <c r="O37" s="455"/>
      <c r="P37" s="455"/>
      <c r="Q37" s="455"/>
      <c r="R37" s="455"/>
      <c r="S37" s="455"/>
      <c r="T37" s="455"/>
      <c r="U37" s="455"/>
      <c r="V37" s="455"/>
      <c r="W37" s="455"/>
      <c r="X37" s="455"/>
      <c r="Y37" s="455"/>
      <c r="Z37" s="455"/>
      <c r="AA37" s="455"/>
      <c r="AB37" s="455"/>
      <c r="AC37" s="4"/>
    </row>
    <row r="38" spans="1:29" ht="32.25" customHeight="1" x14ac:dyDescent="0.3">
      <c r="A38" s="182"/>
      <c r="B38" s="443" t="str">
        <f>PRESIDENCIA!A3</f>
        <v>SUELDO  DEL 16 AL 30 DE NOVIEMBRE DE 2024</v>
      </c>
      <c r="C38" s="443"/>
      <c r="D38" s="443"/>
      <c r="E38" s="443"/>
      <c r="F38" s="443"/>
      <c r="G38" s="443"/>
      <c r="H38" s="443"/>
      <c r="I38" s="443"/>
      <c r="J38" s="443"/>
      <c r="K38" s="443"/>
      <c r="L38" s="443"/>
      <c r="M38" s="443"/>
      <c r="N38" s="443"/>
      <c r="O38" s="443"/>
      <c r="P38" s="443"/>
      <c r="Q38" s="443"/>
      <c r="R38" s="443"/>
      <c r="S38" s="443"/>
      <c r="T38" s="443"/>
      <c r="U38" s="443"/>
      <c r="V38" s="443"/>
      <c r="W38" s="443"/>
      <c r="X38" s="443"/>
      <c r="Y38" s="443"/>
      <c r="Z38" s="443"/>
      <c r="AA38" s="443"/>
      <c r="AB38" s="443"/>
      <c r="AC38" s="4"/>
    </row>
    <row r="39" spans="1:29" ht="22.5" customHeight="1" x14ac:dyDescent="0.3">
      <c r="A39" s="182"/>
      <c r="B39" s="349"/>
      <c r="C39" s="349"/>
      <c r="D39" s="271"/>
      <c r="E39" s="272"/>
      <c r="F39" s="114"/>
      <c r="G39" s="328"/>
      <c r="H39" s="288"/>
      <c r="I39" s="353"/>
      <c r="J39" s="355"/>
      <c r="K39" s="356"/>
      <c r="L39" s="357"/>
      <c r="M39" s="358"/>
      <c r="N39" s="358"/>
      <c r="O39" s="358"/>
      <c r="P39" s="358"/>
      <c r="Q39" s="359"/>
      <c r="R39" s="358"/>
      <c r="S39" s="360"/>
      <c r="T39" s="358"/>
      <c r="U39" s="358"/>
      <c r="V39" s="358"/>
      <c r="W39" s="357"/>
      <c r="X39" s="357"/>
      <c r="Y39" s="361"/>
      <c r="Z39" s="357"/>
      <c r="AA39" s="357"/>
      <c r="AB39" s="4"/>
      <c r="AC39" s="4"/>
    </row>
    <row r="40" spans="1:29" ht="158.25" customHeight="1" x14ac:dyDescent="0.3">
      <c r="A40" s="182"/>
      <c r="B40" s="335" t="s">
        <v>472</v>
      </c>
      <c r="C40" s="335" t="s">
        <v>121</v>
      </c>
      <c r="D40" s="393" t="s">
        <v>476</v>
      </c>
      <c r="E40" s="394" t="s">
        <v>477</v>
      </c>
      <c r="F40" s="293" t="s">
        <v>478</v>
      </c>
      <c r="G40" s="395">
        <v>45459</v>
      </c>
      <c r="H40" s="249" t="s">
        <v>80</v>
      </c>
      <c r="I40" s="339"/>
      <c r="J40" s="341">
        <v>7851.5</v>
      </c>
      <c r="K40" s="342">
        <v>0</v>
      </c>
      <c r="L40" s="343">
        <f t="shared" ref="L40" si="125">SUM(J40:K40)</f>
        <v>7851.5</v>
      </c>
      <c r="M40" s="344">
        <f t="shared" ref="M40" si="126">IF(J40/15&lt;=SMG,0,K40/2)</f>
        <v>0</v>
      </c>
      <c r="N40" s="344">
        <f t="shared" ref="N40" si="127">J40+M40</f>
        <v>7851.5</v>
      </c>
      <c r="O40" s="344">
        <f t="shared" ref="O40" si="128">VLOOKUP(N40,Tarifa1,1)</f>
        <v>7641.91</v>
      </c>
      <c r="P40" s="344">
        <f t="shared" ref="P40" si="129">N40-O40</f>
        <v>209.59000000000015</v>
      </c>
      <c r="Q40" s="345">
        <f t="shared" ref="Q40" si="130">VLOOKUP(N40,Tarifa1,3)</f>
        <v>0.21360000000000001</v>
      </c>
      <c r="R40" s="344">
        <f t="shared" ref="R40" si="131">P40*Q40</f>
        <v>44.768424000000032</v>
      </c>
      <c r="S40" s="346">
        <f t="shared" ref="S40" si="132">VLOOKUP(N40,Tarifa1,2)</f>
        <v>809.25</v>
      </c>
      <c r="T40" s="344">
        <f t="shared" ref="T40" si="133">R40+S40</f>
        <v>854.01842399999998</v>
      </c>
      <c r="U40" s="344">
        <f t="shared" ref="U40" si="134">VLOOKUP(N40,Credito1,2)</f>
        <v>0</v>
      </c>
      <c r="V40" s="344">
        <f t="shared" ref="V40" si="135">ROUND(T40-U40,2)</f>
        <v>854.02</v>
      </c>
      <c r="W40" s="343">
        <f t="shared" ref="W40" si="136">-IF(V40&gt;0,0,0)</f>
        <v>0</v>
      </c>
      <c r="X40" s="343">
        <f t="shared" ref="X40" si="137">IF(J40/15&lt;=SMG,0,IF(V40&lt;0,0,V40))</f>
        <v>854.02</v>
      </c>
      <c r="Y40" s="347">
        <v>0</v>
      </c>
      <c r="Z40" s="343">
        <f t="shared" ref="Z40" si="138">SUM(X40:Y40)</f>
        <v>854.02</v>
      </c>
      <c r="AA40" s="343">
        <f t="shared" ref="AA40" si="139">L40+W40-Z40</f>
        <v>6997.48</v>
      </c>
      <c r="AB40" s="106"/>
      <c r="AC40" s="4"/>
    </row>
    <row r="41" spans="1:29" ht="158.25" customHeight="1" x14ac:dyDescent="0.3">
      <c r="A41" s="182"/>
      <c r="B41" s="330" t="s">
        <v>487</v>
      </c>
      <c r="C41" s="330" t="s">
        <v>121</v>
      </c>
      <c r="D41" s="255" t="s">
        <v>488</v>
      </c>
      <c r="E41" s="184" t="s">
        <v>489</v>
      </c>
      <c r="F41" s="113" t="s">
        <v>490</v>
      </c>
      <c r="G41" s="329">
        <v>45520</v>
      </c>
      <c r="H41" s="206" t="s">
        <v>80</v>
      </c>
      <c r="I41" s="311"/>
      <c r="J41" s="313">
        <v>7851.5</v>
      </c>
      <c r="K41" s="314">
        <v>0</v>
      </c>
      <c r="L41" s="315">
        <f t="shared" ref="L41:L42" si="140">SUM(J41:K41)</f>
        <v>7851.5</v>
      </c>
      <c r="M41" s="316">
        <f t="shared" ref="M41:M42" si="141">IF(J41/15&lt;=SMG,0,K41/2)</f>
        <v>0</v>
      </c>
      <c r="N41" s="316">
        <f t="shared" ref="N41:N42" si="142">J41+M41</f>
        <v>7851.5</v>
      </c>
      <c r="O41" s="316">
        <f t="shared" ref="O41:O42" si="143">VLOOKUP(N41,Tarifa1,1)</f>
        <v>7641.91</v>
      </c>
      <c r="P41" s="316">
        <f t="shared" ref="P41:P42" si="144">N41-O41</f>
        <v>209.59000000000015</v>
      </c>
      <c r="Q41" s="317">
        <f t="shared" ref="Q41:Q42" si="145">VLOOKUP(N41,Tarifa1,3)</f>
        <v>0.21360000000000001</v>
      </c>
      <c r="R41" s="316">
        <f t="shared" ref="R41:R42" si="146">P41*Q41</f>
        <v>44.768424000000032</v>
      </c>
      <c r="S41" s="318">
        <f t="shared" ref="S41:S42" si="147">VLOOKUP(N41,Tarifa1,2)</f>
        <v>809.25</v>
      </c>
      <c r="T41" s="316">
        <f t="shared" ref="T41:T42" si="148">R41+S41</f>
        <v>854.01842399999998</v>
      </c>
      <c r="U41" s="316">
        <f t="shared" ref="U41:U42" si="149">VLOOKUP(N41,Credito1,2)</f>
        <v>0</v>
      </c>
      <c r="V41" s="316">
        <f t="shared" ref="V41:V42" si="150">ROUND(T41-U41,2)</f>
        <v>854.02</v>
      </c>
      <c r="W41" s="315">
        <f t="shared" ref="W41:W42" si="151">-IF(V41&gt;0,0,0)</f>
        <v>0</v>
      </c>
      <c r="X41" s="315">
        <f t="shared" ref="X41:X42" si="152">IF(J41/15&lt;=SMG,0,IF(V41&lt;0,0,V41))</f>
        <v>854.02</v>
      </c>
      <c r="Y41" s="319">
        <v>0</v>
      </c>
      <c r="Z41" s="315">
        <f t="shared" ref="Z41:Z42" si="153">SUM(X41:Y41)</f>
        <v>854.02</v>
      </c>
      <c r="AA41" s="315">
        <f t="shared" ref="AA41:AA42" si="154">L41+W41-Z41</f>
        <v>6997.48</v>
      </c>
      <c r="AB41" s="91"/>
      <c r="AC41" s="4"/>
    </row>
    <row r="42" spans="1:29" ht="158.25" customHeight="1" x14ac:dyDescent="0.3">
      <c r="A42" s="182"/>
      <c r="B42" s="330" t="s">
        <v>491</v>
      </c>
      <c r="C42" s="330" t="s">
        <v>121</v>
      </c>
      <c r="D42" s="255" t="s">
        <v>492</v>
      </c>
      <c r="E42" s="184" t="s">
        <v>494</v>
      </c>
      <c r="F42" s="113" t="s">
        <v>493</v>
      </c>
      <c r="G42" s="329">
        <v>45551</v>
      </c>
      <c r="H42" s="206" t="s">
        <v>80</v>
      </c>
      <c r="I42" s="311"/>
      <c r="J42" s="313">
        <v>7851.5</v>
      </c>
      <c r="K42" s="314">
        <v>0</v>
      </c>
      <c r="L42" s="315">
        <f t="shared" si="140"/>
        <v>7851.5</v>
      </c>
      <c r="M42" s="316">
        <f t="shared" si="141"/>
        <v>0</v>
      </c>
      <c r="N42" s="316">
        <f t="shared" si="142"/>
        <v>7851.5</v>
      </c>
      <c r="O42" s="316">
        <f t="shared" si="143"/>
        <v>7641.91</v>
      </c>
      <c r="P42" s="316">
        <f t="shared" si="144"/>
        <v>209.59000000000015</v>
      </c>
      <c r="Q42" s="317">
        <f t="shared" si="145"/>
        <v>0.21360000000000001</v>
      </c>
      <c r="R42" s="316">
        <f t="shared" si="146"/>
        <v>44.768424000000032</v>
      </c>
      <c r="S42" s="318">
        <f t="shared" si="147"/>
        <v>809.25</v>
      </c>
      <c r="T42" s="316">
        <f t="shared" si="148"/>
        <v>854.01842399999998</v>
      </c>
      <c r="U42" s="316">
        <f t="shared" si="149"/>
        <v>0</v>
      </c>
      <c r="V42" s="316">
        <f t="shared" si="150"/>
        <v>854.02</v>
      </c>
      <c r="W42" s="315">
        <f t="shared" si="151"/>
        <v>0</v>
      </c>
      <c r="X42" s="315">
        <f t="shared" si="152"/>
        <v>854.02</v>
      </c>
      <c r="Y42" s="319">
        <v>0</v>
      </c>
      <c r="Z42" s="315">
        <f t="shared" si="153"/>
        <v>854.02</v>
      </c>
      <c r="AA42" s="315">
        <f t="shared" si="154"/>
        <v>6997.48</v>
      </c>
      <c r="AB42" s="91"/>
      <c r="AC42" s="4"/>
    </row>
    <row r="43" spans="1:29" ht="158.25" customHeight="1" x14ac:dyDescent="0.3">
      <c r="A43" s="182"/>
      <c r="B43" s="330" t="s">
        <v>643</v>
      </c>
      <c r="C43" s="330" t="s">
        <v>121</v>
      </c>
      <c r="D43" s="255" t="s">
        <v>645</v>
      </c>
      <c r="E43" s="184" t="s">
        <v>647</v>
      </c>
      <c r="F43" s="113" t="s">
        <v>648</v>
      </c>
      <c r="G43" s="329">
        <v>45597</v>
      </c>
      <c r="H43" s="206" t="s">
        <v>80</v>
      </c>
      <c r="I43" s="311"/>
      <c r="J43" s="313">
        <v>7851.5</v>
      </c>
      <c r="K43" s="314">
        <v>0</v>
      </c>
      <c r="L43" s="315">
        <f t="shared" ref="L43" si="155">SUM(J43:K43)</f>
        <v>7851.5</v>
      </c>
      <c r="M43" s="316">
        <f t="shared" ref="M43" si="156">IF(J43/15&lt;=SMG,0,K43/2)</f>
        <v>0</v>
      </c>
      <c r="N43" s="316">
        <f t="shared" ref="N43" si="157">J43+M43</f>
        <v>7851.5</v>
      </c>
      <c r="O43" s="316">
        <f t="shared" ref="O43" si="158">VLOOKUP(N43,Tarifa1,1)</f>
        <v>7641.91</v>
      </c>
      <c r="P43" s="316">
        <f t="shared" ref="P43" si="159">N43-O43</f>
        <v>209.59000000000015</v>
      </c>
      <c r="Q43" s="317">
        <f t="shared" ref="Q43" si="160">VLOOKUP(N43,Tarifa1,3)</f>
        <v>0.21360000000000001</v>
      </c>
      <c r="R43" s="316">
        <f t="shared" ref="R43" si="161">P43*Q43</f>
        <v>44.768424000000032</v>
      </c>
      <c r="S43" s="318">
        <f t="shared" ref="S43" si="162">VLOOKUP(N43,Tarifa1,2)</f>
        <v>809.25</v>
      </c>
      <c r="T43" s="316">
        <f t="shared" ref="T43" si="163">R43+S43</f>
        <v>854.01842399999998</v>
      </c>
      <c r="U43" s="316">
        <f t="shared" ref="U43" si="164">VLOOKUP(N43,Credito1,2)</f>
        <v>0</v>
      </c>
      <c r="V43" s="316">
        <f t="shared" ref="V43" si="165">ROUND(T43-U43,2)</f>
        <v>854.02</v>
      </c>
      <c r="W43" s="315">
        <f t="shared" ref="W43" si="166">-IF(V43&gt;0,0,0)</f>
        <v>0</v>
      </c>
      <c r="X43" s="315">
        <f t="shared" ref="X43" si="167">IF(J43/15&lt;=SMG,0,IF(V43&lt;0,0,V43))</f>
        <v>854.02</v>
      </c>
      <c r="Y43" s="319">
        <v>0</v>
      </c>
      <c r="Z43" s="315">
        <f t="shared" ref="Z43" si="168">SUM(X43:Y43)</f>
        <v>854.02</v>
      </c>
      <c r="AA43" s="315">
        <f t="shared" ref="AA43" si="169">L43+W43-Z43</f>
        <v>6997.48</v>
      </c>
      <c r="AB43" s="91"/>
      <c r="AC43" s="4"/>
    </row>
    <row r="44" spans="1:29" ht="158.25" customHeight="1" x14ac:dyDescent="0.3">
      <c r="A44" s="182"/>
      <c r="B44" s="330" t="s">
        <v>644</v>
      </c>
      <c r="C44" s="330" t="s">
        <v>596</v>
      </c>
      <c r="D44" s="255" t="s">
        <v>646</v>
      </c>
      <c r="E44" s="184" t="s">
        <v>649</v>
      </c>
      <c r="F44" s="113" t="s">
        <v>650</v>
      </c>
      <c r="G44" s="329">
        <v>45597</v>
      </c>
      <c r="H44" s="206" t="s">
        <v>80</v>
      </c>
      <c r="I44" s="311"/>
      <c r="J44" s="313">
        <v>7851.5</v>
      </c>
      <c r="K44" s="314">
        <v>0</v>
      </c>
      <c r="L44" s="315">
        <f t="shared" si="110"/>
        <v>7851.5</v>
      </c>
      <c r="M44" s="316">
        <f t="shared" si="111"/>
        <v>0</v>
      </c>
      <c r="N44" s="316">
        <f t="shared" si="112"/>
        <v>7851.5</v>
      </c>
      <c r="O44" s="316">
        <f t="shared" si="113"/>
        <v>7641.91</v>
      </c>
      <c r="P44" s="316">
        <f t="shared" si="114"/>
        <v>209.59000000000015</v>
      </c>
      <c r="Q44" s="317">
        <f t="shared" si="115"/>
        <v>0.21360000000000001</v>
      </c>
      <c r="R44" s="316">
        <f t="shared" si="116"/>
        <v>44.768424000000032</v>
      </c>
      <c r="S44" s="318">
        <f t="shared" si="117"/>
        <v>809.25</v>
      </c>
      <c r="T44" s="316">
        <f t="shared" si="118"/>
        <v>854.01842399999998</v>
      </c>
      <c r="U44" s="316">
        <f t="shared" si="119"/>
        <v>0</v>
      </c>
      <c r="V44" s="316">
        <f t="shared" si="120"/>
        <v>854.02</v>
      </c>
      <c r="W44" s="315">
        <f t="shared" si="121"/>
        <v>0</v>
      </c>
      <c r="X44" s="315">
        <f t="shared" si="122"/>
        <v>854.02</v>
      </c>
      <c r="Y44" s="319">
        <v>0</v>
      </c>
      <c r="Z44" s="315">
        <f t="shared" si="123"/>
        <v>854.02</v>
      </c>
      <c r="AA44" s="315">
        <f t="shared" si="124"/>
        <v>6997.48</v>
      </c>
      <c r="AB44" s="91"/>
      <c r="AC44" s="4"/>
    </row>
    <row r="45" spans="1:29" ht="29.25" customHeight="1" thickBot="1" x14ac:dyDescent="0.35">
      <c r="A45" s="406" t="s">
        <v>44</v>
      </c>
      <c r="B45" s="407"/>
      <c r="C45" s="407"/>
      <c r="D45" s="407"/>
      <c r="E45" s="407"/>
      <c r="F45" s="407"/>
      <c r="G45" s="407"/>
      <c r="H45" s="407"/>
      <c r="I45" s="407"/>
      <c r="J45" s="322">
        <f>SUM(J9:J44)</f>
        <v>186170</v>
      </c>
      <c r="K45" s="322">
        <f>SUM(K9:K44)</f>
        <v>0</v>
      </c>
      <c r="L45" s="322">
        <f>SUM(L9:L44)</f>
        <v>186170</v>
      </c>
      <c r="M45" s="323">
        <f t="shared" ref="M45:V45" si="170">SUM(M9:M17)</f>
        <v>0</v>
      </c>
      <c r="N45" s="323">
        <f t="shared" si="170"/>
        <v>76249</v>
      </c>
      <c r="O45" s="323">
        <f t="shared" si="170"/>
        <v>68777.190000000017</v>
      </c>
      <c r="P45" s="323">
        <f t="shared" si="170"/>
        <v>7471.8100000000013</v>
      </c>
      <c r="Q45" s="323">
        <f t="shared" si="170"/>
        <v>1.9224000000000001</v>
      </c>
      <c r="R45" s="323">
        <f t="shared" si="170"/>
        <v>1595.9786160000008</v>
      </c>
      <c r="S45" s="323">
        <f t="shared" si="170"/>
        <v>7283.25</v>
      </c>
      <c r="T45" s="323">
        <f t="shared" si="170"/>
        <v>8879.2286159999985</v>
      </c>
      <c r="U45" s="323">
        <f t="shared" si="170"/>
        <v>0</v>
      </c>
      <c r="V45" s="323">
        <f t="shared" si="170"/>
        <v>8879.24</v>
      </c>
      <c r="W45" s="322">
        <f>SUM(W9:W44)</f>
        <v>0</v>
      </c>
      <c r="X45" s="322">
        <f>SUM(X9:X44)</f>
        <v>20835.520000000004</v>
      </c>
      <c r="Y45" s="322">
        <f>SUM(Y9:Y44)</f>
        <v>0</v>
      </c>
      <c r="Z45" s="322">
        <f>SUM(Z9:Z44)</f>
        <v>20835.520000000004</v>
      </c>
      <c r="AA45" s="322">
        <f>SUM(AA9:AA44)</f>
        <v>165334.48000000001</v>
      </c>
      <c r="AB45" s="4"/>
      <c r="AC45" s="4"/>
    </row>
    <row r="46" spans="1:29" ht="13.5" thickTop="1" x14ac:dyDescent="0.2"/>
    <row r="63" ht="6" customHeight="1" x14ac:dyDescent="0.2"/>
    <row r="65" spans="4:41" ht="18" x14ac:dyDescent="0.25">
      <c r="D65" s="334" t="s">
        <v>598</v>
      </c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334" t="s">
        <v>161</v>
      </c>
      <c r="Z65" s="114"/>
      <c r="AA65" s="114"/>
      <c r="AB65" s="114"/>
    </row>
    <row r="66" spans="4:41" ht="18" x14ac:dyDescent="0.25">
      <c r="D66" s="334" t="s">
        <v>624</v>
      </c>
      <c r="E66" s="334"/>
      <c r="F66" s="334"/>
      <c r="G66" s="334"/>
      <c r="H66" s="334"/>
      <c r="I66" s="334"/>
      <c r="J66" s="334"/>
      <c r="K66" s="334"/>
      <c r="L66" s="33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334" t="s">
        <v>241</v>
      </c>
      <c r="Z66" s="114"/>
      <c r="AA66" s="334"/>
      <c r="AB66" s="334"/>
      <c r="AC66" s="86"/>
      <c r="AD66" s="86"/>
      <c r="AE66" s="86"/>
      <c r="AF66" s="86"/>
      <c r="AG66" s="86"/>
      <c r="AH66" s="86"/>
      <c r="AI66" s="86"/>
      <c r="AJ66" s="86"/>
      <c r="AK66" s="86"/>
      <c r="AN66" s="86"/>
      <c r="AO66" s="86"/>
    </row>
    <row r="71" spans="4:41" x14ac:dyDescent="0.2">
      <c r="E71" s="4"/>
    </row>
  </sheetData>
  <mergeCells count="15">
    <mergeCell ref="A45:I45"/>
    <mergeCell ref="A1:AB1"/>
    <mergeCell ref="A2:AB2"/>
    <mergeCell ref="J5:L5"/>
    <mergeCell ref="O5:T5"/>
    <mergeCell ref="X5:Z5"/>
    <mergeCell ref="B3:AB3"/>
    <mergeCell ref="B21:AB21"/>
    <mergeCell ref="B22:AB22"/>
    <mergeCell ref="B24:AB24"/>
    <mergeCell ref="B23:AB23"/>
    <mergeCell ref="B38:AB38"/>
    <mergeCell ref="B36:AB36"/>
    <mergeCell ref="B37:AB37"/>
    <mergeCell ref="B8:D8"/>
  </mergeCells>
  <pageMargins left="0.35433070866141736" right="0.15748031496062992" top="0.19685039370078741" bottom="7.874015748031496E-2" header="0.31496062992125984" footer="0.31496062992125984"/>
  <pageSetup scale="35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8"/>
  <sheetViews>
    <sheetView topLeftCell="B9" zoomScale="73" zoomScaleNormal="73" workbookViewId="0">
      <selection activeCell="D39" sqref="D39"/>
    </sheetView>
  </sheetViews>
  <sheetFormatPr baseColWidth="10" defaultColWidth="11.42578125" defaultRowHeight="12.75" x14ac:dyDescent="0.2"/>
  <cols>
    <col min="1" max="1" width="5.5703125" style="68" hidden="1" customWidth="1"/>
    <col min="2" max="2" width="9.42578125" style="68" customWidth="1"/>
    <col min="3" max="3" width="7.7109375" style="68" customWidth="1"/>
    <col min="4" max="4" width="27.5703125" style="68" customWidth="1"/>
    <col min="5" max="5" width="24.28515625" style="68" customWidth="1"/>
    <col min="6" max="6" width="33.28515625" style="68" customWidth="1"/>
    <col min="7" max="7" width="17.5703125" style="68" customWidth="1"/>
    <col min="8" max="8" width="19.5703125" style="68" customWidth="1"/>
    <col min="9" max="9" width="6.5703125" style="68" hidden="1" customWidth="1"/>
    <col min="10" max="10" width="10" style="68" hidden="1" customWidth="1"/>
    <col min="11" max="11" width="16.28515625" style="68" customWidth="1"/>
    <col min="12" max="12" width="14" style="68" customWidth="1"/>
    <col min="13" max="13" width="15.7109375" style="68" customWidth="1"/>
    <col min="14" max="14" width="13.140625" style="68" hidden="1" customWidth="1"/>
    <col min="15" max="17" width="14.28515625" style="68" hidden="1" customWidth="1"/>
    <col min="18" max="19" width="13.140625" style="68" hidden="1" customWidth="1"/>
    <col min="20" max="20" width="10.5703125" style="68" hidden="1" customWidth="1"/>
    <col min="21" max="22" width="13.140625" style="68" hidden="1" customWidth="1"/>
    <col min="23" max="23" width="11.5703125" style="68" hidden="1" customWidth="1"/>
    <col min="24" max="24" width="9.7109375" style="68" customWidth="1"/>
    <col min="25" max="25" width="14.42578125" style="68" customWidth="1"/>
    <col min="26" max="26" width="13.28515625" style="68" customWidth="1"/>
    <col min="27" max="27" width="15" style="68" customWidth="1"/>
    <col min="28" max="28" width="15.85546875" style="68" customWidth="1"/>
    <col min="29" max="29" width="61.42578125" style="68" customWidth="1"/>
    <col min="30" max="16384" width="11.42578125" style="68"/>
  </cols>
  <sheetData>
    <row r="1" spans="1:29" ht="18" x14ac:dyDescent="0.25">
      <c r="A1" s="421" t="s">
        <v>77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1"/>
    </row>
    <row r="2" spans="1:29" ht="18" x14ac:dyDescent="0.25">
      <c r="A2" s="421" t="s">
        <v>64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X2" s="421"/>
      <c r="Y2" s="421"/>
      <c r="Z2" s="421"/>
      <c r="AA2" s="421"/>
      <c r="AB2" s="421"/>
      <c r="AC2" s="421"/>
    </row>
    <row r="3" spans="1:29" ht="19.5" x14ac:dyDescent="0.25">
      <c r="A3" s="410" t="str">
        <f>CHOFERES!A3</f>
        <v>SUELDO  DEL 16 AL 30 DE NOVIEMBRE DE 2024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0"/>
      <c r="Z3" s="410"/>
      <c r="AA3" s="410"/>
      <c r="AB3" s="410"/>
      <c r="AC3" s="410"/>
    </row>
    <row r="4" spans="1:29" ht="15" x14ac:dyDescent="0.2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</row>
    <row r="5" spans="1:29" x14ac:dyDescent="0.2">
      <c r="A5" s="69"/>
      <c r="B5" s="69"/>
      <c r="C5" s="69"/>
      <c r="D5" s="69"/>
      <c r="E5" s="69"/>
      <c r="F5" s="69"/>
      <c r="G5" s="69"/>
      <c r="H5" s="69"/>
      <c r="I5" s="70" t="s">
        <v>22</v>
      </c>
      <c r="J5" s="70" t="s">
        <v>5</v>
      </c>
      <c r="K5" s="461" t="s">
        <v>1</v>
      </c>
      <c r="L5" s="462"/>
      <c r="M5" s="463"/>
      <c r="N5" s="71" t="s">
        <v>25</v>
      </c>
      <c r="O5" s="72"/>
      <c r="P5" s="464" t="s">
        <v>8</v>
      </c>
      <c r="Q5" s="465"/>
      <c r="R5" s="465"/>
      <c r="S5" s="465"/>
      <c r="T5" s="465"/>
      <c r="U5" s="466"/>
      <c r="V5" s="71" t="s">
        <v>29</v>
      </c>
      <c r="W5" s="71" t="s">
        <v>9</v>
      </c>
      <c r="X5" s="70" t="s">
        <v>52</v>
      </c>
      <c r="Y5" s="467" t="s">
        <v>2</v>
      </c>
      <c r="Z5" s="468"/>
      <c r="AA5" s="469"/>
      <c r="AB5" s="70" t="s">
        <v>0</v>
      </c>
      <c r="AC5" s="73"/>
    </row>
    <row r="6" spans="1:29" ht="22.5" x14ac:dyDescent="0.2">
      <c r="A6" s="74" t="s">
        <v>20</v>
      </c>
      <c r="B6" s="75" t="s">
        <v>100</v>
      </c>
      <c r="C6" s="75" t="s">
        <v>122</v>
      </c>
      <c r="D6" s="74" t="s">
        <v>21</v>
      </c>
      <c r="E6" s="74"/>
      <c r="F6" s="74"/>
      <c r="G6" s="74"/>
      <c r="H6" s="74"/>
      <c r="I6" s="76" t="s">
        <v>23</v>
      </c>
      <c r="J6" s="74" t="s">
        <v>24</v>
      </c>
      <c r="K6" s="70" t="s">
        <v>5</v>
      </c>
      <c r="L6" s="70" t="s">
        <v>58</v>
      </c>
      <c r="M6" s="70" t="s">
        <v>27</v>
      </c>
      <c r="N6" s="77" t="s">
        <v>26</v>
      </c>
      <c r="O6" s="72" t="s">
        <v>31</v>
      </c>
      <c r="P6" s="72" t="s">
        <v>11</v>
      </c>
      <c r="Q6" s="72" t="s">
        <v>33</v>
      </c>
      <c r="R6" s="72" t="s">
        <v>35</v>
      </c>
      <c r="S6" s="72" t="s">
        <v>36</v>
      </c>
      <c r="T6" s="72" t="s">
        <v>13</v>
      </c>
      <c r="U6" s="72" t="s">
        <v>9</v>
      </c>
      <c r="V6" s="77" t="s">
        <v>39</v>
      </c>
      <c r="W6" s="77" t="s">
        <v>40</v>
      </c>
      <c r="X6" s="74" t="s">
        <v>30</v>
      </c>
      <c r="Y6" s="23" t="s">
        <v>312</v>
      </c>
      <c r="Z6" s="70" t="s">
        <v>56</v>
      </c>
      <c r="AA6" s="70" t="s">
        <v>6</v>
      </c>
      <c r="AB6" s="74" t="s">
        <v>3</v>
      </c>
      <c r="AC6" s="78" t="s">
        <v>57</v>
      </c>
    </row>
    <row r="7" spans="1:29" x14ac:dyDescent="0.2">
      <c r="A7" s="79"/>
      <c r="B7" s="74"/>
      <c r="C7" s="74"/>
      <c r="D7" s="74"/>
      <c r="E7" s="74"/>
      <c r="F7" s="74"/>
      <c r="G7" s="74"/>
      <c r="H7" s="74"/>
      <c r="I7" s="74"/>
      <c r="J7" s="74"/>
      <c r="K7" s="74" t="s">
        <v>46</v>
      </c>
      <c r="L7" s="74" t="s">
        <v>59</v>
      </c>
      <c r="M7" s="74" t="s">
        <v>28</v>
      </c>
      <c r="N7" s="77" t="s">
        <v>42</v>
      </c>
      <c r="O7" s="71" t="s">
        <v>32</v>
      </c>
      <c r="P7" s="71" t="s">
        <v>12</v>
      </c>
      <c r="Q7" s="71" t="s">
        <v>34</v>
      </c>
      <c r="R7" s="71" t="s">
        <v>34</v>
      </c>
      <c r="S7" s="71" t="s">
        <v>37</v>
      </c>
      <c r="T7" s="71" t="s">
        <v>14</v>
      </c>
      <c r="U7" s="71" t="s">
        <v>38</v>
      </c>
      <c r="V7" s="77" t="s">
        <v>18</v>
      </c>
      <c r="W7" s="80" t="s">
        <v>133</v>
      </c>
      <c r="X7" s="74" t="s">
        <v>51</v>
      </c>
      <c r="Y7" s="74"/>
      <c r="Z7" s="74"/>
      <c r="AA7" s="74" t="s">
        <v>43</v>
      </c>
      <c r="AB7" s="74" t="s">
        <v>4</v>
      </c>
      <c r="AC7" s="81"/>
    </row>
    <row r="8" spans="1:29" ht="37.5" customHeight="1" x14ac:dyDescent="0.25">
      <c r="A8" s="82"/>
      <c r="B8" s="83"/>
      <c r="C8" s="83"/>
      <c r="D8" s="136" t="s">
        <v>140</v>
      </c>
      <c r="E8" s="37" t="s">
        <v>101</v>
      </c>
      <c r="F8" s="37" t="s">
        <v>247</v>
      </c>
      <c r="G8" s="103" t="s">
        <v>321</v>
      </c>
      <c r="H8" s="84" t="s">
        <v>61</v>
      </c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5"/>
    </row>
    <row r="9" spans="1:29" ht="120.75" customHeight="1" x14ac:dyDescent="0.25">
      <c r="A9" s="82"/>
      <c r="B9" s="161">
        <v>390</v>
      </c>
      <c r="C9" s="142" t="s">
        <v>121</v>
      </c>
      <c r="D9" s="175" t="s">
        <v>609</v>
      </c>
      <c r="E9" s="174" t="s">
        <v>610</v>
      </c>
      <c r="F9" s="174" t="s">
        <v>611</v>
      </c>
      <c r="G9" s="291">
        <v>45582</v>
      </c>
      <c r="H9" s="175" t="s">
        <v>608</v>
      </c>
      <c r="I9" s="174"/>
      <c r="J9" s="174"/>
      <c r="K9" s="147">
        <v>9833.5</v>
      </c>
      <c r="L9" s="148">
        <v>0</v>
      </c>
      <c r="M9" s="149">
        <f t="shared" ref="M9" si="0">SUM(K9:L9)</f>
        <v>9833.5</v>
      </c>
      <c r="N9" s="150">
        <f t="shared" ref="N9" si="1">IF(K9/15&lt;=SMG,0,L9/2)</f>
        <v>0</v>
      </c>
      <c r="O9" s="150">
        <f t="shared" ref="O9" si="2">K9+N9</f>
        <v>9833.5</v>
      </c>
      <c r="P9" s="150">
        <f t="shared" ref="P9" si="3">VLOOKUP(O9,Tarifa1,1)</f>
        <v>7641.91</v>
      </c>
      <c r="Q9" s="150">
        <f>O9-P9</f>
        <v>2191.59</v>
      </c>
      <c r="R9" s="151">
        <f t="shared" ref="R9" si="4">VLOOKUP(O9,Tarifa1,3)</f>
        <v>0.21360000000000001</v>
      </c>
      <c r="S9" s="150">
        <f>Q9*R9</f>
        <v>468.12362400000006</v>
      </c>
      <c r="T9" s="152">
        <f t="shared" ref="T9" si="5">VLOOKUP(O9,Tarifa1,2)</f>
        <v>809.25</v>
      </c>
      <c r="U9" s="150">
        <f>S9+T9</f>
        <v>1277.3736240000001</v>
      </c>
      <c r="V9" s="150">
        <f t="shared" ref="V9" si="6">VLOOKUP(O9,Credito1,2)</f>
        <v>0</v>
      </c>
      <c r="W9" s="150">
        <f>ROUND(U9-V9,2)</f>
        <v>1277.3699999999999</v>
      </c>
      <c r="X9" s="149">
        <f>-IF(W9&gt;0,0,0)</f>
        <v>0</v>
      </c>
      <c r="Y9" s="149">
        <f t="shared" ref="Y9" si="7">IF(K9/15&lt;=SMG,0,IF(W9&lt;0,0,W9))</f>
        <v>1277.3699999999999</v>
      </c>
      <c r="Z9" s="153">
        <v>0</v>
      </c>
      <c r="AA9" s="149">
        <f t="shared" ref="AA9" si="8">SUM(Y9:Z9)</f>
        <v>1277.3699999999999</v>
      </c>
      <c r="AB9" s="149">
        <f t="shared" ref="AB9" si="9">M9+X9-AA9</f>
        <v>8556.130000000001</v>
      </c>
      <c r="AC9" s="174"/>
    </row>
    <row r="10" spans="1:29" ht="120.75" customHeight="1" x14ac:dyDescent="0.25">
      <c r="A10" s="82"/>
      <c r="B10" s="161">
        <v>391</v>
      </c>
      <c r="C10" s="142" t="s">
        <v>121</v>
      </c>
      <c r="D10" s="175" t="s">
        <v>612</v>
      </c>
      <c r="E10" s="174" t="s">
        <v>613</v>
      </c>
      <c r="F10" s="174" t="s">
        <v>614</v>
      </c>
      <c r="G10" s="291">
        <v>45586</v>
      </c>
      <c r="H10" s="175" t="s">
        <v>608</v>
      </c>
      <c r="I10" s="174"/>
      <c r="J10" s="174"/>
      <c r="K10" s="147">
        <v>9833.5</v>
      </c>
      <c r="L10" s="148">
        <v>0</v>
      </c>
      <c r="M10" s="149">
        <f t="shared" ref="M10:M11" si="10">SUM(K10:L10)</f>
        <v>9833.5</v>
      </c>
      <c r="N10" s="150">
        <f t="shared" ref="N10:N11" si="11">IF(K10/15&lt;=SMG,0,L10/2)</f>
        <v>0</v>
      </c>
      <c r="O10" s="150">
        <f t="shared" ref="O10:O11" si="12">K10+N10</f>
        <v>9833.5</v>
      </c>
      <c r="P10" s="150">
        <f t="shared" ref="P10:P11" si="13">VLOOKUP(O10,Tarifa1,1)</f>
        <v>7641.91</v>
      </c>
      <c r="Q10" s="150">
        <f>O10-P10</f>
        <v>2191.59</v>
      </c>
      <c r="R10" s="151">
        <f t="shared" ref="R10:R11" si="14">VLOOKUP(O10,Tarifa1,3)</f>
        <v>0.21360000000000001</v>
      </c>
      <c r="S10" s="150">
        <f>Q10*R10</f>
        <v>468.12362400000006</v>
      </c>
      <c r="T10" s="152">
        <f t="shared" ref="T10:T11" si="15">VLOOKUP(O10,Tarifa1,2)</f>
        <v>809.25</v>
      </c>
      <c r="U10" s="150">
        <f>S10+T10</f>
        <v>1277.3736240000001</v>
      </c>
      <c r="V10" s="150">
        <f t="shared" ref="V10:V11" si="16">VLOOKUP(O10,Credito1,2)</f>
        <v>0</v>
      </c>
      <c r="W10" s="150">
        <f>ROUND(U10-V10,2)</f>
        <v>1277.3699999999999</v>
      </c>
      <c r="X10" s="149">
        <f>-IF(W10&gt;0,0,0)</f>
        <v>0</v>
      </c>
      <c r="Y10" s="149">
        <f t="shared" ref="Y10:Y11" si="17">IF(K10/15&lt;=SMG,0,IF(W10&lt;0,0,W10))</f>
        <v>1277.3699999999999</v>
      </c>
      <c r="Z10" s="153">
        <v>0</v>
      </c>
      <c r="AA10" s="149">
        <f t="shared" ref="AA10:AA11" si="18">SUM(Y10:Z10)</f>
        <v>1277.3699999999999</v>
      </c>
      <c r="AB10" s="149">
        <f t="shared" ref="AB10:AB11" si="19">M10+X10-AA10</f>
        <v>8556.130000000001</v>
      </c>
      <c r="AC10" s="174"/>
    </row>
    <row r="11" spans="1:29" ht="120.75" customHeight="1" x14ac:dyDescent="0.25">
      <c r="A11" s="82"/>
      <c r="B11" s="161">
        <v>392</v>
      </c>
      <c r="C11" s="142" t="s">
        <v>121</v>
      </c>
      <c r="D11" s="175" t="s">
        <v>605</v>
      </c>
      <c r="E11" s="174" t="s">
        <v>606</v>
      </c>
      <c r="F11" s="174" t="s">
        <v>607</v>
      </c>
      <c r="G11" s="291">
        <v>45586</v>
      </c>
      <c r="H11" s="175" t="s">
        <v>608</v>
      </c>
      <c r="I11" s="174"/>
      <c r="J11" s="174"/>
      <c r="K11" s="147">
        <v>9833.5</v>
      </c>
      <c r="L11" s="148">
        <v>0</v>
      </c>
      <c r="M11" s="149">
        <f t="shared" si="10"/>
        <v>9833.5</v>
      </c>
      <c r="N11" s="150">
        <f t="shared" si="11"/>
        <v>0</v>
      </c>
      <c r="O11" s="150">
        <f t="shared" si="12"/>
        <v>9833.5</v>
      </c>
      <c r="P11" s="150">
        <f t="shared" si="13"/>
        <v>7641.91</v>
      </c>
      <c r="Q11" s="150">
        <f>O11-P11</f>
        <v>2191.59</v>
      </c>
      <c r="R11" s="151">
        <f t="shared" si="14"/>
        <v>0.21360000000000001</v>
      </c>
      <c r="S11" s="150">
        <f>Q11*R11</f>
        <v>468.12362400000006</v>
      </c>
      <c r="T11" s="152">
        <f t="shared" si="15"/>
        <v>809.25</v>
      </c>
      <c r="U11" s="150">
        <f>S11+T11</f>
        <v>1277.3736240000001</v>
      </c>
      <c r="V11" s="150">
        <f t="shared" si="16"/>
        <v>0</v>
      </c>
      <c r="W11" s="150">
        <f>ROUND(U11-V11,2)</f>
        <v>1277.3699999999999</v>
      </c>
      <c r="X11" s="149">
        <f>-IF(W11&gt;0,0,0)</f>
        <v>0</v>
      </c>
      <c r="Y11" s="149">
        <f t="shared" si="17"/>
        <v>1277.3699999999999</v>
      </c>
      <c r="Z11" s="153">
        <v>0</v>
      </c>
      <c r="AA11" s="149">
        <f t="shared" si="18"/>
        <v>1277.3699999999999</v>
      </c>
      <c r="AB11" s="149">
        <f t="shared" si="19"/>
        <v>8556.130000000001</v>
      </c>
      <c r="AC11" s="174"/>
    </row>
    <row r="12" spans="1:29" s="95" customFormat="1" ht="120.75" customHeight="1" x14ac:dyDescent="0.25">
      <c r="A12" s="112"/>
      <c r="B12" s="142" t="s">
        <v>211</v>
      </c>
      <c r="C12" s="142" t="s">
        <v>121</v>
      </c>
      <c r="D12" s="183" t="s">
        <v>209</v>
      </c>
      <c r="E12" s="184" t="s">
        <v>210</v>
      </c>
      <c r="F12" s="184" t="s">
        <v>277</v>
      </c>
      <c r="G12" s="213">
        <v>43998</v>
      </c>
      <c r="H12" s="143" t="s">
        <v>138</v>
      </c>
      <c r="I12" s="145"/>
      <c r="J12" s="146"/>
      <c r="K12" s="147">
        <v>5940.5</v>
      </c>
      <c r="L12" s="148">
        <v>0</v>
      </c>
      <c r="M12" s="149">
        <f t="shared" ref="M12" si="20">SUM(K12:L12)</f>
        <v>5940.5</v>
      </c>
      <c r="N12" s="150">
        <f t="shared" ref="N12" si="21">IF(K12/15&lt;=SMG,0,L12/2)</f>
        <v>0</v>
      </c>
      <c r="O12" s="150">
        <f t="shared" ref="O12:O13" si="22">K12+N12</f>
        <v>5940.5</v>
      </c>
      <c r="P12" s="150">
        <f t="shared" ref="P12:P13" si="23">VLOOKUP(O12,Tarifa1,1)</f>
        <v>5490.76</v>
      </c>
      <c r="Q12" s="150">
        <f t="shared" ref="Q12:Q13" si="24">O12-P12</f>
        <v>449.73999999999978</v>
      </c>
      <c r="R12" s="151">
        <f t="shared" ref="R12:R13" si="25">VLOOKUP(O12,Tarifa1,3)</f>
        <v>0.16</v>
      </c>
      <c r="S12" s="150">
        <f t="shared" ref="S12:S13" si="26">Q12*R12</f>
        <v>71.958399999999969</v>
      </c>
      <c r="T12" s="152">
        <f t="shared" ref="T12:T13" si="27">VLOOKUP(O12,Tarifa1,2)</f>
        <v>441</v>
      </c>
      <c r="U12" s="150">
        <f t="shared" ref="U12:U13" si="28">S12+T12</f>
        <v>512.95839999999998</v>
      </c>
      <c r="V12" s="150">
        <f t="shared" ref="V12:V13" si="29">VLOOKUP(O12,Credito1,2)</f>
        <v>0</v>
      </c>
      <c r="W12" s="150">
        <f t="shared" ref="W12:W13" si="30">ROUND(U12-V12,2)</f>
        <v>512.96</v>
      </c>
      <c r="X12" s="149">
        <f t="shared" ref="X12:X16" si="31">-IF(W12&gt;0,0,0)</f>
        <v>0</v>
      </c>
      <c r="Y12" s="149">
        <f t="shared" ref="Y12:Y13" si="32">IF(K12/15&lt;=SMG,0,IF(W12&lt;0,0,W12))</f>
        <v>512.96</v>
      </c>
      <c r="Z12" s="153">
        <v>0</v>
      </c>
      <c r="AA12" s="149">
        <f t="shared" ref="AA12" si="33">SUM(Y12:Z12)</f>
        <v>512.96</v>
      </c>
      <c r="AB12" s="149">
        <f t="shared" ref="AB12" si="34">M12+X12-AA12</f>
        <v>5427.54</v>
      </c>
      <c r="AC12" s="113"/>
    </row>
    <row r="13" spans="1:29" s="95" customFormat="1" ht="120.75" customHeight="1" x14ac:dyDescent="0.25">
      <c r="A13" s="112"/>
      <c r="B13" s="142" t="s">
        <v>317</v>
      </c>
      <c r="C13" s="142" t="s">
        <v>121</v>
      </c>
      <c r="D13" s="183" t="s">
        <v>318</v>
      </c>
      <c r="E13" s="184" t="s">
        <v>319</v>
      </c>
      <c r="F13" s="184" t="s">
        <v>320</v>
      </c>
      <c r="G13" s="213">
        <v>44942</v>
      </c>
      <c r="H13" s="143" t="s">
        <v>138</v>
      </c>
      <c r="I13" s="145"/>
      <c r="J13" s="146"/>
      <c r="K13" s="147">
        <v>5367</v>
      </c>
      <c r="L13" s="148">
        <v>0</v>
      </c>
      <c r="M13" s="149">
        <f t="shared" ref="M13" si="35">SUM(K13:L13)</f>
        <v>5367</v>
      </c>
      <c r="N13" s="150">
        <f t="shared" ref="N13" si="36">IF(K13/15&lt;=SMG,0,L13/2)</f>
        <v>0</v>
      </c>
      <c r="O13" s="150">
        <f t="shared" si="22"/>
        <v>5367</v>
      </c>
      <c r="P13" s="150">
        <f t="shared" si="23"/>
        <v>3124.36</v>
      </c>
      <c r="Q13" s="150">
        <f t="shared" si="24"/>
        <v>2242.64</v>
      </c>
      <c r="R13" s="151">
        <f t="shared" si="25"/>
        <v>0.10879999999999999</v>
      </c>
      <c r="S13" s="150">
        <f t="shared" si="26"/>
        <v>243.99923199999998</v>
      </c>
      <c r="T13" s="152">
        <f t="shared" si="27"/>
        <v>183.45</v>
      </c>
      <c r="U13" s="150">
        <f t="shared" si="28"/>
        <v>427.44923199999994</v>
      </c>
      <c r="V13" s="150">
        <f t="shared" si="29"/>
        <v>0</v>
      </c>
      <c r="W13" s="150">
        <f t="shared" si="30"/>
        <v>427.45</v>
      </c>
      <c r="X13" s="149">
        <f t="shared" si="31"/>
        <v>0</v>
      </c>
      <c r="Y13" s="149">
        <f t="shared" si="32"/>
        <v>427.45</v>
      </c>
      <c r="Z13" s="153">
        <v>0</v>
      </c>
      <c r="AA13" s="149">
        <f t="shared" ref="AA13" si="37">SUM(Y13:Z13)</f>
        <v>427.45</v>
      </c>
      <c r="AB13" s="149">
        <f t="shared" ref="AB13" si="38">M13+X13-AA13</f>
        <v>4939.55</v>
      </c>
      <c r="AC13" s="94"/>
    </row>
    <row r="14" spans="1:29" s="95" customFormat="1" ht="120.75" customHeight="1" x14ac:dyDescent="0.25">
      <c r="A14" s="112"/>
      <c r="B14" s="142" t="s">
        <v>479</v>
      </c>
      <c r="C14" s="142" t="s">
        <v>480</v>
      </c>
      <c r="D14" s="183" t="s">
        <v>481</v>
      </c>
      <c r="E14" s="184" t="s">
        <v>482</v>
      </c>
      <c r="F14" s="184" t="s">
        <v>483</v>
      </c>
      <c r="G14" s="213">
        <v>45481</v>
      </c>
      <c r="H14" s="143" t="s">
        <v>138</v>
      </c>
      <c r="I14" s="145"/>
      <c r="J14" s="146"/>
      <c r="K14" s="147">
        <v>5367</v>
      </c>
      <c r="L14" s="148">
        <v>0</v>
      </c>
      <c r="M14" s="149">
        <f t="shared" ref="M14:M15" si="39">SUM(K14:L14)</f>
        <v>5367</v>
      </c>
      <c r="N14" s="150">
        <f t="shared" ref="N14:N15" si="40">IF(K14/15&lt;=SMG,0,L14/2)</f>
        <v>0</v>
      </c>
      <c r="O14" s="150">
        <f t="shared" ref="O14:O15" si="41">K14+N14</f>
        <v>5367</v>
      </c>
      <c r="P14" s="150">
        <f t="shared" ref="P14:P15" si="42">VLOOKUP(O14,Tarifa1,1)</f>
        <v>3124.36</v>
      </c>
      <c r="Q14" s="150">
        <f t="shared" ref="Q14:Q15" si="43">O14-P14</f>
        <v>2242.64</v>
      </c>
      <c r="R14" s="151">
        <f t="shared" ref="R14:R15" si="44">VLOOKUP(O14,Tarifa1,3)</f>
        <v>0.10879999999999999</v>
      </c>
      <c r="S14" s="150">
        <f t="shared" ref="S14:S15" si="45">Q14*R14</f>
        <v>243.99923199999998</v>
      </c>
      <c r="T14" s="152">
        <f t="shared" ref="T14:T15" si="46">VLOOKUP(O14,Tarifa1,2)</f>
        <v>183.45</v>
      </c>
      <c r="U14" s="150">
        <f t="shared" ref="U14:U15" si="47">S14+T14</f>
        <v>427.44923199999994</v>
      </c>
      <c r="V14" s="150">
        <f t="shared" ref="V14:V15" si="48">VLOOKUP(O14,Credito1,2)</f>
        <v>0</v>
      </c>
      <c r="W14" s="150">
        <f t="shared" ref="W14:W15" si="49">ROUND(U14-V14,2)</f>
        <v>427.45</v>
      </c>
      <c r="X14" s="149">
        <f t="shared" ref="X14:X15" si="50">-IF(W14&gt;0,0,0)</f>
        <v>0</v>
      </c>
      <c r="Y14" s="149">
        <f t="shared" ref="Y14:Y15" si="51">IF(K14/15&lt;=SMG,0,IF(W14&lt;0,0,W14))</f>
        <v>427.45</v>
      </c>
      <c r="Z14" s="153">
        <v>0</v>
      </c>
      <c r="AA14" s="149">
        <f t="shared" ref="AA14:AA15" si="52">SUM(Y14:Z14)</f>
        <v>427.45</v>
      </c>
      <c r="AB14" s="149">
        <f t="shared" ref="AB14:AB15" si="53">M14+X14-AA14</f>
        <v>4939.55</v>
      </c>
      <c r="AC14" s="94"/>
    </row>
    <row r="15" spans="1:29" s="95" customFormat="1" ht="120.75" customHeight="1" x14ac:dyDescent="0.25">
      <c r="A15" s="112"/>
      <c r="B15" s="142" t="s">
        <v>141</v>
      </c>
      <c r="C15" s="142" t="s">
        <v>121</v>
      </c>
      <c r="D15" s="183" t="s">
        <v>137</v>
      </c>
      <c r="E15" s="184" t="s">
        <v>142</v>
      </c>
      <c r="F15" s="184" t="s">
        <v>258</v>
      </c>
      <c r="G15" s="213">
        <v>43101</v>
      </c>
      <c r="H15" s="144" t="s">
        <v>139</v>
      </c>
      <c r="I15" s="145">
        <v>15</v>
      </c>
      <c r="J15" s="146">
        <f>K15/I15</f>
        <v>356.03333333333336</v>
      </c>
      <c r="K15" s="147">
        <v>5340.5</v>
      </c>
      <c r="L15" s="148">
        <v>356.03</v>
      </c>
      <c r="M15" s="149">
        <f t="shared" si="39"/>
        <v>5696.53</v>
      </c>
      <c r="N15" s="150">
        <f t="shared" si="40"/>
        <v>178.01499999999999</v>
      </c>
      <c r="O15" s="150">
        <f t="shared" si="41"/>
        <v>5518.5150000000003</v>
      </c>
      <c r="P15" s="150">
        <f t="shared" si="42"/>
        <v>5490.76</v>
      </c>
      <c r="Q15" s="150">
        <f t="shared" si="43"/>
        <v>27.755000000000109</v>
      </c>
      <c r="R15" s="151">
        <f t="shared" si="44"/>
        <v>0.16</v>
      </c>
      <c r="S15" s="150">
        <f t="shared" si="45"/>
        <v>4.4408000000000172</v>
      </c>
      <c r="T15" s="152">
        <f t="shared" si="46"/>
        <v>441</v>
      </c>
      <c r="U15" s="150">
        <f t="shared" si="47"/>
        <v>445.44080000000002</v>
      </c>
      <c r="V15" s="150">
        <f t="shared" si="48"/>
        <v>0</v>
      </c>
      <c r="W15" s="150">
        <f t="shared" si="49"/>
        <v>445.44</v>
      </c>
      <c r="X15" s="149">
        <f t="shared" si="50"/>
        <v>0</v>
      </c>
      <c r="Y15" s="149">
        <f t="shared" si="51"/>
        <v>445.44</v>
      </c>
      <c r="Z15" s="153">
        <v>0</v>
      </c>
      <c r="AA15" s="149">
        <f t="shared" si="52"/>
        <v>445.44</v>
      </c>
      <c r="AB15" s="149">
        <f t="shared" si="53"/>
        <v>5251.09</v>
      </c>
      <c r="AC15" s="94"/>
    </row>
    <row r="16" spans="1:29" s="95" customFormat="1" ht="120.75" customHeight="1" x14ac:dyDescent="0.25">
      <c r="A16" s="112"/>
      <c r="B16" s="176">
        <v>328</v>
      </c>
      <c r="C16" s="142" t="s">
        <v>121</v>
      </c>
      <c r="D16" s="205" t="s">
        <v>484</v>
      </c>
      <c r="E16" s="180" t="s">
        <v>485</v>
      </c>
      <c r="F16" s="180" t="s">
        <v>486</v>
      </c>
      <c r="G16" s="213">
        <v>45505</v>
      </c>
      <c r="H16" s="144" t="s">
        <v>139</v>
      </c>
      <c r="I16" s="145">
        <v>15</v>
      </c>
      <c r="J16" s="146">
        <f>K16/I16</f>
        <v>356.03333333333336</v>
      </c>
      <c r="K16" s="147">
        <v>5340.5</v>
      </c>
      <c r="L16" s="148">
        <v>0</v>
      </c>
      <c r="M16" s="149">
        <f t="shared" ref="M16" si="54">SUM(K16:L16)</f>
        <v>5340.5</v>
      </c>
      <c r="N16" s="150">
        <f t="shared" ref="N16" si="55">IF(K16/15&lt;=SMG,0,L16/2)</f>
        <v>0</v>
      </c>
      <c r="O16" s="150">
        <f t="shared" ref="O16" si="56">K16+N16</f>
        <v>5340.5</v>
      </c>
      <c r="P16" s="150">
        <f t="shared" ref="P16" si="57">VLOOKUP(O16,Tarifa1,1)</f>
        <v>3124.36</v>
      </c>
      <c r="Q16" s="150">
        <f t="shared" ref="Q16" si="58">O16-P16</f>
        <v>2216.14</v>
      </c>
      <c r="R16" s="151">
        <f t="shared" ref="R16" si="59">VLOOKUP(O16,Tarifa1,3)</f>
        <v>0.10879999999999999</v>
      </c>
      <c r="S16" s="150">
        <f t="shared" ref="S16" si="60">Q16*R16</f>
        <v>241.11603199999996</v>
      </c>
      <c r="T16" s="152">
        <f t="shared" ref="T16" si="61">VLOOKUP(O16,Tarifa1,2)</f>
        <v>183.45</v>
      </c>
      <c r="U16" s="150">
        <f t="shared" ref="U16" si="62">S16+T16</f>
        <v>424.56603199999995</v>
      </c>
      <c r="V16" s="150">
        <f t="shared" ref="V16" si="63">VLOOKUP(O16,Credito1,2)</f>
        <v>0</v>
      </c>
      <c r="W16" s="150">
        <f t="shared" ref="W16" si="64">ROUND(U16-V16,2)</f>
        <v>424.57</v>
      </c>
      <c r="X16" s="149">
        <f t="shared" si="31"/>
        <v>0</v>
      </c>
      <c r="Y16" s="149">
        <f t="shared" ref="Y16" si="65">IF(K16/15&lt;=SMG,0,IF(W16&lt;0,0,W16))</f>
        <v>424.57</v>
      </c>
      <c r="Z16" s="153">
        <v>0</v>
      </c>
      <c r="AA16" s="149">
        <f t="shared" ref="AA16" si="66">SUM(Y16:Z16)</f>
        <v>424.57</v>
      </c>
      <c r="AB16" s="149">
        <f t="shared" ref="AB16" si="67">M16+X16-AA16</f>
        <v>4915.93</v>
      </c>
      <c r="AC16" s="94"/>
    </row>
    <row r="17" spans="1:41" ht="40.5" customHeight="1" thickBot="1" x14ac:dyDescent="0.3">
      <c r="A17" s="406" t="s">
        <v>44</v>
      </c>
      <c r="B17" s="407"/>
      <c r="C17" s="407"/>
      <c r="D17" s="407"/>
      <c r="E17" s="407"/>
      <c r="F17" s="407"/>
      <c r="G17" s="407"/>
      <c r="H17" s="407"/>
      <c r="I17" s="407"/>
      <c r="J17" s="408"/>
      <c r="K17" s="156">
        <f>SUM(K12:K16)</f>
        <v>27355.5</v>
      </c>
      <c r="L17" s="156">
        <f>SUM(L12:L16)</f>
        <v>356.03</v>
      </c>
      <c r="M17" s="156">
        <f>SUM(M12:M16)</f>
        <v>27711.53</v>
      </c>
      <c r="N17" s="157">
        <f t="shared" ref="N17:W17" si="68">SUM(N12:N16)</f>
        <v>178.01499999999999</v>
      </c>
      <c r="O17" s="157">
        <f t="shared" si="68"/>
        <v>27533.514999999999</v>
      </c>
      <c r="P17" s="157">
        <f t="shared" si="68"/>
        <v>20354.600000000002</v>
      </c>
      <c r="Q17" s="157">
        <f t="shared" si="68"/>
        <v>7178.9149999999991</v>
      </c>
      <c r="R17" s="157">
        <f t="shared" si="68"/>
        <v>0.64639999999999997</v>
      </c>
      <c r="S17" s="157">
        <f t="shared" si="68"/>
        <v>805.51369599999975</v>
      </c>
      <c r="T17" s="157">
        <f t="shared" si="68"/>
        <v>1432.3500000000001</v>
      </c>
      <c r="U17" s="157">
        <f t="shared" si="68"/>
        <v>2237.8636959999999</v>
      </c>
      <c r="V17" s="157">
        <f t="shared" si="68"/>
        <v>0</v>
      </c>
      <c r="W17" s="157">
        <f t="shared" si="68"/>
        <v>2237.8700000000003</v>
      </c>
      <c r="X17" s="156">
        <f>SUM(X12:X16)</f>
        <v>0</v>
      </c>
      <c r="Y17" s="156">
        <f>SUM(Y12:Y16)</f>
        <v>2237.8700000000003</v>
      </c>
      <c r="Z17" s="156">
        <f>SUM(Z12:Z16)</f>
        <v>0</v>
      </c>
      <c r="AA17" s="156">
        <f>SUM(AA12:AA16)</f>
        <v>2237.8700000000003</v>
      </c>
      <c r="AB17" s="156">
        <f>SUM(AB12:AB16)</f>
        <v>25473.66</v>
      </c>
    </row>
    <row r="18" spans="1:41" ht="18.75" thickTop="1" x14ac:dyDescent="0.25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</row>
    <row r="19" spans="1:41" ht="18" x14ac:dyDescent="0.2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</row>
    <row r="20" spans="1:41" ht="18" x14ac:dyDescent="0.25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</row>
    <row r="21" spans="1:41" ht="18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</row>
    <row r="22" spans="1:41" ht="18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</row>
    <row r="26" spans="1:41" ht="15" x14ac:dyDescent="0.25">
      <c r="D26" s="99" t="s">
        <v>598</v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9" t="s">
        <v>161</v>
      </c>
      <c r="Z26" s="95"/>
      <c r="AA26" s="95"/>
      <c r="AB26" s="95"/>
    </row>
    <row r="27" spans="1:41" ht="15" x14ac:dyDescent="0.25">
      <c r="D27" s="99" t="s">
        <v>624</v>
      </c>
      <c r="E27" s="99"/>
      <c r="F27" s="99"/>
      <c r="G27" s="99"/>
      <c r="H27" s="99"/>
      <c r="I27" s="99"/>
      <c r="J27" s="99"/>
      <c r="K27" s="99"/>
      <c r="L27" s="99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9" t="s">
        <v>240</v>
      </c>
      <c r="Z27" s="95"/>
      <c r="AA27" s="99"/>
      <c r="AB27" s="99"/>
      <c r="AC27" s="86"/>
      <c r="AD27" s="86"/>
      <c r="AE27" s="86"/>
      <c r="AF27" s="86"/>
      <c r="AG27" s="86"/>
      <c r="AH27" s="86"/>
      <c r="AI27" s="86"/>
      <c r="AJ27" s="86"/>
      <c r="AK27" s="86"/>
      <c r="AN27" s="86"/>
      <c r="AO27" s="86"/>
    </row>
    <row r="28" spans="1:41" ht="14.25" x14ac:dyDescent="0.2"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</row>
  </sheetData>
  <mergeCells count="7">
    <mergeCell ref="A17:J17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6:F16" xr:uid="{29C780D5-3429-41E8-96D5-BB71B9845AC7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63"/>
  <sheetViews>
    <sheetView topLeftCell="B1" zoomScale="70" zoomScaleNormal="70" workbookViewId="0">
      <pane ySplit="1" topLeftCell="A13" activePane="bottomLeft" state="frozen"/>
      <selection activeCell="B1" sqref="B1"/>
      <selection pane="bottomLeft" activeCell="M67" sqref="M67"/>
    </sheetView>
  </sheetViews>
  <sheetFormatPr baseColWidth="10" defaultColWidth="11.42578125" defaultRowHeight="12.75" x14ac:dyDescent="0.2"/>
  <cols>
    <col min="1" max="1" width="5.5703125" hidden="1" customWidth="1"/>
    <col min="2" max="2" width="14.85546875" customWidth="1"/>
    <col min="3" max="3" width="12.42578125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7.5703125" customWidth="1"/>
    <col min="9" max="9" width="6.42578125" hidden="1" customWidth="1"/>
    <col min="10" max="10" width="10" hidden="1" customWidth="1"/>
    <col min="11" max="11" width="13.42578125" customWidth="1"/>
    <col min="12" max="12" width="10.28515625" customWidth="1"/>
    <col min="13" max="13" width="14.42578125" bestFit="1" customWidth="1"/>
    <col min="14" max="14" width="11.7109375" hidden="1" customWidth="1"/>
    <col min="15" max="17" width="14.42578125" hidden="1" customWidth="1"/>
    <col min="18" max="18" width="13.42578125" hidden="1" customWidth="1"/>
    <col min="19" max="20" width="12.85546875" hidden="1" customWidth="1"/>
    <col min="21" max="21" width="14.42578125" hidden="1" customWidth="1"/>
    <col min="22" max="22" width="11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  <col min="30" max="30" width="1" customWidth="1"/>
  </cols>
  <sheetData>
    <row r="1" spans="1:35" ht="19.5" x14ac:dyDescent="0.25">
      <c r="A1" s="409" t="s">
        <v>77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</row>
    <row r="2" spans="1:35" ht="19.5" x14ac:dyDescent="0.25">
      <c r="A2" s="409" t="s">
        <v>64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09"/>
    </row>
    <row r="3" spans="1:35" ht="19.5" x14ac:dyDescent="0.25">
      <c r="A3" s="410" t="s">
        <v>652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0"/>
      <c r="Z3" s="410"/>
      <c r="AA3" s="410"/>
      <c r="AB3" s="410"/>
      <c r="AC3" s="410"/>
    </row>
    <row r="4" spans="1:35" ht="18.75" customHeight="1" x14ac:dyDescent="0.2">
      <c r="A4" s="42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</row>
    <row r="5" spans="1:35" s="53" customFormat="1" ht="15.75" x14ac:dyDescent="0.25">
      <c r="A5" s="49"/>
      <c r="B5" s="121"/>
      <c r="C5" s="121"/>
      <c r="D5" s="121"/>
      <c r="E5" s="121"/>
      <c r="F5" s="121"/>
      <c r="G5" s="121"/>
      <c r="H5" s="258"/>
      <c r="I5" s="122" t="s">
        <v>22</v>
      </c>
      <c r="J5" s="261" t="s">
        <v>5</v>
      </c>
      <c r="K5" s="411" t="s">
        <v>1</v>
      </c>
      <c r="L5" s="412"/>
      <c r="M5" s="413"/>
      <c r="N5" s="123" t="s">
        <v>25</v>
      </c>
      <c r="O5" s="124"/>
      <c r="P5" s="414" t="s">
        <v>8</v>
      </c>
      <c r="Q5" s="415"/>
      <c r="R5" s="415"/>
      <c r="S5" s="415"/>
      <c r="T5" s="415"/>
      <c r="U5" s="416"/>
      <c r="V5" s="123" t="s">
        <v>52</v>
      </c>
      <c r="W5" s="123" t="s">
        <v>9</v>
      </c>
      <c r="X5" s="122" t="s">
        <v>52</v>
      </c>
      <c r="Y5" s="417" t="s">
        <v>2</v>
      </c>
      <c r="Z5" s="418"/>
      <c r="AA5" s="419"/>
      <c r="AB5" s="122" t="s">
        <v>0</v>
      </c>
      <c r="AC5" s="49"/>
    </row>
    <row r="6" spans="1:35" s="53" customFormat="1" ht="29.25" customHeight="1" x14ac:dyDescent="0.25">
      <c r="A6" s="54" t="s">
        <v>20</v>
      </c>
      <c r="B6" s="125" t="s">
        <v>100</v>
      </c>
      <c r="C6" s="125" t="s">
        <v>128</v>
      </c>
      <c r="D6" s="126" t="s">
        <v>21</v>
      </c>
      <c r="E6" s="126"/>
      <c r="F6" s="126"/>
      <c r="G6" s="126"/>
      <c r="H6" s="259"/>
      <c r="I6" s="264" t="s">
        <v>23</v>
      </c>
      <c r="J6" s="262" t="s">
        <v>24</v>
      </c>
      <c r="K6" s="122" t="s">
        <v>5</v>
      </c>
      <c r="L6" s="122" t="s">
        <v>58</v>
      </c>
      <c r="M6" s="122" t="s">
        <v>27</v>
      </c>
      <c r="N6" s="127" t="s">
        <v>26</v>
      </c>
      <c r="O6" s="124" t="s">
        <v>31</v>
      </c>
      <c r="P6" s="124" t="s">
        <v>11</v>
      </c>
      <c r="Q6" s="124" t="s">
        <v>33</v>
      </c>
      <c r="R6" s="124" t="s">
        <v>35</v>
      </c>
      <c r="S6" s="124" t="s">
        <v>36</v>
      </c>
      <c r="T6" s="124" t="s">
        <v>13</v>
      </c>
      <c r="U6" s="124" t="s">
        <v>9</v>
      </c>
      <c r="V6" s="127" t="s">
        <v>39</v>
      </c>
      <c r="W6" s="127" t="s">
        <v>40</v>
      </c>
      <c r="X6" s="126" t="s">
        <v>30</v>
      </c>
      <c r="Y6" s="122" t="s">
        <v>312</v>
      </c>
      <c r="Z6" s="122" t="s">
        <v>56</v>
      </c>
      <c r="AA6" s="122" t="s">
        <v>6</v>
      </c>
      <c r="AB6" s="126" t="s">
        <v>3</v>
      </c>
      <c r="AC6" s="54" t="s">
        <v>57</v>
      </c>
    </row>
    <row r="7" spans="1:35" s="53" customFormat="1" ht="15.75" x14ac:dyDescent="0.25">
      <c r="A7" s="63"/>
      <c r="B7" s="128"/>
      <c r="C7" s="128"/>
      <c r="D7" s="129"/>
      <c r="E7" s="129"/>
      <c r="F7" s="129"/>
      <c r="G7" s="129"/>
      <c r="H7" s="260"/>
      <c r="I7" s="129"/>
      <c r="J7" s="263"/>
      <c r="K7" s="129" t="s">
        <v>46</v>
      </c>
      <c r="L7" s="129" t="s">
        <v>59</v>
      </c>
      <c r="M7" s="129" t="s">
        <v>28</v>
      </c>
      <c r="N7" s="130" t="s">
        <v>42</v>
      </c>
      <c r="O7" s="123" t="s">
        <v>32</v>
      </c>
      <c r="P7" s="123" t="s">
        <v>12</v>
      </c>
      <c r="Q7" s="123" t="s">
        <v>34</v>
      </c>
      <c r="R7" s="123" t="s">
        <v>34</v>
      </c>
      <c r="S7" s="123" t="s">
        <v>37</v>
      </c>
      <c r="T7" s="123" t="s">
        <v>14</v>
      </c>
      <c r="U7" s="123" t="s">
        <v>38</v>
      </c>
      <c r="V7" s="127" t="s">
        <v>51</v>
      </c>
      <c r="W7" s="131" t="s">
        <v>221</v>
      </c>
      <c r="X7" s="129" t="s">
        <v>51</v>
      </c>
      <c r="Y7" s="129"/>
      <c r="Z7" s="129"/>
      <c r="AA7" s="129" t="s">
        <v>43</v>
      </c>
      <c r="AB7" s="129" t="s">
        <v>4</v>
      </c>
      <c r="AC7" s="59"/>
    </row>
    <row r="8" spans="1:35" s="53" customFormat="1" ht="43.5" customHeight="1" x14ac:dyDescent="0.25">
      <c r="A8" s="202"/>
      <c r="B8" s="216" t="s">
        <v>100</v>
      </c>
      <c r="C8" s="216" t="s">
        <v>128</v>
      </c>
      <c r="D8" s="217" t="s">
        <v>62</v>
      </c>
      <c r="E8" s="202" t="s">
        <v>101</v>
      </c>
      <c r="F8" s="202" t="s">
        <v>247</v>
      </c>
      <c r="G8" s="216" t="s">
        <v>322</v>
      </c>
      <c r="H8" s="202" t="s">
        <v>61</v>
      </c>
      <c r="I8" s="202"/>
      <c r="J8" s="202"/>
      <c r="K8" s="218">
        <f>SUM(K9:K11)</f>
        <v>48804.5</v>
      </c>
      <c r="L8" s="218">
        <f>SUM(L9:L11)</f>
        <v>0</v>
      </c>
      <c r="M8" s="218">
        <f>SUM(M9:M11)</f>
        <v>48804.5</v>
      </c>
      <c r="N8" s="202"/>
      <c r="O8" s="202"/>
      <c r="P8" s="202"/>
      <c r="Q8" s="202"/>
      <c r="R8" s="202"/>
      <c r="S8" s="202"/>
      <c r="T8" s="202"/>
      <c r="U8" s="202"/>
      <c r="V8" s="202"/>
      <c r="W8" s="219"/>
      <c r="X8" s="218">
        <f>SUM(X9:X11)</f>
        <v>0</v>
      </c>
      <c r="Y8" s="218">
        <f>SUM(Y9:Y11)</f>
        <v>8588.43</v>
      </c>
      <c r="Z8" s="218">
        <f>SUM(Z9:Z11)</f>
        <v>0</v>
      </c>
      <c r="AA8" s="218">
        <f>SUM(AA9:AA11)</f>
        <v>8588.43</v>
      </c>
      <c r="AB8" s="218">
        <f>SUM(AB9:AB11)</f>
        <v>40216.07</v>
      </c>
      <c r="AC8" s="66"/>
    </row>
    <row r="9" spans="1:35" s="53" customFormat="1" ht="201" customHeight="1" x14ac:dyDescent="0.3">
      <c r="A9" s="142" t="s">
        <v>84</v>
      </c>
      <c r="B9" s="141" t="s">
        <v>498</v>
      </c>
      <c r="C9" s="142" t="s">
        <v>121</v>
      </c>
      <c r="D9" s="206" t="s">
        <v>496</v>
      </c>
      <c r="E9" s="143" t="s">
        <v>497</v>
      </c>
      <c r="F9" s="187" t="s">
        <v>499</v>
      </c>
      <c r="G9" s="209">
        <v>45566</v>
      </c>
      <c r="H9" s="144" t="s">
        <v>216</v>
      </c>
      <c r="I9" s="145">
        <v>15</v>
      </c>
      <c r="J9" s="146">
        <v>1677.25</v>
      </c>
      <c r="K9" s="147">
        <v>28536</v>
      </c>
      <c r="L9" s="148">
        <v>0</v>
      </c>
      <c r="M9" s="149">
        <f>SUM(K9:L9)</f>
        <v>28536</v>
      </c>
      <c r="N9" s="150">
        <f>IF(K9/15&lt;=SMG,0,L9/2)</f>
        <v>0</v>
      </c>
      <c r="O9" s="150">
        <f>K9+N9</f>
        <v>28536</v>
      </c>
      <c r="P9" s="150">
        <f>VLOOKUP(O9,Tarifa1,1)</f>
        <v>24292.66</v>
      </c>
      <c r="Q9" s="150">
        <f>O9-P9</f>
        <v>4243.34</v>
      </c>
      <c r="R9" s="151">
        <f>VLOOKUP(O9,Tarifa1,3)</f>
        <v>0.3</v>
      </c>
      <c r="S9" s="150">
        <f>Q9*R9</f>
        <v>1273.002</v>
      </c>
      <c r="T9" s="152">
        <f>VLOOKUP(O9,Tarifa1,2)</f>
        <v>4557.75</v>
      </c>
      <c r="U9" s="150">
        <f>S9+T9</f>
        <v>5830.7520000000004</v>
      </c>
      <c r="V9" s="150">
        <f>VLOOKUP(O9,Credito1,2)</f>
        <v>0</v>
      </c>
      <c r="W9" s="150">
        <f>ROUND(U9-V9,2)</f>
        <v>5830.75</v>
      </c>
      <c r="X9" s="149">
        <f>-IF(W9&gt;0,0,0)</f>
        <v>0</v>
      </c>
      <c r="Y9" s="149">
        <f>IF(K9/15&lt;=SMG,0,IF(W9&lt;0,0,W9))</f>
        <v>5830.75</v>
      </c>
      <c r="Z9" s="153">
        <v>0</v>
      </c>
      <c r="AA9" s="149">
        <f>SUM(Y9:Z9)</f>
        <v>5830.75</v>
      </c>
      <c r="AB9" s="149">
        <f>M9+X9-AA9</f>
        <v>22705.25</v>
      </c>
      <c r="AC9" s="60"/>
    </row>
    <row r="10" spans="1:35" s="53" customFormat="1" ht="201" customHeight="1" x14ac:dyDescent="0.3">
      <c r="A10" s="142" t="s">
        <v>85</v>
      </c>
      <c r="B10" s="141" t="s">
        <v>218</v>
      </c>
      <c r="C10" s="142" t="s">
        <v>121</v>
      </c>
      <c r="D10" s="206" t="s">
        <v>219</v>
      </c>
      <c r="E10" s="143" t="s">
        <v>220</v>
      </c>
      <c r="F10" s="143" t="s">
        <v>262</v>
      </c>
      <c r="G10" s="209">
        <v>45566</v>
      </c>
      <c r="H10" s="144" t="s">
        <v>217</v>
      </c>
      <c r="I10" s="145">
        <v>15</v>
      </c>
      <c r="J10" s="146">
        <v>850.15</v>
      </c>
      <c r="K10" s="147">
        <v>14464.5</v>
      </c>
      <c r="L10" s="148">
        <v>0</v>
      </c>
      <c r="M10" s="149">
        <f>SUM(K10:L10)</f>
        <v>14464.5</v>
      </c>
      <c r="N10" s="150">
        <f>IF(K10/15&lt;=SMG,0,L10/2)</f>
        <v>0</v>
      </c>
      <c r="O10" s="150">
        <f t="shared" ref="O10" si="0">K10+N10</f>
        <v>14464.5</v>
      </c>
      <c r="P10" s="150">
        <f>VLOOKUP(O10,Tarifa1,1)</f>
        <v>7641.91</v>
      </c>
      <c r="Q10" s="150">
        <f t="shared" ref="Q10" si="1">O10-P10</f>
        <v>6822.59</v>
      </c>
      <c r="R10" s="151">
        <f>VLOOKUP(O10,Tarifa1,3)</f>
        <v>0.21360000000000001</v>
      </c>
      <c r="S10" s="150">
        <f t="shared" ref="S10" si="2">Q10*R10</f>
        <v>1457.3052240000002</v>
      </c>
      <c r="T10" s="152">
        <f>VLOOKUP(O10,Tarifa1,2)</f>
        <v>809.25</v>
      </c>
      <c r="U10" s="150">
        <f t="shared" ref="U10" si="3">S10+T10</f>
        <v>2266.5552240000002</v>
      </c>
      <c r="V10" s="150">
        <f>VLOOKUP(O10,Credito1,2)</f>
        <v>0</v>
      </c>
      <c r="W10" s="150">
        <f t="shared" ref="W10" si="4">ROUND(U10-V10,2)</f>
        <v>2266.56</v>
      </c>
      <c r="X10" s="149">
        <f>-IF(W10&gt;0,0,0)</f>
        <v>0</v>
      </c>
      <c r="Y10" s="149">
        <f>IF(K10/15&lt;=SMG,0,IF(W10&lt;0,0,W10))</f>
        <v>2266.56</v>
      </c>
      <c r="Z10" s="153">
        <v>0</v>
      </c>
      <c r="AA10" s="149">
        <f>SUM(Y10:Z10)</f>
        <v>2266.56</v>
      </c>
      <c r="AB10" s="149">
        <f>M10+X10-AA10</f>
        <v>12197.94</v>
      </c>
      <c r="AC10" s="60"/>
      <c r="AI10" s="61"/>
    </row>
    <row r="11" spans="1:35" s="53" customFormat="1" ht="201" customHeight="1" x14ac:dyDescent="0.3">
      <c r="A11" s="142"/>
      <c r="B11" s="142" t="s">
        <v>108</v>
      </c>
      <c r="C11" s="141" t="s">
        <v>121</v>
      </c>
      <c r="D11" s="206" t="s">
        <v>65</v>
      </c>
      <c r="E11" s="143" t="s">
        <v>109</v>
      </c>
      <c r="F11" s="187" t="s">
        <v>249</v>
      </c>
      <c r="G11" s="209">
        <v>40026</v>
      </c>
      <c r="H11" s="143" t="s">
        <v>63</v>
      </c>
      <c r="I11" s="145">
        <v>15</v>
      </c>
      <c r="J11" s="146">
        <v>341.11</v>
      </c>
      <c r="K11" s="147">
        <v>5804</v>
      </c>
      <c r="L11" s="148">
        <v>0</v>
      </c>
      <c r="M11" s="149">
        <f>SUM(K11:L11)</f>
        <v>5804</v>
      </c>
      <c r="N11" s="150">
        <f>IF(K11/15&lt;=SMG,0,L11/2)</f>
        <v>0</v>
      </c>
      <c r="O11" s="150">
        <f t="shared" ref="O11" si="5">K11+N11</f>
        <v>5804</v>
      </c>
      <c r="P11" s="150">
        <f>VLOOKUP(O11,Tarifa1,1)</f>
        <v>5490.76</v>
      </c>
      <c r="Q11" s="150">
        <f t="shared" ref="Q11" si="6">O11-P11</f>
        <v>313.23999999999978</v>
      </c>
      <c r="R11" s="151">
        <f>VLOOKUP(O11,Tarifa1,3)</f>
        <v>0.16</v>
      </c>
      <c r="S11" s="150">
        <f t="shared" ref="S11" si="7">Q11*R11</f>
        <v>50.118399999999966</v>
      </c>
      <c r="T11" s="152">
        <f>VLOOKUP(O11,Tarifa1,2)</f>
        <v>441</v>
      </c>
      <c r="U11" s="150">
        <f t="shared" ref="U11" si="8">S11+T11</f>
        <v>491.11839999999995</v>
      </c>
      <c r="V11" s="150">
        <f>VLOOKUP(O11,Credito1,2)</f>
        <v>0</v>
      </c>
      <c r="W11" s="150">
        <f t="shared" ref="W11" si="9">ROUND(U11-V11,2)</f>
        <v>491.12</v>
      </c>
      <c r="X11" s="149">
        <f>-IF(W11&gt;0,0,0)</f>
        <v>0</v>
      </c>
      <c r="Y11" s="149">
        <f>IF(K11/15&lt;=SMG,0,IF(W11&lt;0,0,W11))</f>
        <v>491.12</v>
      </c>
      <c r="Z11" s="153">
        <v>0</v>
      </c>
      <c r="AA11" s="149">
        <f>SUM(Y11:Z11)</f>
        <v>491.12</v>
      </c>
      <c r="AB11" s="149">
        <f>M11+X11-AA11-Z11</f>
        <v>5312.88</v>
      </c>
      <c r="AC11" s="60"/>
      <c r="AI11" s="61"/>
    </row>
    <row r="12" spans="1:35" s="53" customFormat="1" ht="57.75" customHeight="1" x14ac:dyDescent="0.25">
      <c r="A12" s="142"/>
      <c r="B12" s="216" t="s">
        <v>100</v>
      </c>
      <c r="C12" s="216" t="s">
        <v>128</v>
      </c>
      <c r="D12" s="232" t="s">
        <v>124</v>
      </c>
      <c r="E12" s="202" t="s">
        <v>101</v>
      </c>
      <c r="F12" s="202" t="s">
        <v>247</v>
      </c>
      <c r="G12" s="216" t="s">
        <v>322</v>
      </c>
      <c r="H12" s="202" t="s">
        <v>61</v>
      </c>
      <c r="I12" s="202"/>
      <c r="J12" s="202"/>
      <c r="K12" s="218">
        <f>SUM(K13)</f>
        <v>6498</v>
      </c>
      <c r="L12" s="218">
        <f>SUM(L13)</f>
        <v>0</v>
      </c>
      <c r="M12" s="218">
        <f>SUM(M13)</f>
        <v>6498</v>
      </c>
      <c r="N12" s="202"/>
      <c r="O12" s="202"/>
      <c r="P12" s="202"/>
      <c r="Q12" s="202"/>
      <c r="R12" s="202"/>
      <c r="S12" s="202"/>
      <c r="T12" s="220"/>
      <c r="U12" s="202"/>
      <c r="V12" s="202"/>
      <c r="W12" s="219"/>
      <c r="X12" s="218">
        <f>SUM(X13)</f>
        <v>0</v>
      </c>
      <c r="Y12" s="218">
        <f>SUM(Y13)</f>
        <v>604.29</v>
      </c>
      <c r="Z12" s="218">
        <f>SUM(Z13)</f>
        <v>0</v>
      </c>
      <c r="AA12" s="218">
        <f>SUM(AA13)</f>
        <v>604.29</v>
      </c>
      <c r="AB12" s="218">
        <f>SUM(AB13)</f>
        <v>5893.71</v>
      </c>
      <c r="AC12" s="66"/>
      <c r="AI12" s="61"/>
    </row>
    <row r="13" spans="1:35" s="53" customFormat="1" ht="201" customHeight="1" x14ac:dyDescent="0.3">
      <c r="A13" s="142" t="s">
        <v>86</v>
      </c>
      <c r="B13" s="142" t="s">
        <v>303</v>
      </c>
      <c r="C13" s="141" t="s">
        <v>121</v>
      </c>
      <c r="D13" s="206" t="s">
        <v>296</v>
      </c>
      <c r="E13" s="143" t="s">
        <v>297</v>
      </c>
      <c r="F13" s="187" t="s">
        <v>300</v>
      </c>
      <c r="G13" s="209">
        <v>44743</v>
      </c>
      <c r="H13" s="144" t="s">
        <v>97</v>
      </c>
      <c r="I13" s="145">
        <v>15</v>
      </c>
      <c r="J13" s="146">
        <v>381.95</v>
      </c>
      <c r="K13" s="147">
        <v>6498</v>
      </c>
      <c r="L13" s="148">
        <v>0</v>
      </c>
      <c r="M13" s="149">
        <f>K13</f>
        <v>6498</v>
      </c>
      <c r="N13" s="150">
        <f>IF(K13/15&lt;=SMG,0,L13/2)</f>
        <v>0</v>
      </c>
      <c r="O13" s="150">
        <f t="shared" ref="O13" si="10">K13+N13</f>
        <v>6498</v>
      </c>
      <c r="P13" s="150">
        <f>VLOOKUP(O13,Tarifa1,1)</f>
        <v>6382.81</v>
      </c>
      <c r="Q13" s="150">
        <f t="shared" ref="Q13" si="11">O13-P13</f>
        <v>115.1899999999996</v>
      </c>
      <c r="R13" s="151">
        <f>VLOOKUP(O13,Tarifa1,3)</f>
        <v>0.1792</v>
      </c>
      <c r="S13" s="150">
        <f t="shared" ref="S13" si="12">Q13*R13</f>
        <v>20.642047999999928</v>
      </c>
      <c r="T13" s="152">
        <f>VLOOKUP(O13,Tarifa1,2)</f>
        <v>583.65</v>
      </c>
      <c r="U13" s="150">
        <f t="shared" ref="U13" si="13">S13+T13</f>
        <v>604.29204799999991</v>
      </c>
      <c r="V13" s="150">
        <f>VLOOKUP(O13,Credito1,2)</f>
        <v>0</v>
      </c>
      <c r="W13" s="150">
        <f t="shared" ref="W13" si="14">ROUND(U13-V13,2)</f>
        <v>604.29</v>
      </c>
      <c r="X13" s="149">
        <f>-IF(W13&gt;0,0,0)</f>
        <v>0</v>
      </c>
      <c r="Y13" s="149">
        <f>IF(K13/15&lt;=SMG,0,IF(W13&lt;0,0,W13))</f>
        <v>604.29</v>
      </c>
      <c r="Z13" s="153">
        <v>0</v>
      </c>
      <c r="AA13" s="149">
        <f>SUM(Y13:Z13)</f>
        <v>604.29</v>
      </c>
      <c r="AB13" s="149">
        <f>M13+X13-AA13</f>
        <v>5893.71</v>
      </c>
      <c r="AC13" s="60"/>
      <c r="AI13" s="61"/>
    </row>
    <row r="14" spans="1:35" s="53" customFormat="1" ht="63" customHeight="1" x14ac:dyDescent="0.25">
      <c r="A14" s="142"/>
      <c r="B14" s="216" t="s">
        <v>100</v>
      </c>
      <c r="C14" s="216" t="s">
        <v>128</v>
      </c>
      <c r="D14" s="217" t="s">
        <v>125</v>
      </c>
      <c r="E14" s="202" t="s">
        <v>101</v>
      </c>
      <c r="F14" s="202" t="s">
        <v>247</v>
      </c>
      <c r="G14" s="216" t="s">
        <v>322</v>
      </c>
      <c r="H14" s="202" t="s">
        <v>61</v>
      </c>
      <c r="I14" s="202"/>
      <c r="J14" s="202"/>
      <c r="K14" s="218">
        <v>4896.5</v>
      </c>
      <c r="L14" s="218">
        <f>SUM(L15)</f>
        <v>0</v>
      </c>
      <c r="M14" s="218">
        <f>SUM(M15)</f>
        <v>5771.25</v>
      </c>
      <c r="N14" s="202"/>
      <c r="O14" s="202"/>
      <c r="P14" s="202"/>
      <c r="Q14" s="202"/>
      <c r="R14" s="202"/>
      <c r="S14" s="202"/>
      <c r="T14" s="220"/>
      <c r="U14" s="202"/>
      <c r="V14" s="202"/>
      <c r="W14" s="219"/>
      <c r="X14" s="218">
        <f>SUM(X15)</f>
        <v>0</v>
      </c>
      <c r="Y14" s="218">
        <f>SUM(Y15)</f>
        <v>485.88</v>
      </c>
      <c r="Z14" s="218">
        <f>SUM(Z15)</f>
        <v>0</v>
      </c>
      <c r="AA14" s="218">
        <f>SUM(AA15)</f>
        <v>485.88</v>
      </c>
      <c r="AB14" s="218">
        <f>SUM(AB15)</f>
        <v>5285.37</v>
      </c>
      <c r="AC14" s="66"/>
      <c r="AI14" s="61"/>
    </row>
    <row r="15" spans="1:35" s="53" customFormat="1" ht="201" customHeight="1" x14ac:dyDescent="0.3">
      <c r="A15" s="142" t="s">
        <v>88</v>
      </c>
      <c r="B15" s="142" t="s">
        <v>224</v>
      </c>
      <c r="C15" s="142" t="s">
        <v>410</v>
      </c>
      <c r="D15" s="206" t="s">
        <v>226</v>
      </c>
      <c r="E15" s="159" t="s">
        <v>227</v>
      </c>
      <c r="F15" s="187" t="s">
        <v>278</v>
      </c>
      <c r="G15" s="209">
        <v>44470</v>
      </c>
      <c r="H15" s="144" t="s">
        <v>301</v>
      </c>
      <c r="I15" s="145">
        <v>15</v>
      </c>
      <c r="J15" s="146">
        <v>305.35000000000002</v>
      </c>
      <c r="K15" s="147">
        <v>5771.25</v>
      </c>
      <c r="L15" s="148">
        <v>0</v>
      </c>
      <c r="M15" s="149">
        <f>SUM(K15:L15)</f>
        <v>5771.25</v>
      </c>
      <c r="N15" s="150">
        <f>IF(K15/15&lt;=SMG,0,L15/2)</f>
        <v>0</v>
      </c>
      <c r="O15" s="150">
        <f t="shared" ref="O15" si="15">K15+N15</f>
        <v>5771.25</v>
      </c>
      <c r="P15" s="150">
        <f>VLOOKUP(O15,Tarifa1,1)</f>
        <v>5490.76</v>
      </c>
      <c r="Q15" s="150">
        <f t="shared" ref="Q15" si="16">O15-P15</f>
        <v>280.48999999999978</v>
      </c>
      <c r="R15" s="151">
        <f>VLOOKUP(O15,Tarifa1,3)</f>
        <v>0.16</v>
      </c>
      <c r="S15" s="150">
        <f t="shared" ref="S15" si="17">Q15*R15</f>
        <v>44.878399999999964</v>
      </c>
      <c r="T15" s="152">
        <f>VLOOKUP(O15,Tarifa1,2)</f>
        <v>441</v>
      </c>
      <c r="U15" s="150">
        <f t="shared" ref="U15" si="18">S15+T15</f>
        <v>485.87839999999994</v>
      </c>
      <c r="V15" s="150">
        <f>VLOOKUP(O15,Credito1,2)</f>
        <v>0</v>
      </c>
      <c r="W15" s="150">
        <f t="shared" ref="W15" si="19">ROUND(U15-V15,2)</f>
        <v>485.88</v>
      </c>
      <c r="X15" s="149">
        <f>-IF(W15&gt;0,0,0)</f>
        <v>0</v>
      </c>
      <c r="Y15" s="149">
        <f>IF(K15/15&lt;=SMG,0,IF(W15&lt;0,0,W15))</f>
        <v>485.88</v>
      </c>
      <c r="Z15" s="153">
        <v>0</v>
      </c>
      <c r="AA15" s="149">
        <f>SUM(Y15:Z15)</f>
        <v>485.88</v>
      </c>
      <c r="AB15" s="149">
        <f>M15+X15-AA15</f>
        <v>5285.37</v>
      </c>
      <c r="AC15" s="60"/>
      <c r="AI15" s="67"/>
    </row>
    <row r="16" spans="1:35" s="53" customFormat="1" ht="40.5" customHeight="1" x14ac:dyDescent="0.3">
      <c r="A16" s="222"/>
      <c r="B16" s="182"/>
      <c r="C16" s="182"/>
      <c r="D16" s="288"/>
      <c r="E16" s="351"/>
      <c r="F16" s="396"/>
      <c r="G16" s="290"/>
      <c r="H16" s="191"/>
      <c r="I16" s="192"/>
      <c r="J16" s="193"/>
      <c r="K16" s="194"/>
      <c r="L16" s="195"/>
      <c r="M16" s="196"/>
      <c r="N16" s="273"/>
      <c r="O16" s="273"/>
      <c r="P16" s="273"/>
      <c r="Q16" s="273"/>
      <c r="R16" s="274"/>
      <c r="S16" s="273"/>
      <c r="T16" s="275"/>
      <c r="U16" s="273"/>
      <c r="V16" s="273"/>
      <c r="W16" s="273"/>
      <c r="X16" s="196"/>
      <c r="Y16" s="196"/>
      <c r="Z16" s="197"/>
      <c r="AA16" s="196"/>
      <c r="AB16" s="196"/>
      <c r="AI16" s="67"/>
    </row>
    <row r="17" spans="1:35" s="53" customFormat="1" ht="40.5" customHeight="1" x14ac:dyDescent="0.3">
      <c r="A17" s="222"/>
      <c r="B17" s="182"/>
      <c r="C17" s="182"/>
      <c r="D17" s="288"/>
      <c r="E17" s="351"/>
      <c r="F17" s="396"/>
      <c r="G17" s="290"/>
      <c r="H17" s="191"/>
      <c r="I17" s="192"/>
      <c r="J17" s="193"/>
      <c r="K17" s="194"/>
      <c r="L17" s="195"/>
      <c r="M17" s="196"/>
      <c r="N17" s="273"/>
      <c r="O17" s="273"/>
      <c r="P17" s="273"/>
      <c r="Q17" s="273"/>
      <c r="R17" s="274"/>
      <c r="S17" s="273"/>
      <c r="T17" s="275"/>
      <c r="U17" s="273"/>
      <c r="V17" s="273"/>
      <c r="W17" s="273"/>
      <c r="X17" s="196"/>
      <c r="Y17" s="196"/>
      <c r="Z17" s="197"/>
      <c r="AA17" s="196"/>
      <c r="AB17" s="196"/>
      <c r="AI17" s="67"/>
    </row>
    <row r="18" spans="1:35" s="53" customFormat="1" ht="40.5" customHeight="1" x14ac:dyDescent="0.3">
      <c r="A18" s="222"/>
      <c r="B18" s="182"/>
      <c r="C18" s="182"/>
      <c r="D18" s="288"/>
      <c r="E18" s="351"/>
      <c r="F18" s="396"/>
      <c r="G18" s="290"/>
      <c r="H18" s="191"/>
      <c r="I18" s="192"/>
      <c r="J18" s="193"/>
      <c r="K18" s="194"/>
      <c r="L18" s="195"/>
      <c r="M18" s="196"/>
      <c r="N18" s="273"/>
      <c r="O18" s="273"/>
      <c r="P18" s="273"/>
      <c r="Q18" s="273"/>
      <c r="R18" s="274"/>
      <c r="S18" s="273"/>
      <c r="T18" s="275"/>
      <c r="U18" s="273"/>
      <c r="V18" s="273"/>
      <c r="W18" s="273"/>
      <c r="X18" s="196"/>
      <c r="Y18" s="196"/>
      <c r="Z18" s="197"/>
      <c r="AA18" s="196"/>
      <c r="AB18" s="196"/>
      <c r="AI18" s="67"/>
    </row>
    <row r="19" spans="1:35" s="53" customFormat="1" ht="40.5" customHeight="1" x14ac:dyDescent="0.3">
      <c r="A19" s="222"/>
      <c r="B19" s="182"/>
      <c r="C19" s="182"/>
      <c r="D19" s="288"/>
      <c r="E19" s="351"/>
      <c r="F19" s="396"/>
      <c r="G19" s="290"/>
      <c r="H19" s="191"/>
      <c r="I19" s="192"/>
      <c r="J19" s="193"/>
      <c r="K19" s="194"/>
      <c r="L19" s="195"/>
      <c r="M19" s="196"/>
      <c r="N19" s="273"/>
      <c r="O19" s="273"/>
      <c r="P19" s="273"/>
      <c r="Q19" s="273"/>
      <c r="R19" s="274"/>
      <c r="S19" s="273"/>
      <c r="T19" s="275"/>
      <c r="U19" s="273"/>
      <c r="V19" s="273"/>
      <c r="W19" s="273"/>
      <c r="X19" s="196"/>
      <c r="Y19" s="196"/>
      <c r="Z19" s="197"/>
      <c r="AA19" s="196"/>
      <c r="AB19" s="196"/>
      <c r="AI19" s="67"/>
    </row>
    <row r="20" spans="1:35" s="53" customFormat="1" ht="40.5" customHeight="1" x14ac:dyDescent="0.3">
      <c r="A20" s="222"/>
      <c r="B20" s="182"/>
      <c r="C20" s="182"/>
      <c r="D20" s="288"/>
      <c r="E20" s="351"/>
      <c r="F20" s="396"/>
      <c r="G20" s="290"/>
      <c r="H20" s="191"/>
      <c r="I20" s="192"/>
      <c r="J20" s="193"/>
      <c r="K20" s="194"/>
      <c r="L20" s="195"/>
      <c r="M20" s="196"/>
      <c r="N20" s="273"/>
      <c r="O20" s="273"/>
      <c r="P20" s="273"/>
      <c r="Q20" s="273"/>
      <c r="R20" s="274"/>
      <c r="S20" s="273"/>
      <c r="T20" s="275"/>
      <c r="U20" s="273"/>
      <c r="V20" s="273"/>
      <c r="W20" s="273"/>
      <c r="X20" s="196"/>
      <c r="Y20" s="196"/>
      <c r="Z20" s="197"/>
      <c r="AA20" s="196"/>
      <c r="AB20" s="196"/>
      <c r="AI20" s="67"/>
    </row>
    <row r="21" spans="1:35" s="53" customFormat="1" ht="40.5" customHeight="1" x14ac:dyDescent="0.3">
      <c r="A21" s="222"/>
      <c r="B21" s="182"/>
      <c r="C21" s="182"/>
      <c r="D21" s="288"/>
      <c r="E21" s="351"/>
      <c r="F21" s="396"/>
      <c r="G21" s="290"/>
      <c r="H21" s="191"/>
      <c r="I21" s="192"/>
      <c r="J21" s="193"/>
      <c r="K21" s="194"/>
      <c r="L21" s="195"/>
      <c r="M21" s="196"/>
      <c r="N21" s="273"/>
      <c r="O21" s="273"/>
      <c r="P21" s="273"/>
      <c r="Q21" s="273"/>
      <c r="R21" s="274"/>
      <c r="S21" s="273"/>
      <c r="T21" s="275"/>
      <c r="U21" s="273"/>
      <c r="V21" s="273"/>
      <c r="W21" s="273"/>
      <c r="X21" s="196"/>
      <c r="Y21" s="196"/>
      <c r="Z21" s="197"/>
      <c r="AA21" s="196"/>
      <c r="AB21" s="196"/>
      <c r="AI21" s="67"/>
    </row>
    <row r="22" spans="1:35" s="53" customFormat="1" ht="27.75" customHeight="1" x14ac:dyDescent="0.25">
      <c r="A22" s="222"/>
      <c r="B22" s="409" t="s">
        <v>77</v>
      </c>
      <c r="C22" s="409"/>
      <c r="D22" s="409"/>
      <c r="E22" s="409"/>
      <c r="F22" s="409"/>
      <c r="G22" s="409"/>
      <c r="H22" s="409"/>
      <c r="I22" s="409"/>
      <c r="J22" s="409"/>
      <c r="K22" s="409"/>
      <c r="L22" s="409"/>
      <c r="M22" s="409"/>
      <c r="N22" s="409"/>
      <c r="O22" s="409"/>
      <c r="P22" s="409"/>
      <c r="Q22" s="409"/>
      <c r="R22" s="409"/>
      <c r="S22" s="409"/>
      <c r="T22" s="409"/>
      <c r="U22" s="409"/>
      <c r="V22" s="409"/>
      <c r="W22" s="409"/>
      <c r="X22" s="409"/>
      <c r="Y22" s="409"/>
      <c r="Z22" s="409"/>
      <c r="AA22" s="409"/>
      <c r="AB22" s="409"/>
      <c r="AC22" s="409"/>
      <c r="AD22" s="409"/>
      <c r="AI22" s="67"/>
    </row>
    <row r="23" spans="1:35" s="53" customFormat="1" ht="32.25" customHeight="1" x14ac:dyDescent="0.25">
      <c r="A23" s="222"/>
      <c r="B23" s="409" t="s">
        <v>64</v>
      </c>
      <c r="C23" s="409"/>
      <c r="D23" s="409"/>
      <c r="E23" s="409"/>
      <c r="F23" s="409"/>
      <c r="G23" s="409"/>
      <c r="H23" s="409"/>
      <c r="I23" s="409"/>
      <c r="J23" s="409"/>
      <c r="K23" s="409"/>
      <c r="L23" s="409"/>
      <c r="M23" s="409"/>
      <c r="N23" s="409"/>
      <c r="O23" s="409"/>
      <c r="P23" s="409"/>
      <c r="Q23" s="409"/>
      <c r="R23" s="409"/>
      <c r="S23" s="409"/>
      <c r="T23" s="409"/>
      <c r="U23" s="409"/>
      <c r="V23" s="409"/>
      <c r="W23" s="409"/>
      <c r="X23" s="409"/>
      <c r="Y23" s="409"/>
      <c r="Z23" s="409"/>
      <c r="AA23" s="409"/>
      <c r="AB23" s="409"/>
      <c r="AC23" s="409"/>
      <c r="AD23" s="409"/>
      <c r="AI23" s="67"/>
    </row>
    <row r="24" spans="1:35" s="53" customFormat="1" ht="40.5" customHeight="1" x14ac:dyDescent="0.3">
      <c r="A24" s="222"/>
      <c r="B24" s="420" t="str">
        <f>A3</f>
        <v>SUELDO  DEL 16 AL 30 DE NOVIEMBRE DE 2024</v>
      </c>
      <c r="C24" s="420"/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  <c r="AC24" s="420"/>
      <c r="AI24" s="67"/>
    </row>
    <row r="25" spans="1:35" s="53" customFormat="1" ht="33" customHeight="1" x14ac:dyDescent="0.3">
      <c r="A25" s="222"/>
      <c r="B25" s="182"/>
      <c r="C25" s="182"/>
      <c r="D25" s="288"/>
      <c r="E25" s="351"/>
      <c r="F25" s="396"/>
      <c r="G25" s="290"/>
      <c r="H25" s="191"/>
      <c r="I25" s="192"/>
      <c r="J25" s="193"/>
      <c r="K25" s="194"/>
      <c r="L25" s="195"/>
      <c r="M25" s="196"/>
      <c r="N25" s="273"/>
      <c r="O25" s="273"/>
      <c r="P25" s="273"/>
      <c r="Q25" s="273"/>
      <c r="R25" s="274"/>
      <c r="S25" s="273"/>
      <c r="T25" s="275"/>
      <c r="U25" s="273"/>
      <c r="V25" s="273"/>
      <c r="W25" s="273"/>
      <c r="X25" s="196"/>
      <c r="Y25" s="196"/>
      <c r="Z25" s="197"/>
      <c r="AA25" s="196"/>
      <c r="AB25" s="196"/>
      <c r="AI25" s="67"/>
    </row>
    <row r="26" spans="1:35" s="53" customFormat="1" ht="50.25" customHeight="1" x14ac:dyDescent="0.25">
      <c r="A26" s="142"/>
      <c r="B26" s="216" t="s">
        <v>100</v>
      </c>
      <c r="C26" s="216" t="s">
        <v>128</v>
      </c>
      <c r="D26" s="202" t="s">
        <v>126</v>
      </c>
      <c r="E26" s="202" t="s">
        <v>101</v>
      </c>
      <c r="F26" s="202" t="s">
        <v>247</v>
      </c>
      <c r="G26" s="216" t="s">
        <v>322</v>
      </c>
      <c r="H26" s="202" t="s">
        <v>61</v>
      </c>
      <c r="I26" s="202"/>
      <c r="J26" s="202"/>
      <c r="K26" s="218">
        <f>SUM(K27:K28)</f>
        <v>15931</v>
      </c>
      <c r="L26" s="218">
        <f>SUM(L27:L28)</f>
        <v>0</v>
      </c>
      <c r="M26" s="218">
        <f>SUM(M27:M28)</f>
        <v>15931</v>
      </c>
      <c r="N26" s="202"/>
      <c r="O26" s="202"/>
      <c r="P26" s="202"/>
      <c r="Q26" s="202"/>
      <c r="R26" s="202"/>
      <c r="S26" s="202"/>
      <c r="T26" s="220"/>
      <c r="U26" s="202"/>
      <c r="V26" s="202"/>
      <c r="W26" s="219"/>
      <c r="X26" s="218">
        <f>SUM(X27:X28)</f>
        <v>0</v>
      </c>
      <c r="Y26" s="218">
        <f>SUM(Y27:Y28)</f>
        <v>1903.66</v>
      </c>
      <c r="Z26" s="218">
        <f>SUM(Z27:Z28)</f>
        <v>0</v>
      </c>
      <c r="AA26" s="218">
        <f>SUM(AA27:AA28)</f>
        <v>1903.66</v>
      </c>
      <c r="AB26" s="218">
        <f>SUM(AB27:AB28)</f>
        <v>14027.34</v>
      </c>
      <c r="AC26" s="66"/>
      <c r="AI26" s="67"/>
    </row>
    <row r="27" spans="1:35" s="53" customFormat="1" ht="169.5" customHeight="1" x14ac:dyDescent="0.3">
      <c r="A27" s="142" t="s">
        <v>89</v>
      </c>
      <c r="B27" s="141" t="s">
        <v>169</v>
      </c>
      <c r="C27" s="142" t="s">
        <v>121</v>
      </c>
      <c r="D27" s="206" t="s">
        <v>144</v>
      </c>
      <c r="E27" s="143" t="s">
        <v>163</v>
      </c>
      <c r="F27" s="187" t="s">
        <v>260</v>
      </c>
      <c r="G27" s="209">
        <v>43374</v>
      </c>
      <c r="H27" s="144" t="s">
        <v>82</v>
      </c>
      <c r="I27" s="145">
        <v>15</v>
      </c>
      <c r="J27" s="146">
        <v>625.85200000000009</v>
      </c>
      <c r="K27" s="147">
        <v>10972.5</v>
      </c>
      <c r="L27" s="148">
        <v>0</v>
      </c>
      <c r="M27" s="149">
        <f>K27</f>
        <v>10972.5</v>
      </c>
      <c r="N27" s="150">
        <f>IF(K27/15&lt;=SMG,0,L27/2)</f>
        <v>0</v>
      </c>
      <c r="O27" s="150">
        <f t="shared" ref="O27" si="20">K27+N27</f>
        <v>10972.5</v>
      </c>
      <c r="P27" s="150">
        <f>VLOOKUP(O27,Tarifa1,1)</f>
        <v>7641.91</v>
      </c>
      <c r="Q27" s="150">
        <f t="shared" ref="Q27" si="21">O27-P27</f>
        <v>3330.59</v>
      </c>
      <c r="R27" s="151">
        <f>VLOOKUP(O27,Tarifa1,3)</f>
        <v>0.21360000000000001</v>
      </c>
      <c r="S27" s="150">
        <f t="shared" ref="S27" si="22">Q27*R27</f>
        <v>711.41402400000004</v>
      </c>
      <c r="T27" s="152">
        <f>VLOOKUP(O27,Tarifa1,2)</f>
        <v>809.25</v>
      </c>
      <c r="U27" s="150">
        <f t="shared" ref="U27" si="23">S27+T27</f>
        <v>1520.6640240000002</v>
      </c>
      <c r="V27" s="150">
        <f>VLOOKUP(O27,Credito1,2)</f>
        <v>0</v>
      </c>
      <c r="W27" s="150">
        <f t="shared" ref="W27" si="24">ROUND(U27-V27,2)</f>
        <v>1520.66</v>
      </c>
      <c r="X27" s="149">
        <f>-IF(W27&gt;0,0,0)</f>
        <v>0</v>
      </c>
      <c r="Y27" s="149">
        <f>IF(K27/15&lt;=SMG,0,IF(W27&lt;0,0,W27))</f>
        <v>1520.66</v>
      </c>
      <c r="Z27" s="153">
        <v>0</v>
      </c>
      <c r="AA27" s="149">
        <f>SUM(Y27:Z27)</f>
        <v>1520.66</v>
      </c>
      <c r="AB27" s="149">
        <f>M27+X27-AA27</f>
        <v>9451.84</v>
      </c>
      <c r="AC27" s="60"/>
      <c r="AI27" s="67"/>
    </row>
    <row r="28" spans="1:35" s="53" customFormat="1" ht="169.5" customHeight="1" x14ac:dyDescent="0.3">
      <c r="A28" s="257"/>
      <c r="B28" s="242" t="s">
        <v>325</v>
      </c>
      <c r="C28" s="158" t="s">
        <v>121</v>
      </c>
      <c r="D28" s="249" t="s">
        <v>326</v>
      </c>
      <c r="E28" s="243" t="s">
        <v>324</v>
      </c>
      <c r="F28" s="244" t="s">
        <v>327</v>
      </c>
      <c r="G28" s="245">
        <v>44991</v>
      </c>
      <c r="H28" s="246" t="s">
        <v>63</v>
      </c>
      <c r="I28" s="247">
        <v>10</v>
      </c>
      <c r="J28" s="248"/>
      <c r="K28" s="147">
        <v>4958.5</v>
      </c>
      <c r="L28" s="148">
        <v>0</v>
      </c>
      <c r="M28" s="149">
        <f>SUM(K28:L28)</f>
        <v>4958.5</v>
      </c>
      <c r="N28" s="150">
        <f>IF(K28/15&lt;=SMG,0,L28/2)</f>
        <v>0</v>
      </c>
      <c r="O28" s="150">
        <f>K28+N28</f>
        <v>4958.5</v>
      </c>
      <c r="P28" s="150">
        <f>VLOOKUP(O28,Tarifa1,1)</f>
        <v>3124.36</v>
      </c>
      <c r="Q28" s="150">
        <f>O28-P28</f>
        <v>1834.1399999999999</v>
      </c>
      <c r="R28" s="151">
        <f>VLOOKUP(O28,Tarifa1,3)</f>
        <v>0.10879999999999999</v>
      </c>
      <c r="S28" s="150">
        <f>Q28*R28</f>
        <v>199.55443199999996</v>
      </c>
      <c r="T28" s="152">
        <f>VLOOKUP(O28,Tarifa1,2)</f>
        <v>183.45</v>
      </c>
      <c r="U28" s="150">
        <f>S28+T28</f>
        <v>383.00443199999995</v>
      </c>
      <c r="V28" s="150">
        <f>VLOOKUP(O28,Credito1,2)</f>
        <v>0</v>
      </c>
      <c r="W28" s="150">
        <f>ROUND(U28-V28,2)</f>
        <v>383</v>
      </c>
      <c r="X28" s="149">
        <f>-IF(W28&gt;0,0,0)</f>
        <v>0</v>
      </c>
      <c r="Y28" s="149">
        <f>IF(K28/15&lt;=SMG,0,IF(W28&lt;0,0,W28))</f>
        <v>383</v>
      </c>
      <c r="Z28" s="153">
        <v>0</v>
      </c>
      <c r="AA28" s="149">
        <f>SUM(Y28:Z28)</f>
        <v>383</v>
      </c>
      <c r="AB28" s="149">
        <f>M28+X28-AA28</f>
        <v>4575.5</v>
      </c>
      <c r="AC28" s="58"/>
      <c r="AI28" s="67"/>
    </row>
    <row r="29" spans="1:35" s="53" customFormat="1" ht="70.5" customHeight="1" x14ac:dyDescent="0.25">
      <c r="A29" s="257"/>
      <c r="B29" s="186" t="s">
        <v>100</v>
      </c>
      <c r="C29" s="186" t="s">
        <v>128</v>
      </c>
      <c r="D29" s="186" t="s">
        <v>457</v>
      </c>
      <c r="E29" s="233" t="s">
        <v>101</v>
      </c>
      <c r="F29" s="233" t="s">
        <v>247</v>
      </c>
      <c r="G29" s="186" t="s">
        <v>322</v>
      </c>
      <c r="H29" s="233" t="s">
        <v>61</v>
      </c>
      <c r="I29" s="233"/>
      <c r="J29" s="202"/>
      <c r="K29" s="218">
        <f>SUM(K30:K30)</f>
        <v>3042.5</v>
      </c>
      <c r="L29" s="218">
        <f>SUM(L30:L30)</f>
        <v>0</v>
      </c>
      <c r="M29" s="218">
        <f>SUM(M30:M30)</f>
        <v>3042.5</v>
      </c>
      <c r="N29" s="202"/>
      <c r="O29" s="202"/>
      <c r="P29" s="202"/>
      <c r="Q29" s="202"/>
      <c r="R29" s="202"/>
      <c r="S29" s="202"/>
      <c r="T29" s="220"/>
      <c r="U29" s="202"/>
      <c r="V29" s="202"/>
      <c r="W29" s="219"/>
      <c r="X29" s="218">
        <f>SUM(X30:X30)</f>
        <v>0</v>
      </c>
      <c r="Y29" s="218">
        <f>SUM(Y30:Y30)</f>
        <v>0</v>
      </c>
      <c r="Z29" s="218">
        <f>SUM(Z30:Z30)</f>
        <v>0</v>
      </c>
      <c r="AA29" s="218">
        <f>SUM(AA30:AA30)</f>
        <v>0</v>
      </c>
      <c r="AB29" s="218">
        <f>SUM(AB30:AB30)</f>
        <v>3042.5</v>
      </c>
      <c r="AC29" s="66"/>
      <c r="AI29" s="67"/>
    </row>
    <row r="30" spans="1:35" s="53" customFormat="1" ht="169.5" customHeight="1" x14ac:dyDescent="0.3">
      <c r="A30" s="257"/>
      <c r="B30" s="142" t="s">
        <v>500</v>
      </c>
      <c r="C30" s="142" t="s">
        <v>121</v>
      </c>
      <c r="D30" s="207" t="s">
        <v>501</v>
      </c>
      <c r="E30" s="159" t="s">
        <v>502</v>
      </c>
      <c r="F30" s="187" t="s">
        <v>503</v>
      </c>
      <c r="G30" s="209">
        <v>45566</v>
      </c>
      <c r="H30" s="268" t="s">
        <v>460</v>
      </c>
      <c r="I30" s="160">
        <v>15</v>
      </c>
      <c r="J30" s="146">
        <v>178.81533333333334</v>
      </c>
      <c r="K30" s="147">
        <v>3042.5</v>
      </c>
      <c r="L30" s="148">
        <v>0</v>
      </c>
      <c r="M30" s="149">
        <f t="shared" ref="M30" si="25">SUM(K30:L30)</f>
        <v>3042.5</v>
      </c>
      <c r="N30" s="150">
        <f t="shared" ref="N30" si="26">IF(K30/15&lt;=SMG,0,L30/2)</f>
        <v>0</v>
      </c>
      <c r="O30" s="150">
        <f t="shared" ref="O30" si="27">K30+N30</f>
        <v>3042.5</v>
      </c>
      <c r="P30" s="150">
        <f>VLOOKUP(O30,Tarifa1,1)</f>
        <v>368.11</v>
      </c>
      <c r="Q30" s="150">
        <f t="shared" ref="Q30" si="28">O30-P30</f>
        <v>2674.39</v>
      </c>
      <c r="R30" s="151">
        <f>VLOOKUP(O30,Tarifa1,3)</f>
        <v>6.4000000000000001E-2</v>
      </c>
      <c r="S30" s="150">
        <f t="shared" ref="S30" si="29">Q30*R30</f>
        <v>171.16095999999999</v>
      </c>
      <c r="T30" s="152">
        <f>VLOOKUP(O30,Tarifa1,2)</f>
        <v>7.05</v>
      </c>
      <c r="U30" s="150">
        <f t="shared" ref="U30" si="30">S30+T30</f>
        <v>178.21096</v>
      </c>
      <c r="V30" s="150">
        <f>VLOOKUP(O30,Credito1,2)</f>
        <v>195</v>
      </c>
      <c r="W30" s="150">
        <f t="shared" ref="W30" si="31">ROUND(U30-V30,2)</f>
        <v>-16.79</v>
      </c>
      <c r="X30" s="149">
        <v>0</v>
      </c>
      <c r="Y30" s="277">
        <f>IF(K30/15&lt;=SMG,0,IF(W30&lt;0,0,W30))</f>
        <v>0</v>
      </c>
      <c r="Z30" s="153">
        <v>0</v>
      </c>
      <c r="AA30" s="149">
        <f>SUM(Y30:Z30)</f>
        <v>0</v>
      </c>
      <c r="AB30" s="277">
        <f>M30+X30-AA30</f>
        <v>3042.5</v>
      </c>
      <c r="AC30" s="278"/>
      <c r="AI30" s="67"/>
    </row>
    <row r="31" spans="1:35" s="53" customFormat="1" ht="21.75" customHeight="1" x14ac:dyDescent="0.25">
      <c r="A31" s="222"/>
      <c r="B31" s="223"/>
      <c r="C31" s="223"/>
      <c r="D31" s="224"/>
      <c r="E31" s="224"/>
      <c r="F31" s="224"/>
      <c r="G31" s="224"/>
      <c r="H31" s="224"/>
      <c r="I31" s="185"/>
      <c r="J31" s="225"/>
      <c r="K31" s="226"/>
      <c r="L31" s="227"/>
      <c r="M31" s="228"/>
      <c r="N31" s="229"/>
      <c r="O31" s="229"/>
      <c r="P31" s="229"/>
      <c r="Q31" s="229"/>
      <c r="R31" s="230"/>
      <c r="S31" s="229"/>
      <c r="T31" s="229"/>
      <c r="U31" s="229"/>
      <c r="V31" s="229"/>
      <c r="W31" s="229"/>
      <c r="X31" s="228"/>
      <c r="Y31" s="228"/>
      <c r="Z31" s="231"/>
      <c r="AA31" s="228"/>
      <c r="AB31" s="228"/>
      <c r="AC31" s="60"/>
    </row>
    <row r="32" spans="1:35" s="53" customFormat="1" ht="41.25" customHeight="1" thickBot="1" x14ac:dyDescent="0.3">
      <c r="A32" s="406" t="s">
        <v>44</v>
      </c>
      <c r="B32" s="407"/>
      <c r="C32" s="407"/>
      <c r="D32" s="407"/>
      <c r="E32" s="407"/>
      <c r="F32" s="407"/>
      <c r="G32" s="407"/>
      <c r="H32" s="407"/>
      <c r="I32" s="407"/>
      <c r="J32" s="408"/>
      <c r="K32" s="156">
        <f>K8+K12+K14+K26+K29</f>
        <v>79172.5</v>
      </c>
      <c r="L32" s="156">
        <f>L8+L12+L14+L26+L29</f>
        <v>0</v>
      </c>
      <c r="M32" s="156">
        <f>M8+M12+M14+M26+M29</f>
        <v>80047.25</v>
      </c>
      <c r="N32" s="157">
        <f t="shared" ref="N32:W32" si="32">SUM(N9:N30)</f>
        <v>0</v>
      </c>
      <c r="O32" s="157">
        <f t="shared" si="32"/>
        <v>80047.25</v>
      </c>
      <c r="P32" s="157">
        <f t="shared" si="32"/>
        <v>60433.279999999999</v>
      </c>
      <c r="Q32" s="157">
        <f t="shared" si="32"/>
        <v>19613.97</v>
      </c>
      <c r="R32" s="157">
        <f t="shared" si="32"/>
        <v>1.3992000000000002</v>
      </c>
      <c r="S32" s="157">
        <f t="shared" si="32"/>
        <v>3928.075488</v>
      </c>
      <c r="T32" s="157">
        <f t="shared" si="32"/>
        <v>7832.4</v>
      </c>
      <c r="U32" s="157">
        <f t="shared" si="32"/>
        <v>11760.475487999998</v>
      </c>
      <c r="V32" s="157">
        <f t="shared" si="32"/>
        <v>195</v>
      </c>
      <c r="W32" s="157">
        <f t="shared" si="32"/>
        <v>11565.47</v>
      </c>
      <c r="X32" s="156">
        <f>X8+X12+X14+X26+X29</f>
        <v>0</v>
      </c>
      <c r="Y32" s="156">
        <f>Y8+Y12+Y14+Y26+Y29</f>
        <v>11582.26</v>
      </c>
      <c r="Z32" s="156">
        <f>Z8+Z12+Z14+Z26+Z29</f>
        <v>0</v>
      </c>
      <c r="AA32" s="156">
        <f>AA8+AA12+AA14+AA26+AA29</f>
        <v>11582.26</v>
      </c>
      <c r="AB32" s="156">
        <f>AB8+AB12+AB14+AB26+AB29</f>
        <v>68464.990000000005</v>
      </c>
    </row>
    <row r="33" spans="1:28" s="53" customFormat="1" ht="12" customHeight="1" thickTop="1" x14ac:dyDescent="0.25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</row>
    <row r="34" spans="1:28" s="53" customFormat="1" ht="12" customHeight="1" x14ac:dyDescent="0.25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</row>
    <row r="35" spans="1:28" s="53" customFormat="1" ht="12" customHeight="1" x14ac:dyDescent="0.25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</row>
    <row r="36" spans="1:28" s="53" customFormat="1" ht="12" customHeight="1" x14ac:dyDescent="0.25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</row>
    <row r="37" spans="1:28" s="53" customFormat="1" ht="12" customHeight="1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</row>
    <row r="38" spans="1:28" s="53" customFormat="1" ht="12" customHeight="1" x14ac:dyDescent="0.25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</row>
    <row r="39" spans="1:28" s="53" customFormat="1" ht="12" customHeight="1" x14ac:dyDescent="0.25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</row>
    <row r="40" spans="1:28" s="53" customFormat="1" ht="12" customHeight="1" x14ac:dyDescent="0.25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</row>
    <row r="41" spans="1:28" s="53" customFormat="1" ht="12" customHeight="1" x14ac:dyDescent="0.25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</row>
    <row r="42" spans="1:28" s="53" customFormat="1" ht="12" customHeight="1" x14ac:dyDescent="0.25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</row>
    <row r="43" spans="1:28" s="53" customFormat="1" ht="12" customHeight="1" x14ac:dyDescent="0.25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</row>
    <row r="44" spans="1:28" s="53" customFormat="1" ht="12" customHeight="1" x14ac:dyDescent="0.25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</row>
    <row r="45" spans="1:28" s="53" customFormat="1" ht="12" customHeight="1" x14ac:dyDescent="0.25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</row>
    <row r="46" spans="1:28" s="53" customFormat="1" ht="12" customHeight="1" x14ac:dyDescent="0.25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</row>
    <row r="47" spans="1:28" s="53" customFormat="1" ht="12" customHeight="1" x14ac:dyDescent="0.25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</row>
    <row r="48" spans="1:28" s="53" customFormat="1" ht="12" customHeight="1" x14ac:dyDescent="0.2"/>
    <row r="49" spans="4:41" s="53" customFormat="1" ht="12" customHeight="1" x14ac:dyDescent="0.2"/>
    <row r="50" spans="4:41" s="53" customFormat="1" ht="12" x14ac:dyDescent="0.2"/>
    <row r="51" spans="4:41" s="53" customFormat="1" ht="18" x14ac:dyDescent="0.25">
      <c r="D51" s="334" t="s">
        <v>598</v>
      </c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334" t="s">
        <v>155</v>
      </c>
      <c r="Z51" s="114"/>
      <c r="AA51" s="114"/>
      <c r="AB51" s="114"/>
      <c r="AC51" s="114"/>
    </row>
    <row r="52" spans="4:41" s="53" customFormat="1" ht="18" x14ac:dyDescent="0.25">
      <c r="D52" s="334" t="s">
        <v>624</v>
      </c>
      <c r="E52" s="334"/>
      <c r="F52" s="334"/>
      <c r="G52" s="334"/>
      <c r="H52" s="334"/>
      <c r="I52" s="334"/>
      <c r="J52" s="334"/>
      <c r="K52" s="334"/>
      <c r="L52" s="33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334" t="s">
        <v>237</v>
      </c>
      <c r="Z52" s="114"/>
      <c r="AA52" s="334"/>
      <c r="AB52" s="334"/>
      <c r="AC52" s="334"/>
      <c r="AD52" s="62"/>
      <c r="AE52" s="62"/>
      <c r="AF52" s="62"/>
      <c r="AG52" s="62"/>
      <c r="AH52" s="62"/>
      <c r="AI52" s="62"/>
      <c r="AJ52" s="62"/>
      <c r="AK52" s="62"/>
      <c r="AN52" s="62"/>
      <c r="AO52" s="62"/>
    </row>
    <row r="53" spans="4:41" s="53" customFormat="1" ht="12" x14ac:dyDescent="0.2"/>
    <row r="63" spans="4:41" x14ac:dyDescent="0.2">
      <c r="M63" s="4" t="s">
        <v>238</v>
      </c>
    </row>
  </sheetData>
  <mergeCells count="10">
    <mergeCell ref="A32:J32"/>
    <mergeCell ref="A1:AC1"/>
    <mergeCell ref="A2:AC2"/>
    <mergeCell ref="A3:AC3"/>
    <mergeCell ref="K5:M5"/>
    <mergeCell ref="P5:U5"/>
    <mergeCell ref="Y5:AA5"/>
    <mergeCell ref="B22:AD22"/>
    <mergeCell ref="B23:AD23"/>
    <mergeCell ref="B24:AC24"/>
  </mergeCells>
  <pageMargins left="0.27559055118110237" right="0.27559055118110237" top="0.47244094488188981" bottom="3.937007874015748E-2" header="0.31496062992125984" footer="0.31496062992125984"/>
  <pageSetup scale="38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2"/>
  <sheetViews>
    <sheetView topLeftCell="B12" zoomScale="75" zoomScaleNormal="75" workbookViewId="0">
      <selection activeCell="H31" sqref="H31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3.28515625" customWidth="1"/>
    <col min="5" max="5" width="28" customWidth="1"/>
    <col min="6" max="6" width="30.85546875" customWidth="1"/>
    <col min="7" max="7" width="16.7109375" customWidth="1"/>
    <col min="8" max="8" width="18" customWidth="1"/>
    <col min="9" max="9" width="6.5703125" hidden="1" customWidth="1"/>
    <col min="10" max="10" width="7.28515625" hidden="1" customWidth="1"/>
    <col min="11" max="11" width="14.5703125" customWidth="1"/>
    <col min="12" max="12" width="10.85546875" customWidth="1"/>
    <col min="13" max="13" width="14.1406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4.28515625" customWidth="1"/>
    <col min="29" max="29" width="58.7109375" customWidth="1"/>
  </cols>
  <sheetData>
    <row r="1" spans="1:30" ht="18" x14ac:dyDescent="0.25">
      <c r="A1" s="421" t="s">
        <v>78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1"/>
    </row>
    <row r="2" spans="1:30" ht="18" x14ac:dyDescent="0.25">
      <c r="A2" s="421" t="s">
        <v>64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X2" s="421"/>
      <c r="Y2" s="421"/>
      <c r="Z2" s="421"/>
      <c r="AA2" s="421"/>
      <c r="AB2" s="421"/>
      <c r="AC2" s="421"/>
    </row>
    <row r="3" spans="1:30" ht="19.5" x14ac:dyDescent="0.25">
      <c r="A3" s="188" t="s">
        <v>397</v>
      </c>
      <c r="B3" s="410" t="str">
        <f>PRESIDENCIA!A3</f>
        <v>SUELDO  DEL 16 AL 30 DE NOVIEMBRE DE 2024</v>
      </c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0"/>
      <c r="Z3" s="410"/>
      <c r="AA3" s="410"/>
      <c r="AB3" s="410"/>
      <c r="AC3" s="410"/>
      <c r="AD3" s="410"/>
    </row>
    <row r="4" spans="1:30" ht="22.5" thickBot="1" x14ac:dyDescent="0.25">
      <c r="A4" s="42"/>
      <c r="B4" s="42"/>
      <c r="C4" s="42"/>
      <c r="D4" s="42"/>
      <c r="E4" s="42"/>
      <c r="F4" s="280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30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1:30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214</v>
      </c>
      <c r="K6" s="422" t="s">
        <v>1</v>
      </c>
      <c r="L6" s="423"/>
      <c r="M6" s="424"/>
      <c r="N6" s="24" t="s">
        <v>25</v>
      </c>
      <c r="O6" s="25"/>
      <c r="P6" s="425" t="s">
        <v>8</v>
      </c>
      <c r="Q6" s="426"/>
      <c r="R6" s="426"/>
      <c r="S6" s="426"/>
      <c r="T6" s="426"/>
      <c r="U6" s="427"/>
      <c r="V6" s="24" t="s">
        <v>29</v>
      </c>
      <c r="W6" s="24" t="s">
        <v>9</v>
      </c>
      <c r="X6" s="23" t="s">
        <v>52</v>
      </c>
      <c r="Y6" s="428" t="s">
        <v>2</v>
      </c>
      <c r="Z6" s="429"/>
      <c r="AA6" s="430"/>
      <c r="AB6" s="23" t="s">
        <v>0</v>
      </c>
      <c r="AC6" s="34"/>
    </row>
    <row r="7" spans="1:30" ht="22.5" x14ac:dyDescent="0.2">
      <c r="A7" s="26" t="s">
        <v>20</v>
      </c>
      <c r="B7" s="46" t="s">
        <v>100</v>
      </c>
      <c r="C7" s="46" t="s">
        <v>122</v>
      </c>
      <c r="D7" s="26" t="s">
        <v>21</v>
      </c>
      <c r="E7" s="26"/>
      <c r="F7" s="26"/>
      <c r="G7" s="26"/>
      <c r="H7" s="26"/>
      <c r="I7" s="27" t="s">
        <v>23</v>
      </c>
      <c r="J7" s="26" t="s">
        <v>24</v>
      </c>
      <c r="K7" s="23" t="s">
        <v>5</v>
      </c>
      <c r="L7" s="23" t="s">
        <v>58</v>
      </c>
      <c r="M7" s="23" t="s">
        <v>27</v>
      </c>
      <c r="N7" s="28" t="s">
        <v>26</v>
      </c>
      <c r="O7" s="25" t="s">
        <v>31</v>
      </c>
      <c r="P7" s="25" t="s">
        <v>11</v>
      </c>
      <c r="Q7" s="25" t="s">
        <v>33</v>
      </c>
      <c r="R7" s="25" t="s">
        <v>35</v>
      </c>
      <c r="S7" s="25" t="s">
        <v>36</v>
      </c>
      <c r="T7" s="25" t="s">
        <v>13</v>
      </c>
      <c r="U7" s="25" t="s">
        <v>9</v>
      </c>
      <c r="V7" s="28" t="s">
        <v>39</v>
      </c>
      <c r="W7" s="28" t="s">
        <v>40</v>
      </c>
      <c r="X7" s="26" t="s">
        <v>30</v>
      </c>
      <c r="Y7" s="201" t="s">
        <v>312</v>
      </c>
      <c r="Z7" s="23" t="s">
        <v>56</v>
      </c>
      <c r="AA7" s="23" t="s">
        <v>6</v>
      </c>
      <c r="AB7" s="26" t="s">
        <v>3</v>
      </c>
      <c r="AC7" s="36" t="s">
        <v>57</v>
      </c>
    </row>
    <row r="8" spans="1:30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6" t="s">
        <v>46</v>
      </c>
      <c r="L8" s="26" t="s">
        <v>59</v>
      </c>
      <c r="M8" s="26" t="s">
        <v>28</v>
      </c>
      <c r="N8" s="28" t="s">
        <v>42</v>
      </c>
      <c r="O8" s="24" t="s">
        <v>32</v>
      </c>
      <c r="P8" s="24" t="s">
        <v>12</v>
      </c>
      <c r="Q8" s="24" t="s">
        <v>34</v>
      </c>
      <c r="R8" s="24" t="s">
        <v>34</v>
      </c>
      <c r="S8" s="24" t="s">
        <v>37</v>
      </c>
      <c r="T8" s="24" t="s">
        <v>14</v>
      </c>
      <c r="U8" s="24" t="s">
        <v>38</v>
      </c>
      <c r="V8" s="28" t="s">
        <v>18</v>
      </c>
      <c r="W8" s="31" t="s">
        <v>41</v>
      </c>
      <c r="X8" s="26" t="s">
        <v>51</v>
      </c>
      <c r="Y8" s="26"/>
      <c r="Z8" s="26"/>
      <c r="AA8" s="26" t="s">
        <v>43</v>
      </c>
      <c r="AB8" s="26" t="s">
        <v>4</v>
      </c>
      <c r="AC8" s="35"/>
    </row>
    <row r="9" spans="1:30" ht="52.5" customHeight="1" x14ac:dyDescent="0.25">
      <c r="A9" s="202"/>
      <c r="B9" s="186" t="s">
        <v>100</v>
      </c>
      <c r="C9" s="186" t="s">
        <v>128</v>
      </c>
      <c r="D9" s="232" t="s">
        <v>504</v>
      </c>
      <c r="E9" s="202" t="s">
        <v>101</v>
      </c>
      <c r="F9" s="202"/>
      <c r="G9" s="221"/>
      <c r="H9" s="202" t="s">
        <v>61</v>
      </c>
      <c r="I9" s="233"/>
      <c r="J9" s="202"/>
      <c r="K9" s="234">
        <f>K10</f>
        <v>14464.5</v>
      </c>
      <c r="L9" s="234">
        <f>L10</f>
        <v>0</v>
      </c>
      <c r="M9" s="234">
        <f>M10</f>
        <v>14464.5</v>
      </c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4">
        <f>X10</f>
        <v>0</v>
      </c>
      <c r="Y9" s="234">
        <f>Y10</f>
        <v>2266.56</v>
      </c>
      <c r="Z9" s="234">
        <f>Z10</f>
        <v>0</v>
      </c>
      <c r="AA9" s="234">
        <f>AA10</f>
        <v>2266.56</v>
      </c>
      <c r="AB9" s="234">
        <f>AB10</f>
        <v>12197.94</v>
      </c>
      <c r="AC9" s="235"/>
    </row>
    <row r="10" spans="1:30" ht="162.75" customHeight="1" x14ac:dyDescent="0.3">
      <c r="A10" s="167"/>
      <c r="B10" s="141" t="s">
        <v>510</v>
      </c>
      <c r="C10" s="142" t="s">
        <v>121</v>
      </c>
      <c r="D10" s="206" t="s">
        <v>507</v>
      </c>
      <c r="E10" s="143" t="s">
        <v>508</v>
      </c>
      <c r="F10" s="143" t="s">
        <v>509</v>
      </c>
      <c r="G10" s="209">
        <v>45566</v>
      </c>
      <c r="H10" s="144" t="s">
        <v>651</v>
      </c>
      <c r="I10" s="162">
        <v>15</v>
      </c>
      <c r="J10" s="163">
        <f>K10/I10</f>
        <v>964.3</v>
      </c>
      <c r="K10" s="147">
        <v>14464.5</v>
      </c>
      <c r="L10" s="148">
        <v>0</v>
      </c>
      <c r="M10" s="149">
        <f>SUM(K10:L10)</f>
        <v>14464.5</v>
      </c>
      <c r="N10" s="150">
        <f>IF(K10/15&lt;=SMG,0,L10/2)</f>
        <v>0</v>
      </c>
      <c r="O10" s="150">
        <f t="shared" ref="O10" si="0">K10+N10</f>
        <v>14464.5</v>
      </c>
      <c r="P10" s="150">
        <f>VLOOKUP(O10,Tarifa1,1)</f>
        <v>7641.91</v>
      </c>
      <c r="Q10" s="150">
        <f t="shared" ref="Q10" si="1">O10-P10</f>
        <v>6822.59</v>
      </c>
      <c r="R10" s="151">
        <f>VLOOKUP(O10,Tarifa1,3)</f>
        <v>0.21360000000000001</v>
      </c>
      <c r="S10" s="150">
        <f t="shared" ref="S10" si="2">Q10*R10</f>
        <v>1457.3052240000002</v>
      </c>
      <c r="T10" s="152">
        <f>VLOOKUP(O10,Tarifa1,2)</f>
        <v>809.25</v>
      </c>
      <c r="U10" s="150">
        <f t="shared" ref="U10" si="3">S10+T10</f>
        <v>2266.5552240000002</v>
      </c>
      <c r="V10" s="150">
        <f>VLOOKUP(O10,Credito1,2)</f>
        <v>0</v>
      </c>
      <c r="W10" s="150">
        <f t="shared" ref="W10" si="4">ROUND(U10-V10,2)</f>
        <v>2266.56</v>
      </c>
      <c r="X10" s="149">
        <f>-IF(W10&gt;0,0,0)</f>
        <v>0</v>
      </c>
      <c r="Y10" s="149">
        <f>IF(K10/15&lt;=SMG,0,IF(W10&lt;0,0,W10))</f>
        <v>2266.56</v>
      </c>
      <c r="Z10" s="153">
        <v>0</v>
      </c>
      <c r="AA10" s="149">
        <f>SUM(Y10:Z10)</f>
        <v>2266.56</v>
      </c>
      <c r="AB10" s="149">
        <f>M10+X10-AA10</f>
        <v>12197.94</v>
      </c>
      <c r="AC10" s="113"/>
    </row>
    <row r="11" spans="1:30" ht="56.25" customHeight="1" x14ac:dyDescent="0.25">
      <c r="A11" s="167"/>
      <c r="B11" s="186" t="s">
        <v>100</v>
      </c>
      <c r="C11" s="186" t="s">
        <v>128</v>
      </c>
      <c r="D11" s="232" t="s">
        <v>600</v>
      </c>
      <c r="E11" s="202" t="s">
        <v>101</v>
      </c>
      <c r="F11" s="202"/>
      <c r="G11" s="221"/>
      <c r="H11" s="202" t="s">
        <v>61</v>
      </c>
      <c r="I11" s="233"/>
      <c r="J11" s="202"/>
      <c r="K11" s="234">
        <f>K12</f>
        <v>8057.5</v>
      </c>
      <c r="L11" s="234">
        <f>L12</f>
        <v>0</v>
      </c>
      <c r="M11" s="234">
        <f>M12</f>
        <v>8057.5</v>
      </c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4">
        <f>X12</f>
        <v>0</v>
      </c>
      <c r="Y11" s="234">
        <f>Y12</f>
        <v>898.02</v>
      </c>
      <c r="Z11" s="234">
        <f>Z12</f>
        <v>0</v>
      </c>
      <c r="AA11" s="234">
        <f>AA12</f>
        <v>898.02</v>
      </c>
      <c r="AB11" s="234">
        <f>AB12</f>
        <v>7159.48</v>
      </c>
      <c r="AC11" s="235"/>
    </row>
    <row r="12" spans="1:30" ht="163.5" customHeight="1" x14ac:dyDescent="0.3">
      <c r="A12" s="167"/>
      <c r="B12" s="141" t="s">
        <v>623</v>
      </c>
      <c r="C12" s="142" t="s">
        <v>121</v>
      </c>
      <c r="D12" s="206" t="s">
        <v>602</v>
      </c>
      <c r="E12" s="143" t="s">
        <v>603</v>
      </c>
      <c r="F12" s="143" t="s">
        <v>604</v>
      </c>
      <c r="G12" s="209">
        <v>45581</v>
      </c>
      <c r="H12" s="144" t="s">
        <v>601</v>
      </c>
      <c r="I12" s="145">
        <v>13</v>
      </c>
      <c r="J12" s="146">
        <f t="shared" ref="J12" si="5">K12/I12</f>
        <v>619.80769230769226</v>
      </c>
      <c r="K12" s="147">
        <v>8057.5</v>
      </c>
      <c r="L12" s="148">
        <v>0</v>
      </c>
      <c r="M12" s="149">
        <f t="shared" ref="M12" si="6">SUM(K12:L12)</f>
        <v>8057.5</v>
      </c>
      <c r="N12" s="150">
        <f t="shared" ref="N12" si="7">IF(K12/15&lt;=SMG,0,L12/2)</f>
        <v>0</v>
      </c>
      <c r="O12" s="150">
        <f t="shared" ref="O12" si="8">K12+N12</f>
        <v>8057.5</v>
      </c>
      <c r="P12" s="150">
        <f t="shared" ref="P12" si="9">VLOOKUP(O12,Tarifa1,1)</f>
        <v>7641.91</v>
      </c>
      <c r="Q12" s="150">
        <f t="shared" ref="Q12" si="10">O12-P12</f>
        <v>415.59000000000015</v>
      </c>
      <c r="R12" s="151">
        <f t="shared" ref="R12" si="11">VLOOKUP(O12,Tarifa1,3)</f>
        <v>0.21360000000000001</v>
      </c>
      <c r="S12" s="150">
        <f t="shared" ref="S12" si="12">Q12*R12</f>
        <v>88.770024000000035</v>
      </c>
      <c r="T12" s="152">
        <f t="shared" ref="T12" si="13">VLOOKUP(O12,Tarifa1,2)</f>
        <v>809.25</v>
      </c>
      <c r="U12" s="150">
        <f t="shared" ref="U12" si="14">S12+T12</f>
        <v>898.02002400000003</v>
      </c>
      <c r="V12" s="150">
        <f t="shared" ref="V12" si="15">VLOOKUP(O12,Credito1,2)</f>
        <v>0</v>
      </c>
      <c r="W12" s="150">
        <f t="shared" ref="W12" si="16">ROUND(U12-V12,2)</f>
        <v>898.02</v>
      </c>
      <c r="X12" s="149">
        <f>-IF(W12&gt;0,0,0)</f>
        <v>0</v>
      </c>
      <c r="Y12" s="149">
        <f t="shared" ref="Y12" si="17">IF(K12/15&lt;=SMG,0,IF(W12&lt;0,0,W12))</f>
        <v>898.02</v>
      </c>
      <c r="Z12" s="153">
        <v>0</v>
      </c>
      <c r="AA12" s="149">
        <f t="shared" ref="AA12" si="18">SUM(Y12:Z12)</f>
        <v>898.02</v>
      </c>
      <c r="AB12" s="149">
        <f t="shared" ref="AB12" si="19">M12+X12-AA12</f>
        <v>7159.48</v>
      </c>
      <c r="AC12" s="113"/>
    </row>
    <row r="13" spans="1:30" ht="53.25" customHeight="1" x14ac:dyDescent="0.25">
      <c r="A13" s="167"/>
      <c r="B13" s="186" t="s">
        <v>100</v>
      </c>
      <c r="C13" s="186" t="s">
        <v>128</v>
      </c>
      <c r="D13" s="217" t="s">
        <v>76</v>
      </c>
      <c r="E13" s="202" t="s">
        <v>101</v>
      </c>
      <c r="F13" s="202" t="s">
        <v>247</v>
      </c>
      <c r="G13" s="221"/>
      <c r="H13" s="202" t="s">
        <v>61</v>
      </c>
      <c r="I13" s="202"/>
      <c r="J13" s="202"/>
      <c r="K13" s="234">
        <f>SUM(K14)</f>
        <v>12455.5</v>
      </c>
      <c r="L13" s="234">
        <f>SUM(L14)</f>
        <v>0</v>
      </c>
      <c r="M13" s="234">
        <f>SUM(M14)</f>
        <v>12455.5</v>
      </c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4">
        <f>SUM(X14)</f>
        <v>0</v>
      </c>
      <c r="Y13" s="234">
        <f>SUM(Y14)</f>
        <v>1837.43</v>
      </c>
      <c r="Z13" s="234">
        <f>SUM(Z14)</f>
        <v>0</v>
      </c>
      <c r="AA13" s="234">
        <f>SUM(AA14)</f>
        <v>1837.43</v>
      </c>
      <c r="AB13" s="234">
        <f>SUM(AB14)</f>
        <v>10618.07</v>
      </c>
      <c r="AC13" s="235"/>
    </row>
    <row r="14" spans="1:30" ht="163.5" customHeight="1" x14ac:dyDescent="0.3">
      <c r="A14" s="167"/>
      <c r="B14" s="281">
        <v>160</v>
      </c>
      <c r="C14" s="282" t="s">
        <v>121</v>
      </c>
      <c r="D14" s="206" t="s">
        <v>572</v>
      </c>
      <c r="E14" s="283" t="s">
        <v>573</v>
      </c>
      <c r="F14" s="143" t="s">
        <v>574</v>
      </c>
      <c r="G14" s="209">
        <v>45566</v>
      </c>
      <c r="H14" s="143" t="s">
        <v>76</v>
      </c>
      <c r="I14" s="162">
        <v>15</v>
      </c>
      <c r="J14" s="163">
        <f>K14/I14</f>
        <v>830.36666666666667</v>
      </c>
      <c r="K14" s="164">
        <v>12455.5</v>
      </c>
      <c r="L14" s="165">
        <v>0</v>
      </c>
      <c r="M14" s="166">
        <f>SUM(K14:L14)</f>
        <v>12455.5</v>
      </c>
      <c r="N14" s="150">
        <f>IF(K14/15&lt;=SMG,0,L14/2)</f>
        <v>0</v>
      </c>
      <c r="O14" s="150">
        <f>K14+N14</f>
        <v>12455.5</v>
      </c>
      <c r="P14" s="150">
        <f>VLOOKUP(O14,Tarifa1,1)</f>
        <v>7641.91</v>
      </c>
      <c r="Q14" s="150">
        <f>O14-P14</f>
        <v>4813.59</v>
      </c>
      <c r="R14" s="151">
        <f>VLOOKUP(O14,Tarifa1,3)</f>
        <v>0.21360000000000001</v>
      </c>
      <c r="S14" s="150">
        <f>Q14*R14</f>
        <v>1028.182824</v>
      </c>
      <c r="T14" s="152">
        <f>VLOOKUP(O14,Tarifa1,2)</f>
        <v>809.25</v>
      </c>
      <c r="U14" s="150">
        <f>S14+T14</f>
        <v>1837.432824</v>
      </c>
      <c r="V14" s="150">
        <f>VLOOKUP(O14,Credito1,2)</f>
        <v>0</v>
      </c>
      <c r="W14" s="150">
        <f>ROUND(U14-V14,2)</f>
        <v>1837.43</v>
      </c>
      <c r="X14" s="149">
        <f>-IF(W14&gt;0,0,0)</f>
        <v>0</v>
      </c>
      <c r="Y14" s="149">
        <f>IF(K14/15&lt;=SMG,0,IF(W14&lt;0,0,W14))</f>
        <v>1837.43</v>
      </c>
      <c r="Z14" s="153">
        <v>0</v>
      </c>
      <c r="AA14" s="149">
        <f>SUM(Y14:Z14)</f>
        <v>1837.43</v>
      </c>
      <c r="AB14" s="149">
        <f>M14+X14-AA14</f>
        <v>10618.07</v>
      </c>
      <c r="AC14" s="113"/>
    </row>
    <row r="15" spans="1:30" ht="40.5" customHeight="1" thickBot="1" x14ac:dyDescent="0.3">
      <c r="A15" s="406" t="s">
        <v>44</v>
      </c>
      <c r="B15" s="407"/>
      <c r="C15" s="407"/>
      <c r="D15" s="407"/>
      <c r="E15" s="407"/>
      <c r="F15" s="407"/>
      <c r="G15" s="407"/>
      <c r="H15" s="407"/>
      <c r="I15" s="407"/>
      <c r="J15" s="408"/>
      <c r="K15" s="200">
        <f>K9+K13</f>
        <v>26920</v>
      </c>
      <c r="L15" s="200">
        <f>L9+L13</f>
        <v>0</v>
      </c>
      <c r="M15" s="200">
        <f>M9+M13</f>
        <v>26920</v>
      </c>
      <c r="N15" s="157">
        <f t="shared" ref="N15:W15" si="20">SUM(N10:N10)</f>
        <v>0</v>
      </c>
      <c r="O15" s="157">
        <f t="shared" si="20"/>
        <v>14464.5</v>
      </c>
      <c r="P15" s="157">
        <f t="shared" si="20"/>
        <v>7641.91</v>
      </c>
      <c r="Q15" s="157">
        <f t="shared" si="20"/>
        <v>6822.59</v>
      </c>
      <c r="R15" s="157">
        <f t="shared" si="20"/>
        <v>0.21360000000000001</v>
      </c>
      <c r="S15" s="157">
        <f t="shared" si="20"/>
        <v>1457.3052240000002</v>
      </c>
      <c r="T15" s="157">
        <f t="shared" si="20"/>
        <v>809.25</v>
      </c>
      <c r="U15" s="157">
        <f t="shared" si="20"/>
        <v>2266.5552240000002</v>
      </c>
      <c r="V15" s="157">
        <f t="shared" si="20"/>
        <v>0</v>
      </c>
      <c r="W15" s="157">
        <f t="shared" si="20"/>
        <v>2266.56</v>
      </c>
      <c r="X15" s="200">
        <f>X9+X13</f>
        <v>0</v>
      </c>
      <c r="Y15" s="200">
        <f>Y9+Y13</f>
        <v>4103.99</v>
      </c>
      <c r="Z15" s="200">
        <f>Z9+Z13</f>
        <v>0</v>
      </c>
      <c r="AA15" s="200">
        <f>AA9+AA13</f>
        <v>4103.99</v>
      </c>
      <c r="AB15" s="200">
        <f>AB9+AB13</f>
        <v>22816.010000000002</v>
      </c>
      <c r="AC15" s="114"/>
    </row>
    <row r="16" spans="1:30" ht="13.5" thickTop="1" x14ac:dyDescent="0.2"/>
    <row r="28" spans="4:41" ht="18" x14ac:dyDescent="0.25"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</row>
    <row r="29" spans="4:41" ht="18" x14ac:dyDescent="0.25">
      <c r="D29" s="334" t="s">
        <v>598</v>
      </c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334" t="s">
        <v>156</v>
      </c>
      <c r="Z29" s="114"/>
      <c r="AA29" s="114"/>
      <c r="AB29" s="114"/>
      <c r="AC29" s="114"/>
    </row>
    <row r="30" spans="4:41" ht="18" x14ac:dyDescent="0.25">
      <c r="D30" s="334" t="s">
        <v>624</v>
      </c>
      <c r="E30" s="334"/>
      <c r="F30" s="334"/>
      <c r="G30" s="334"/>
      <c r="H30" s="334"/>
      <c r="I30" s="334"/>
      <c r="J30" s="334"/>
      <c r="K30" s="334"/>
      <c r="L30" s="33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334" t="s">
        <v>235</v>
      </c>
      <c r="Z30" s="114"/>
      <c r="AA30" s="334"/>
      <c r="AB30" s="334"/>
      <c r="AC30" s="334"/>
      <c r="AD30" s="43"/>
      <c r="AE30" s="43"/>
      <c r="AF30" s="43"/>
      <c r="AG30" s="43"/>
      <c r="AH30" s="43"/>
      <c r="AI30" s="43"/>
      <c r="AJ30" s="43"/>
      <c r="AK30" s="43"/>
      <c r="AN30" s="43"/>
      <c r="AO30" s="43"/>
    </row>
    <row r="31" spans="4:41" ht="18" x14ac:dyDescent="0.25"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</row>
    <row r="32" spans="4:41" ht="18" x14ac:dyDescent="0.25"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</row>
  </sheetData>
  <mergeCells count="7">
    <mergeCell ref="A15:J15"/>
    <mergeCell ref="A1:AC1"/>
    <mergeCell ref="A2:AC2"/>
    <mergeCell ref="K6:M6"/>
    <mergeCell ref="P6:U6"/>
    <mergeCell ref="Y6:AA6"/>
    <mergeCell ref="B3:AD3"/>
  </mergeCells>
  <pageMargins left="0.27559055118110237" right="0.27559055118110237" top="0.74803149606299213" bottom="0.74803149606299213" header="0.31496062992125984" footer="0.31496062992125984"/>
  <pageSetup scale="43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50"/>
  <sheetViews>
    <sheetView topLeftCell="B34" zoomScale="66" zoomScaleNormal="66" workbookViewId="0">
      <selection activeCell="G60" sqref="G60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6.5703125" hidden="1" customWidth="1"/>
    <col min="10" max="10" width="10" hidden="1" customWidth="1"/>
    <col min="11" max="11" width="18" customWidth="1"/>
    <col min="12" max="12" width="15" customWidth="1"/>
    <col min="13" max="13" width="18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6.42578125" customWidth="1"/>
    <col min="26" max="26" width="13.7109375" customWidth="1"/>
    <col min="27" max="27" width="15.710937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09" t="s">
        <v>78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</row>
    <row r="2" spans="1:35" ht="19.5" x14ac:dyDescent="0.25">
      <c r="A2" s="409" t="s">
        <v>64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09"/>
    </row>
    <row r="3" spans="1:35" ht="19.5" x14ac:dyDescent="0.25">
      <c r="A3" s="410" t="str">
        <f>PRESIDENCIA!A3</f>
        <v>SUELDO  DEL 16 AL 30 DE NOVIEMBRE DE 2024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0"/>
      <c r="Z3" s="410"/>
      <c r="AA3" s="410"/>
      <c r="AB3" s="410"/>
      <c r="AC3" s="410"/>
    </row>
    <row r="4" spans="1:35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35" s="53" customFormat="1" ht="12.75" customHeight="1" x14ac:dyDescent="0.2">
      <c r="A5" s="49"/>
      <c r="B5" s="49"/>
      <c r="C5" s="431" t="s">
        <v>122</v>
      </c>
      <c r="D5" s="49"/>
      <c r="E5" s="49"/>
      <c r="F5" s="49"/>
      <c r="G5" s="49"/>
      <c r="H5" s="49"/>
      <c r="I5" s="50" t="s">
        <v>22</v>
      </c>
      <c r="J5" s="50" t="s">
        <v>5</v>
      </c>
      <c r="K5" s="434" t="s">
        <v>1</v>
      </c>
      <c r="L5" s="435"/>
      <c r="M5" s="436"/>
      <c r="N5" s="51" t="s">
        <v>25</v>
      </c>
      <c r="O5" s="52"/>
      <c r="P5" s="437" t="s">
        <v>8</v>
      </c>
      <c r="Q5" s="438"/>
      <c r="R5" s="438"/>
      <c r="S5" s="438"/>
      <c r="T5" s="438"/>
      <c r="U5" s="439"/>
      <c r="V5" s="51" t="s">
        <v>29</v>
      </c>
      <c r="W5" s="51" t="s">
        <v>9</v>
      </c>
      <c r="X5" s="50" t="s">
        <v>52</v>
      </c>
      <c r="Y5" s="440" t="s">
        <v>2</v>
      </c>
      <c r="Z5" s="441"/>
      <c r="AA5" s="442"/>
      <c r="AB5" s="50" t="s">
        <v>0</v>
      </c>
      <c r="AC5" s="49"/>
    </row>
    <row r="6" spans="1:35" s="53" customFormat="1" ht="24" x14ac:dyDescent="0.2">
      <c r="A6" s="54" t="s">
        <v>20</v>
      </c>
      <c r="B6" s="48" t="s">
        <v>100</v>
      </c>
      <c r="C6" s="432"/>
      <c r="D6" s="54" t="s">
        <v>21</v>
      </c>
      <c r="E6" s="54"/>
      <c r="F6" s="54"/>
      <c r="G6" s="54"/>
      <c r="H6" s="54"/>
      <c r="I6" s="55" t="s">
        <v>23</v>
      </c>
      <c r="J6" s="54" t="s">
        <v>24</v>
      </c>
      <c r="K6" s="50" t="s">
        <v>5</v>
      </c>
      <c r="L6" s="50" t="s">
        <v>58</v>
      </c>
      <c r="M6" s="50" t="s">
        <v>27</v>
      </c>
      <c r="N6" s="56" t="s">
        <v>26</v>
      </c>
      <c r="O6" s="52" t="s">
        <v>31</v>
      </c>
      <c r="P6" s="52" t="s">
        <v>11</v>
      </c>
      <c r="Q6" s="52" t="s">
        <v>33</v>
      </c>
      <c r="R6" s="52" t="s">
        <v>35</v>
      </c>
      <c r="S6" s="52" t="s">
        <v>36</v>
      </c>
      <c r="T6" s="52" t="s">
        <v>13</v>
      </c>
      <c r="U6" s="52" t="s">
        <v>9</v>
      </c>
      <c r="V6" s="56" t="s">
        <v>39</v>
      </c>
      <c r="W6" s="56" t="s">
        <v>40</v>
      </c>
      <c r="X6" s="54" t="s">
        <v>30</v>
      </c>
      <c r="Y6" s="50" t="s">
        <v>312</v>
      </c>
      <c r="Z6" s="50" t="s">
        <v>56</v>
      </c>
      <c r="AA6" s="50" t="s">
        <v>6</v>
      </c>
      <c r="AB6" s="54" t="s">
        <v>3</v>
      </c>
      <c r="AC6" s="54" t="s">
        <v>57</v>
      </c>
    </row>
    <row r="7" spans="1:35" s="53" customFormat="1" ht="12" x14ac:dyDescent="0.2">
      <c r="A7" s="63"/>
      <c r="B7" s="63"/>
      <c r="C7" s="433"/>
      <c r="D7" s="63"/>
      <c r="E7" s="63"/>
      <c r="F7" s="63"/>
      <c r="G7" s="63"/>
      <c r="H7" s="63"/>
      <c r="I7" s="63"/>
      <c r="J7" s="63"/>
      <c r="K7" s="63" t="s">
        <v>46</v>
      </c>
      <c r="L7" s="63" t="s">
        <v>59</v>
      </c>
      <c r="M7" s="63" t="s">
        <v>28</v>
      </c>
      <c r="N7" s="64" t="s">
        <v>42</v>
      </c>
      <c r="O7" s="51" t="s">
        <v>32</v>
      </c>
      <c r="P7" s="51" t="s">
        <v>12</v>
      </c>
      <c r="Q7" s="51" t="s">
        <v>34</v>
      </c>
      <c r="R7" s="51" t="s">
        <v>34</v>
      </c>
      <c r="S7" s="51" t="s">
        <v>37</v>
      </c>
      <c r="T7" s="51" t="s">
        <v>14</v>
      </c>
      <c r="U7" s="51" t="s">
        <v>38</v>
      </c>
      <c r="V7" s="56" t="s">
        <v>18</v>
      </c>
      <c r="W7" s="57" t="s">
        <v>129</v>
      </c>
      <c r="X7" s="63" t="s">
        <v>51</v>
      </c>
      <c r="Y7" s="63"/>
      <c r="Z7" s="63"/>
      <c r="AA7" s="63" t="s">
        <v>43</v>
      </c>
      <c r="AB7" s="63" t="s">
        <v>4</v>
      </c>
      <c r="AC7" s="59"/>
    </row>
    <row r="8" spans="1:35" s="53" customFormat="1" ht="35.25" customHeight="1" x14ac:dyDescent="0.25">
      <c r="A8" s="65"/>
      <c r="B8" s="134"/>
      <c r="C8" s="134"/>
      <c r="D8" s="133" t="s">
        <v>68</v>
      </c>
      <c r="E8" s="134" t="s">
        <v>101</v>
      </c>
      <c r="F8" s="134" t="s">
        <v>247</v>
      </c>
      <c r="G8" s="132" t="s">
        <v>322</v>
      </c>
      <c r="H8" s="134" t="s">
        <v>61</v>
      </c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5"/>
      <c r="X8" s="134"/>
      <c r="Y8" s="134"/>
      <c r="Z8" s="134"/>
      <c r="AA8" s="134"/>
      <c r="AB8" s="134"/>
      <c r="AC8" s="66"/>
    </row>
    <row r="9" spans="1:35" s="95" customFormat="1" ht="184.5" customHeight="1" x14ac:dyDescent="0.35">
      <c r="A9" s="112" t="s">
        <v>86</v>
      </c>
      <c r="B9" s="141" t="s">
        <v>571</v>
      </c>
      <c r="C9" s="142" t="s">
        <v>121</v>
      </c>
      <c r="D9" s="294" t="s">
        <v>505</v>
      </c>
      <c r="E9" s="143" t="s">
        <v>599</v>
      </c>
      <c r="F9" s="143" t="s">
        <v>506</v>
      </c>
      <c r="G9" s="324">
        <v>45566</v>
      </c>
      <c r="H9" s="206" t="s">
        <v>323</v>
      </c>
      <c r="I9" s="311">
        <v>15</v>
      </c>
      <c r="J9" s="312">
        <f t="shared" ref="J9:J12" si="0">K9/I9</f>
        <v>779.9666666666667</v>
      </c>
      <c r="K9" s="313">
        <v>11699.5</v>
      </c>
      <c r="L9" s="314">
        <v>0</v>
      </c>
      <c r="M9" s="315">
        <f>SUM(K9:L9)</f>
        <v>11699.5</v>
      </c>
      <c r="N9" s="316">
        <f>IF(K9/15&lt;=SMG,0,L9/2)</f>
        <v>0</v>
      </c>
      <c r="O9" s="316">
        <f t="shared" ref="O9:O11" si="1">K9+N9</f>
        <v>11699.5</v>
      </c>
      <c r="P9" s="316">
        <f t="shared" ref="P9" si="2">VLOOKUP(O9,Tarifa1,1)</f>
        <v>7641.91</v>
      </c>
      <c r="Q9" s="316">
        <f t="shared" ref="Q9:Q11" si="3">O9-P9</f>
        <v>4057.59</v>
      </c>
      <c r="R9" s="317">
        <f t="shared" ref="R9" si="4">VLOOKUP(O9,Tarifa1,3)</f>
        <v>0.21360000000000001</v>
      </c>
      <c r="S9" s="316">
        <f t="shared" ref="S9:S11" si="5">Q9*R9</f>
        <v>866.70122400000002</v>
      </c>
      <c r="T9" s="318">
        <f t="shared" ref="T9" si="6">VLOOKUP(O9,Tarifa1,2)</f>
        <v>809.25</v>
      </c>
      <c r="U9" s="316">
        <f t="shared" ref="U9:U11" si="7">S9+T9</f>
        <v>1675.9512239999999</v>
      </c>
      <c r="V9" s="316">
        <f t="shared" ref="V9" si="8">VLOOKUP(O9,Credito1,2)</f>
        <v>0</v>
      </c>
      <c r="W9" s="316">
        <f t="shared" ref="W9:W11" si="9">ROUND(U9-V9,2)</f>
        <v>1675.95</v>
      </c>
      <c r="X9" s="315">
        <f>-IF(W9&gt;0,0,0)</f>
        <v>0</v>
      </c>
      <c r="Y9" s="315">
        <f t="shared" ref="Y9" si="10">IF(K9/15&lt;=SMG,0,IF(W9&lt;0,0,W9))</f>
        <v>1675.95</v>
      </c>
      <c r="Z9" s="319">
        <v>0</v>
      </c>
      <c r="AA9" s="315">
        <f t="shared" ref="AA9:AA13" si="11">SUM(Y9:Z9)</f>
        <v>1675.95</v>
      </c>
      <c r="AB9" s="315">
        <f t="shared" ref="AB9" si="12">M9+X9-AA9</f>
        <v>10023.549999999999</v>
      </c>
      <c r="AC9" s="113"/>
      <c r="AD9" s="97"/>
      <c r="AI9" s="98"/>
    </row>
    <row r="10" spans="1:35" s="95" customFormat="1" ht="184.5" customHeight="1" x14ac:dyDescent="0.35">
      <c r="A10" s="112"/>
      <c r="B10" s="141" t="s">
        <v>615</v>
      </c>
      <c r="C10" s="142" t="s">
        <v>121</v>
      </c>
      <c r="D10" s="294" t="s">
        <v>616</v>
      </c>
      <c r="E10" s="143" t="s">
        <v>617</v>
      </c>
      <c r="F10" s="143" t="s">
        <v>618</v>
      </c>
      <c r="G10" s="324">
        <v>45581</v>
      </c>
      <c r="H10" s="206" t="s">
        <v>619</v>
      </c>
      <c r="I10" s="311"/>
      <c r="J10" s="312"/>
      <c r="K10" s="313">
        <v>11699.5</v>
      </c>
      <c r="L10" s="314">
        <v>0</v>
      </c>
      <c r="M10" s="315">
        <f>SUM(K10:L10)</f>
        <v>11699.5</v>
      </c>
      <c r="N10" s="316">
        <f>IF(K10/15&lt;=SMG,0,L10/2)</f>
        <v>0</v>
      </c>
      <c r="O10" s="316">
        <f t="shared" ref="O10" si="13">K10+N10</f>
        <v>11699.5</v>
      </c>
      <c r="P10" s="316">
        <f t="shared" ref="P10" si="14">VLOOKUP(O10,Tarifa1,1)</f>
        <v>7641.91</v>
      </c>
      <c r="Q10" s="316">
        <f t="shared" ref="Q10" si="15">O10-P10</f>
        <v>4057.59</v>
      </c>
      <c r="R10" s="317">
        <f t="shared" ref="R10" si="16">VLOOKUP(O10,Tarifa1,3)</f>
        <v>0.21360000000000001</v>
      </c>
      <c r="S10" s="316">
        <f t="shared" ref="S10" si="17">Q10*R10</f>
        <v>866.70122400000002</v>
      </c>
      <c r="T10" s="318">
        <f t="shared" ref="T10" si="18">VLOOKUP(O10,Tarifa1,2)</f>
        <v>809.25</v>
      </c>
      <c r="U10" s="316">
        <f t="shared" ref="U10" si="19">S10+T10</f>
        <v>1675.9512239999999</v>
      </c>
      <c r="V10" s="316">
        <f t="shared" ref="V10" si="20">VLOOKUP(O10,Credito1,2)</f>
        <v>0</v>
      </c>
      <c r="W10" s="316">
        <f t="shared" ref="W10" si="21">ROUND(U10-V10,2)</f>
        <v>1675.95</v>
      </c>
      <c r="X10" s="315">
        <f>-IF(W10&gt;0,0,0)</f>
        <v>0</v>
      </c>
      <c r="Y10" s="315">
        <f t="shared" ref="Y10" si="22">IF(K10/15&lt;=SMG,0,IF(W10&lt;0,0,W10))</f>
        <v>1675.95</v>
      </c>
      <c r="Z10" s="319">
        <v>0</v>
      </c>
      <c r="AA10" s="315">
        <f t="shared" ref="AA10" si="23">SUM(Y10:Z10)</f>
        <v>1675.95</v>
      </c>
      <c r="AB10" s="315">
        <f t="shared" ref="AB10" si="24">M10+X10-AA10</f>
        <v>10023.549999999999</v>
      </c>
      <c r="AC10" s="113"/>
      <c r="AD10" s="97"/>
      <c r="AI10" s="98"/>
    </row>
    <row r="11" spans="1:35" s="95" customFormat="1" ht="184.5" customHeight="1" x14ac:dyDescent="0.35">
      <c r="A11" s="112"/>
      <c r="B11" s="141" t="s">
        <v>353</v>
      </c>
      <c r="C11" s="142" t="s">
        <v>121</v>
      </c>
      <c r="D11" s="294" t="s">
        <v>364</v>
      </c>
      <c r="E11" s="143" t="s">
        <v>365</v>
      </c>
      <c r="F11" s="143" t="s">
        <v>367</v>
      </c>
      <c r="G11" s="324">
        <v>45139</v>
      </c>
      <c r="H11" s="206" t="s">
        <v>366</v>
      </c>
      <c r="I11" s="311"/>
      <c r="J11" s="312"/>
      <c r="K11" s="313">
        <v>4509</v>
      </c>
      <c r="L11" s="314">
        <v>0</v>
      </c>
      <c r="M11" s="315">
        <f>SUM(K11:L11)</f>
        <v>4509</v>
      </c>
      <c r="N11" s="316">
        <f>IF(K11/15&lt;=SMG,0,L11/2)</f>
        <v>0</v>
      </c>
      <c r="O11" s="316">
        <f t="shared" si="1"/>
        <v>4509</v>
      </c>
      <c r="P11" s="316">
        <f>VLOOKUP(O11,Tarifa1,1)</f>
        <v>3124.36</v>
      </c>
      <c r="Q11" s="316">
        <f t="shared" si="3"/>
        <v>1384.6399999999999</v>
      </c>
      <c r="R11" s="317">
        <f>VLOOKUP(O11,Tarifa1,3)</f>
        <v>0.10879999999999999</v>
      </c>
      <c r="S11" s="316">
        <f t="shared" si="5"/>
        <v>150.64883199999997</v>
      </c>
      <c r="T11" s="318">
        <f>VLOOKUP(O11,Tarifa1,2)</f>
        <v>183.45</v>
      </c>
      <c r="U11" s="316">
        <f t="shared" si="7"/>
        <v>334.09883199999996</v>
      </c>
      <c r="V11" s="316">
        <f>VLOOKUP(O11,Credito1,2)</f>
        <v>195</v>
      </c>
      <c r="W11" s="316">
        <f t="shared" si="9"/>
        <v>139.1</v>
      </c>
      <c r="X11" s="315">
        <f t="shared" ref="X11:X14" si="25">-IF(W11&gt;0,0,0)</f>
        <v>0</v>
      </c>
      <c r="Y11" s="315">
        <f>IF(K11/15&lt;=SMG,0,IF(W11&lt;0,0,W11))</f>
        <v>139.1</v>
      </c>
      <c r="Z11" s="319">
        <v>0</v>
      </c>
      <c r="AA11" s="315">
        <f>SUM(Y11:Z11)</f>
        <v>139.1</v>
      </c>
      <c r="AB11" s="315">
        <f>M11+X11-AA11</f>
        <v>4369.8999999999996</v>
      </c>
      <c r="AC11" s="113"/>
      <c r="AD11" s="97"/>
      <c r="AI11" s="98"/>
    </row>
    <row r="12" spans="1:35" s="95" customFormat="1" ht="184.5" customHeight="1" x14ac:dyDescent="0.35">
      <c r="A12" s="112"/>
      <c r="B12" s="142" t="s">
        <v>206</v>
      </c>
      <c r="C12" s="142" t="s">
        <v>121</v>
      </c>
      <c r="D12" s="294" t="s">
        <v>207</v>
      </c>
      <c r="E12" s="143" t="s">
        <v>208</v>
      </c>
      <c r="F12" s="143" t="s">
        <v>276</v>
      </c>
      <c r="G12" s="324">
        <v>43983</v>
      </c>
      <c r="H12" s="206" t="s">
        <v>285</v>
      </c>
      <c r="I12" s="311">
        <v>15</v>
      </c>
      <c r="J12" s="312">
        <f t="shared" si="0"/>
        <v>779.9666666666667</v>
      </c>
      <c r="K12" s="313">
        <v>11699.5</v>
      </c>
      <c r="L12" s="314">
        <v>1119.57</v>
      </c>
      <c r="M12" s="315">
        <f>SUM(K12:L12)</f>
        <v>12819.07</v>
      </c>
      <c r="N12" s="316">
        <f>IF(K12/15&lt;=SMG,0,L12/2)</f>
        <v>559.78499999999997</v>
      </c>
      <c r="O12" s="316">
        <f t="shared" ref="O12:O13" si="26">K12+N12</f>
        <v>12259.285</v>
      </c>
      <c r="P12" s="316">
        <f t="shared" ref="P12" si="27">VLOOKUP(O12,Tarifa1,1)</f>
        <v>7641.91</v>
      </c>
      <c r="Q12" s="316">
        <f t="shared" ref="Q12:Q13" si="28">O12-P12</f>
        <v>4617.375</v>
      </c>
      <c r="R12" s="317">
        <f t="shared" ref="R12" si="29">VLOOKUP(O12,Tarifa1,3)</f>
        <v>0.21360000000000001</v>
      </c>
      <c r="S12" s="316">
        <f t="shared" ref="S12:S13" si="30">Q12*R12</f>
        <v>986.27130000000011</v>
      </c>
      <c r="T12" s="318">
        <f t="shared" ref="T12" si="31">VLOOKUP(O12,Tarifa1,2)</f>
        <v>809.25</v>
      </c>
      <c r="U12" s="316">
        <f t="shared" ref="U12:U13" si="32">S12+T12</f>
        <v>1795.5213000000001</v>
      </c>
      <c r="V12" s="316">
        <f t="shared" ref="V12" si="33">VLOOKUP(O12,Credito1,2)</f>
        <v>0</v>
      </c>
      <c r="W12" s="316">
        <f t="shared" ref="W12:W13" si="34">ROUND(U12-V12,2)</f>
        <v>1795.52</v>
      </c>
      <c r="X12" s="315">
        <f t="shared" si="25"/>
        <v>0</v>
      </c>
      <c r="Y12" s="315">
        <f t="shared" ref="Y12" si="35">IF(K12/15&lt;=SMG,0,IF(W12&lt;0,0,W12))</f>
        <v>1795.52</v>
      </c>
      <c r="Z12" s="319">
        <v>0</v>
      </c>
      <c r="AA12" s="315">
        <f t="shared" si="11"/>
        <v>1795.52</v>
      </c>
      <c r="AB12" s="315">
        <f t="shared" ref="AB12" si="36">M12+X12-AA12</f>
        <v>11023.55</v>
      </c>
      <c r="AC12" s="113"/>
      <c r="AD12" s="97"/>
      <c r="AI12" s="98"/>
    </row>
    <row r="13" spans="1:35" s="95" customFormat="1" ht="184.5" customHeight="1" x14ac:dyDescent="0.35">
      <c r="A13" s="112"/>
      <c r="B13" s="141" t="s">
        <v>654</v>
      </c>
      <c r="C13" s="141" t="s">
        <v>121</v>
      </c>
      <c r="D13" s="295" t="s">
        <v>655</v>
      </c>
      <c r="E13" s="159" t="s">
        <v>656</v>
      </c>
      <c r="F13" s="293" t="s">
        <v>657</v>
      </c>
      <c r="G13" s="328">
        <v>45616</v>
      </c>
      <c r="H13" s="206" t="s">
        <v>67</v>
      </c>
      <c r="I13" s="311"/>
      <c r="J13" s="312"/>
      <c r="K13" s="313">
        <v>4635.28</v>
      </c>
      <c r="L13" s="314">
        <v>0</v>
      </c>
      <c r="M13" s="313">
        <f>K13</f>
        <v>4635.28</v>
      </c>
      <c r="N13" s="316">
        <f t="shared" ref="N13" si="37">IF(K13/15&lt;=SMG,0,L13/2)</f>
        <v>0</v>
      </c>
      <c r="O13" s="316">
        <f t="shared" si="26"/>
        <v>4635.28</v>
      </c>
      <c r="P13" s="316">
        <f t="shared" ref="P13" si="38">VLOOKUP(O13,Tarifa1,1)</f>
        <v>3124.36</v>
      </c>
      <c r="Q13" s="316">
        <f t="shared" si="28"/>
        <v>1510.9199999999996</v>
      </c>
      <c r="R13" s="317">
        <f t="shared" ref="R13" si="39">VLOOKUP(O13,Tarifa1,3)</f>
        <v>0.10879999999999999</v>
      </c>
      <c r="S13" s="316">
        <f t="shared" si="30"/>
        <v>164.38809599999996</v>
      </c>
      <c r="T13" s="318">
        <f t="shared" ref="T13" si="40">VLOOKUP(O13,Tarifa1,2)</f>
        <v>183.45</v>
      </c>
      <c r="U13" s="316">
        <f t="shared" si="32"/>
        <v>347.83809599999995</v>
      </c>
      <c r="V13" s="316">
        <f t="shared" ref="V13" si="41">VLOOKUP(O13,Credito1,2)</f>
        <v>0</v>
      </c>
      <c r="W13" s="316">
        <f t="shared" si="34"/>
        <v>347.84</v>
      </c>
      <c r="X13" s="315">
        <f t="shared" si="25"/>
        <v>0</v>
      </c>
      <c r="Y13" s="315">
        <f t="shared" ref="Y13" si="42">IF(K13/15&lt;=SMG,0,IF(W13&lt;0,0,W13))</f>
        <v>347.84</v>
      </c>
      <c r="Z13" s="319">
        <v>0</v>
      </c>
      <c r="AA13" s="315">
        <f t="shared" si="11"/>
        <v>347.84</v>
      </c>
      <c r="AB13" s="315">
        <f>M13+X13-AA13+L13</f>
        <v>4287.4399999999996</v>
      </c>
      <c r="AC13" s="113"/>
      <c r="AD13" s="97"/>
      <c r="AI13" s="98"/>
    </row>
    <row r="14" spans="1:35" s="95" customFormat="1" ht="184.5" customHeight="1" x14ac:dyDescent="0.35">
      <c r="A14" s="112"/>
      <c r="B14" s="141" t="s">
        <v>333</v>
      </c>
      <c r="C14" s="141" t="s">
        <v>121</v>
      </c>
      <c r="D14" s="295" t="s">
        <v>331</v>
      </c>
      <c r="E14" s="183" t="s">
        <v>334</v>
      </c>
      <c r="F14" s="267" t="s">
        <v>332</v>
      </c>
      <c r="G14" s="329">
        <v>45042</v>
      </c>
      <c r="H14" s="206" t="s">
        <v>67</v>
      </c>
      <c r="I14" s="311"/>
      <c r="J14" s="312"/>
      <c r="K14" s="313">
        <v>6440.5</v>
      </c>
      <c r="L14" s="314">
        <v>1098.42</v>
      </c>
      <c r="M14" s="313">
        <f>K14</f>
        <v>6440.5</v>
      </c>
      <c r="N14" s="316">
        <f t="shared" ref="N14" si="43">IF(K14/15&lt;=SMG,0,L14/2)</f>
        <v>549.21</v>
      </c>
      <c r="O14" s="316">
        <f t="shared" ref="O14" si="44">K14+N14</f>
        <v>6989.71</v>
      </c>
      <c r="P14" s="316">
        <f t="shared" ref="P14" si="45">VLOOKUP(O14,Tarifa1,1)</f>
        <v>6382.81</v>
      </c>
      <c r="Q14" s="316">
        <f t="shared" ref="Q14" si="46">O14-P14</f>
        <v>606.89999999999964</v>
      </c>
      <c r="R14" s="317">
        <f t="shared" ref="R14" si="47">VLOOKUP(O14,Tarifa1,3)</f>
        <v>0.1792</v>
      </c>
      <c r="S14" s="316">
        <f t="shared" ref="S14" si="48">Q14*R14</f>
        <v>108.75647999999994</v>
      </c>
      <c r="T14" s="318">
        <f t="shared" ref="T14" si="49">VLOOKUP(O14,Tarifa1,2)</f>
        <v>583.65</v>
      </c>
      <c r="U14" s="316">
        <f t="shared" ref="U14" si="50">S14+T14</f>
        <v>692.40647999999987</v>
      </c>
      <c r="V14" s="316">
        <f t="shared" ref="V14" si="51">VLOOKUP(O14,Credito1,2)</f>
        <v>0</v>
      </c>
      <c r="W14" s="316">
        <f t="shared" ref="W14" si="52">ROUND(U14-V14,2)</f>
        <v>692.41</v>
      </c>
      <c r="X14" s="315">
        <f t="shared" si="25"/>
        <v>0</v>
      </c>
      <c r="Y14" s="315">
        <f t="shared" ref="Y14" si="53">IF(K14/15&lt;=SMG,0,IF(W14&lt;0,0,W14))</f>
        <v>692.41</v>
      </c>
      <c r="Z14" s="319">
        <v>0</v>
      </c>
      <c r="AA14" s="315">
        <f t="shared" ref="AA14" si="54">SUM(Y14:Z14)</f>
        <v>692.41</v>
      </c>
      <c r="AB14" s="315">
        <f>M14+X14-AA14+L14</f>
        <v>6846.51</v>
      </c>
      <c r="AC14" s="113"/>
      <c r="AI14" s="98"/>
    </row>
    <row r="15" spans="1:35" s="95" customFormat="1" ht="184.5" customHeight="1" x14ac:dyDescent="0.35">
      <c r="A15" s="172"/>
      <c r="B15" s="141" t="s">
        <v>337</v>
      </c>
      <c r="C15" s="141" t="s">
        <v>121</v>
      </c>
      <c r="D15" s="295" t="s">
        <v>338</v>
      </c>
      <c r="E15" s="183" t="s">
        <v>339</v>
      </c>
      <c r="F15" s="267" t="s">
        <v>340</v>
      </c>
      <c r="G15" s="329">
        <v>45078</v>
      </c>
      <c r="H15" s="206" t="s">
        <v>341</v>
      </c>
      <c r="I15" s="311"/>
      <c r="J15" s="312"/>
      <c r="K15" s="313">
        <v>8808.5</v>
      </c>
      <c r="L15" s="314">
        <v>1119.57</v>
      </c>
      <c r="M15" s="315">
        <f t="shared" ref="M15" si="55">SUM(K15:L15)</f>
        <v>9928.07</v>
      </c>
      <c r="N15" s="316">
        <f t="shared" ref="N15" si="56">IF(K15/15&lt;=SMG,0,L15/2)</f>
        <v>559.78499999999997</v>
      </c>
      <c r="O15" s="316">
        <f t="shared" ref="O15" si="57">K15+N15</f>
        <v>9368.2849999999999</v>
      </c>
      <c r="P15" s="316">
        <f t="shared" ref="P15" si="58">VLOOKUP(O15,Tarifa1,1)</f>
        <v>7641.91</v>
      </c>
      <c r="Q15" s="316">
        <f t="shared" ref="Q15" si="59">O15-P15</f>
        <v>1726.375</v>
      </c>
      <c r="R15" s="317">
        <f t="shared" ref="R15" si="60">VLOOKUP(O15,Tarifa1,3)</f>
        <v>0.21360000000000001</v>
      </c>
      <c r="S15" s="316">
        <f t="shared" ref="S15" si="61">Q15*R15</f>
        <v>368.75370000000004</v>
      </c>
      <c r="T15" s="318">
        <f t="shared" ref="T15" si="62">VLOOKUP(O15,Tarifa1,2)</f>
        <v>809.25</v>
      </c>
      <c r="U15" s="316">
        <f t="shared" ref="U15" si="63">S15+T15</f>
        <v>1178.0037</v>
      </c>
      <c r="V15" s="316">
        <f t="shared" ref="V15" si="64">VLOOKUP(O15,Credito1,2)</f>
        <v>0</v>
      </c>
      <c r="W15" s="316">
        <f t="shared" ref="W15" si="65">ROUND(U15-V15,2)</f>
        <v>1178</v>
      </c>
      <c r="X15" s="315">
        <f t="shared" ref="X15" si="66">-IF(W15&gt;0,0,0)</f>
        <v>0</v>
      </c>
      <c r="Y15" s="315">
        <f t="shared" ref="Y15" si="67">IF(K15/15&lt;=SMG,0,IF(W15&lt;0,0,W15))</f>
        <v>1178</v>
      </c>
      <c r="Z15" s="319">
        <v>0</v>
      </c>
      <c r="AA15" s="315">
        <f t="shared" ref="AA15" si="68">SUM(Y15:Z15)</f>
        <v>1178</v>
      </c>
      <c r="AB15" s="315">
        <f t="shared" ref="AB15" si="69">M15+X15-AA15</f>
        <v>8750.07</v>
      </c>
      <c r="AC15" s="113"/>
      <c r="AI15" s="98"/>
    </row>
    <row r="16" spans="1:35" s="95" customFormat="1" ht="13.5" customHeight="1" x14ac:dyDescent="0.25">
      <c r="A16" s="172"/>
      <c r="B16" s="182"/>
      <c r="C16" s="182"/>
      <c r="D16" s="189"/>
      <c r="E16" s="190"/>
      <c r="F16" s="190"/>
      <c r="G16" s="190"/>
      <c r="H16" s="191"/>
      <c r="I16" s="192"/>
      <c r="J16" s="193"/>
      <c r="K16" s="194"/>
      <c r="L16" s="195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14"/>
      <c r="AI16" s="98"/>
    </row>
    <row r="17" spans="1:35" s="95" customFormat="1" ht="22.5" customHeight="1" x14ac:dyDescent="0.25">
      <c r="A17" s="172"/>
      <c r="B17" s="409" t="s">
        <v>78</v>
      </c>
      <c r="C17" s="409"/>
      <c r="D17" s="409"/>
      <c r="E17" s="409"/>
      <c r="F17" s="409"/>
      <c r="G17" s="409"/>
      <c r="H17" s="409"/>
      <c r="I17" s="409"/>
      <c r="J17" s="409"/>
      <c r="K17" s="409"/>
      <c r="L17" s="409"/>
      <c r="M17" s="409"/>
      <c r="N17" s="409"/>
      <c r="O17" s="409"/>
      <c r="P17" s="409"/>
      <c r="Q17" s="409"/>
      <c r="R17" s="409"/>
      <c r="S17" s="409"/>
      <c r="T17" s="409"/>
      <c r="U17" s="409"/>
      <c r="V17" s="409"/>
      <c r="W17" s="409"/>
      <c r="X17" s="409"/>
      <c r="Y17" s="409"/>
      <c r="Z17" s="409"/>
      <c r="AA17" s="409"/>
      <c r="AB17" s="409"/>
      <c r="AC17" s="409"/>
      <c r="AD17" s="409"/>
      <c r="AI17" s="98"/>
    </row>
    <row r="18" spans="1:35" s="95" customFormat="1" ht="19.5" customHeight="1" x14ac:dyDescent="0.25">
      <c r="A18" s="172"/>
      <c r="B18" s="409" t="s">
        <v>64</v>
      </c>
      <c r="C18" s="409"/>
      <c r="D18" s="409"/>
      <c r="E18" s="409"/>
      <c r="F18" s="409"/>
      <c r="G18" s="409"/>
      <c r="H18" s="409"/>
      <c r="I18" s="409"/>
      <c r="J18" s="409"/>
      <c r="K18" s="409"/>
      <c r="L18" s="409"/>
      <c r="M18" s="409"/>
      <c r="N18" s="409"/>
      <c r="O18" s="409"/>
      <c r="P18" s="409"/>
      <c r="Q18" s="409"/>
      <c r="R18" s="409"/>
      <c r="S18" s="409"/>
      <c r="T18" s="409"/>
      <c r="U18" s="409"/>
      <c r="V18" s="409"/>
      <c r="W18" s="409"/>
      <c r="X18" s="409"/>
      <c r="Y18" s="409"/>
      <c r="Z18" s="409"/>
      <c r="AA18" s="409"/>
      <c r="AB18" s="409"/>
      <c r="AC18" s="409"/>
      <c r="AD18" s="409"/>
      <c r="AI18" s="98"/>
    </row>
    <row r="19" spans="1:35" s="95" customFormat="1" ht="21.75" customHeight="1" x14ac:dyDescent="0.25">
      <c r="A19" s="172"/>
      <c r="B19" s="410" t="str">
        <f>PRESIDENCIA!A3</f>
        <v>SUELDO  DEL 16 AL 30 DE NOVIEMBRE DE 2024</v>
      </c>
      <c r="C19" s="410"/>
      <c r="D19" s="410"/>
      <c r="E19" s="410"/>
      <c r="F19" s="410"/>
      <c r="G19" s="410"/>
      <c r="H19" s="410"/>
      <c r="I19" s="410"/>
      <c r="J19" s="410"/>
      <c r="K19" s="410"/>
      <c r="L19" s="410"/>
      <c r="M19" s="410"/>
      <c r="N19" s="410"/>
      <c r="O19" s="410"/>
      <c r="P19" s="410"/>
      <c r="Q19" s="410"/>
      <c r="R19" s="410"/>
      <c r="S19" s="410"/>
      <c r="T19" s="410"/>
      <c r="U19" s="410"/>
      <c r="V19" s="410"/>
      <c r="W19" s="410"/>
      <c r="X19" s="410"/>
      <c r="Y19" s="410"/>
      <c r="Z19" s="410"/>
      <c r="AA19" s="410"/>
      <c r="AB19" s="410"/>
      <c r="AC19" s="410"/>
      <c r="AD19" s="410"/>
      <c r="AI19" s="98"/>
    </row>
    <row r="20" spans="1:35" s="95" customFormat="1" ht="17.25" customHeight="1" x14ac:dyDescent="0.25">
      <c r="A20" s="172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I20" s="98"/>
    </row>
    <row r="21" spans="1:35" s="95" customFormat="1" ht="184.5" customHeight="1" x14ac:dyDescent="0.35">
      <c r="A21" s="172"/>
      <c r="B21" s="142" t="s">
        <v>185</v>
      </c>
      <c r="C21" s="142" t="s">
        <v>121</v>
      </c>
      <c r="D21" s="296" t="s">
        <v>176</v>
      </c>
      <c r="E21" s="154" t="s">
        <v>182</v>
      </c>
      <c r="F21" s="154" t="s">
        <v>267</v>
      </c>
      <c r="G21" s="325">
        <v>43512</v>
      </c>
      <c r="H21" s="206" t="s">
        <v>174</v>
      </c>
      <c r="I21" s="311">
        <v>15</v>
      </c>
      <c r="J21" s="312"/>
      <c r="K21" s="313">
        <v>8808.5</v>
      </c>
      <c r="L21" s="314">
        <v>0</v>
      </c>
      <c r="M21" s="315">
        <f t="shared" ref="M21" si="70">SUM(K21:L21)</f>
        <v>8808.5</v>
      </c>
      <c r="N21" s="316">
        <f t="shared" ref="N21" si="71">IF(K21/15&lt;=SMG,0,L21/2)</f>
        <v>0</v>
      </c>
      <c r="O21" s="316">
        <f t="shared" ref="O21" si="72">K21+N21</f>
        <v>8808.5</v>
      </c>
      <c r="P21" s="316">
        <f t="shared" ref="P21" si="73">VLOOKUP(O21,Tarifa1,1)</f>
        <v>7641.91</v>
      </c>
      <c r="Q21" s="316">
        <f t="shared" ref="Q21" si="74">O21-P21</f>
        <v>1166.5900000000001</v>
      </c>
      <c r="R21" s="317">
        <f t="shared" ref="R21" si="75">VLOOKUP(O21,Tarifa1,3)</f>
        <v>0.21360000000000001</v>
      </c>
      <c r="S21" s="316">
        <f t="shared" ref="S21" si="76">Q21*R21</f>
        <v>249.18362400000004</v>
      </c>
      <c r="T21" s="318">
        <f t="shared" ref="T21" si="77">VLOOKUP(O21,Tarifa1,2)</f>
        <v>809.25</v>
      </c>
      <c r="U21" s="316">
        <f t="shared" ref="U21" si="78">S21+T21</f>
        <v>1058.433624</v>
      </c>
      <c r="V21" s="316">
        <f t="shared" ref="V21" si="79">VLOOKUP(O21,Credito1,2)</f>
        <v>0</v>
      </c>
      <c r="W21" s="316">
        <f t="shared" ref="W21" si="80">ROUND(U21-V21,2)</f>
        <v>1058.43</v>
      </c>
      <c r="X21" s="315">
        <f t="shared" ref="X21" si="81">-IF(W21&gt;0,0,0)</f>
        <v>0</v>
      </c>
      <c r="Y21" s="315">
        <f t="shared" ref="Y21" si="82">IF(K21/15&lt;=SMG,0,IF(W21&lt;0,0,W21))</f>
        <v>1058.43</v>
      </c>
      <c r="Z21" s="319">
        <v>0</v>
      </c>
      <c r="AA21" s="315">
        <f t="shared" ref="AA21" si="83">SUM(Y21:Z21)</f>
        <v>1058.43</v>
      </c>
      <c r="AB21" s="315">
        <f t="shared" ref="AB21" si="84">M21+X21-AA21</f>
        <v>7750.07</v>
      </c>
      <c r="AC21" s="113"/>
      <c r="AD21" s="188"/>
      <c r="AI21" s="98"/>
    </row>
    <row r="22" spans="1:35" s="95" customFormat="1" ht="184.5" customHeight="1" x14ac:dyDescent="0.35">
      <c r="A22" s="172"/>
      <c r="B22" s="142" t="s">
        <v>191</v>
      </c>
      <c r="C22" s="142" t="s">
        <v>121</v>
      </c>
      <c r="D22" s="296" t="s">
        <v>192</v>
      </c>
      <c r="E22" s="154" t="s">
        <v>193</v>
      </c>
      <c r="F22" s="154" t="s">
        <v>272</v>
      </c>
      <c r="G22" s="325">
        <v>43632</v>
      </c>
      <c r="H22" s="206" t="s">
        <v>174</v>
      </c>
      <c r="I22" s="311">
        <v>15</v>
      </c>
      <c r="J22" s="312"/>
      <c r="K22" s="313">
        <v>8808.5</v>
      </c>
      <c r="L22" s="314">
        <v>0</v>
      </c>
      <c r="M22" s="315">
        <f t="shared" ref="M22" si="85">SUM(K22:L22)</f>
        <v>8808.5</v>
      </c>
      <c r="N22" s="316">
        <f t="shared" ref="N22" si="86">IF(K22/15&lt;=SMG,0,L22/2)</f>
        <v>0</v>
      </c>
      <c r="O22" s="316">
        <f t="shared" ref="O22" si="87">K22+N22</f>
        <v>8808.5</v>
      </c>
      <c r="P22" s="316">
        <f t="shared" ref="P22" si="88">VLOOKUP(O22,Tarifa1,1)</f>
        <v>7641.91</v>
      </c>
      <c r="Q22" s="316">
        <f t="shared" ref="Q22" si="89">O22-P22</f>
        <v>1166.5900000000001</v>
      </c>
      <c r="R22" s="317">
        <f t="shared" ref="R22" si="90">VLOOKUP(O22,Tarifa1,3)</f>
        <v>0.21360000000000001</v>
      </c>
      <c r="S22" s="316">
        <f t="shared" ref="S22" si="91">Q22*R22</f>
        <v>249.18362400000004</v>
      </c>
      <c r="T22" s="318">
        <f t="shared" ref="T22" si="92">VLOOKUP(O22,Tarifa1,2)</f>
        <v>809.25</v>
      </c>
      <c r="U22" s="316">
        <f t="shared" ref="U22" si="93">S22+T22</f>
        <v>1058.433624</v>
      </c>
      <c r="V22" s="316">
        <f t="shared" ref="V22" si="94">VLOOKUP(O22,Credito1,2)</f>
        <v>0</v>
      </c>
      <c r="W22" s="316">
        <f t="shared" ref="W22" si="95">ROUND(U22-V22,2)</f>
        <v>1058.43</v>
      </c>
      <c r="X22" s="315">
        <f>-IF(W22&gt;0,0,0)</f>
        <v>0</v>
      </c>
      <c r="Y22" s="315">
        <f t="shared" ref="Y22" si="96">IF(K22/15&lt;=SMG,0,IF(W22&lt;0,0,W22))</f>
        <v>1058.43</v>
      </c>
      <c r="Z22" s="319">
        <v>0</v>
      </c>
      <c r="AA22" s="315">
        <f t="shared" ref="AA22" si="97">SUM(Y22:Z22)</f>
        <v>1058.43</v>
      </c>
      <c r="AB22" s="315">
        <f t="shared" ref="AB22" si="98">M22+X22-AA22</f>
        <v>7750.07</v>
      </c>
      <c r="AC22" s="113"/>
      <c r="AD22" s="188"/>
      <c r="AI22" s="98"/>
    </row>
    <row r="23" spans="1:35" s="95" customFormat="1" ht="184.5" customHeight="1" x14ac:dyDescent="0.35">
      <c r="A23" s="112"/>
      <c r="B23" s="142" t="s">
        <v>287</v>
      </c>
      <c r="C23" s="142" t="s">
        <v>121</v>
      </c>
      <c r="D23" s="296" t="s">
        <v>288</v>
      </c>
      <c r="E23" s="154" t="s">
        <v>289</v>
      </c>
      <c r="F23" s="154" t="s">
        <v>290</v>
      </c>
      <c r="G23" s="325">
        <v>44728</v>
      </c>
      <c r="H23" s="206" t="s">
        <v>174</v>
      </c>
      <c r="I23" s="311"/>
      <c r="J23" s="312"/>
      <c r="K23" s="313">
        <v>8808.5</v>
      </c>
      <c r="L23" s="314">
        <v>1119.57</v>
      </c>
      <c r="M23" s="315">
        <f>SUM(K23:L23)</f>
        <v>9928.07</v>
      </c>
      <c r="N23" s="316">
        <f t="shared" ref="N23" si="99">IF(K23/15&lt;=SMG,0,L23/2)</f>
        <v>559.78499999999997</v>
      </c>
      <c r="O23" s="316">
        <f t="shared" ref="O23:O35" si="100">K23+N23</f>
        <v>9368.2849999999999</v>
      </c>
      <c r="P23" s="316">
        <f t="shared" ref="P23" si="101">VLOOKUP(O23,Tarifa1,1)</f>
        <v>7641.91</v>
      </c>
      <c r="Q23" s="316">
        <f t="shared" ref="Q23:Q35" si="102">O23-P23</f>
        <v>1726.375</v>
      </c>
      <c r="R23" s="317">
        <f t="shared" ref="R23" si="103">VLOOKUP(O23,Tarifa1,3)</f>
        <v>0.21360000000000001</v>
      </c>
      <c r="S23" s="316">
        <f t="shared" ref="S23:S35" si="104">Q23*R23</f>
        <v>368.75370000000004</v>
      </c>
      <c r="T23" s="318">
        <f t="shared" ref="T23" si="105">VLOOKUP(O23,Tarifa1,2)</f>
        <v>809.25</v>
      </c>
      <c r="U23" s="316">
        <f t="shared" ref="U23:U35" si="106">S23+T23</f>
        <v>1178.0037</v>
      </c>
      <c r="V23" s="316">
        <f t="shared" ref="V23" si="107">VLOOKUP(O23,Credito1,2)</f>
        <v>0</v>
      </c>
      <c r="W23" s="316">
        <f t="shared" ref="W23:W35" si="108">ROUND(U23-V23,2)</f>
        <v>1178</v>
      </c>
      <c r="X23" s="315">
        <f t="shared" ref="X23:X36" si="109">-IF(W23&gt;0,0,0)</f>
        <v>0</v>
      </c>
      <c r="Y23" s="315">
        <f t="shared" ref="Y23" si="110">IF(K23/15&lt;=SMG,0,IF(W23&lt;0,0,W23))</f>
        <v>1178</v>
      </c>
      <c r="Z23" s="319">
        <v>0</v>
      </c>
      <c r="AA23" s="315">
        <f t="shared" ref="AA23" si="111">SUM(Y23:Z23)</f>
        <v>1178</v>
      </c>
      <c r="AB23" s="315">
        <f>M23+X23-AA23</f>
        <v>8750.07</v>
      </c>
      <c r="AC23" s="113"/>
      <c r="AI23" s="98"/>
    </row>
    <row r="24" spans="1:35" s="95" customFormat="1" ht="184.5" customHeight="1" x14ac:dyDescent="0.35">
      <c r="A24" s="112"/>
      <c r="B24" s="142" t="s">
        <v>329</v>
      </c>
      <c r="C24" s="142" t="s">
        <v>121</v>
      </c>
      <c r="D24" s="294" t="s">
        <v>335</v>
      </c>
      <c r="E24" s="143" t="s">
        <v>328</v>
      </c>
      <c r="F24" s="266" t="s">
        <v>330</v>
      </c>
      <c r="G24" s="324">
        <v>45033</v>
      </c>
      <c r="H24" s="206" t="s">
        <v>174</v>
      </c>
      <c r="I24" s="311"/>
      <c r="J24" s="312"/>
      <c r="K24" s="313">
        <v>7048</v>
      </c>
      <c r="L24" s="314">
        <v>1098.42</v>
      </c>
      <c r="M24" s="315">
        <f>SUM(K24:L24)</f>
        <v>8146.42</v>
      </c>
      <c r="N24" s="316">
        <f t="shared" ref="N24" si="112">IF(K24/15&lt;=SMG,0,L24/2)</f>
        <v>549.21</v>
      </c>
      <c r="O24" s="316">
        <f t="shared" ref="O24" si="113">K24+N24</f>
        <v>7597.21</v>
      </c>
      <c r="P24" s="316">
        <f t="shared" ref="P24" si="114">VLOOKUP(O24,Tarifa1,1)</f>
        <v>6382.81</v>
      </c>
      <c r="Q24" s="316">
        <f t="shared" ref="Q24" si="115">O24-P24</f>
        <v>1214.3999999999996</v>
      </c>
      <c r="R24" s="317">
        <f t="shared" ref="R24" si="116">VLOOKUP(O24,Tarifa1,3)</f>
        <v>0.1792</v>
      </c>
      <c r="S24" s="316">
        <f t="shared" ref="S24" si="117">Q24*R24</f>
        <v>217.62047999999993</v>
      </c>
      <c r="T24" s="318">
        <f t="shared" ref="T24" si="118">VLOOKUP(O24,Tarifa1,2)</f>
        <v>583.65</v>
      </c>
      <c r="U24" s="316">
        <f t="shared" ref="U24" si="119">S24+T24</f>
        <v>801.27047999999991</v>
      </c>
      <c r="V24" s="316">
        <f t="shared" ref="V24" si="120">VLOOKUP(O24,Credito1,2)</f>
        <v>0</v>
      </c>
      <c r="W24" s="316">
        <f t="shared" ref="W24" si="121">ROUND(U24-V24,2)</f>
        <v>801.27</v>
      </c>
      <c r="X24" s="315">
        <f t="shared" si="109"/>
        <v>0</v>
      </c>
      <c r="Y24" s="315">
        <f t="shared" ref="Y24" si="122">IF(K24/15&lt;=SMG,0,IF(W24&lt;0,0,W24))</f>
        <v>801.27</v>
      </c>
      <c r="Z24" s="319">
        <v>0</v>
      </c>
      <c r="AA24" s="315">
        <f t="shared" ref="AA24" si="123">SUM(Y24:Z24)</f>
        <v>801.27</v>
      </c>
      <c r="AB24" s="315">
        <f>M24+X24-AA24</f>
        <v>7345.15</v>
      </c>
      <c r="AC24" s="113"/>
      <c r="AI24" s="98"/>
    </row>
    <row r="25" spans="1:35" s="95" customFormat="1" ht="184.5" customHeight="1" x14ac:dyDescent="0.35">
      <c r="A25" s="112"/>
      <c r="B25" s="142" t="s">
        <v>399</v>
      </c>
      <c r="C25" s="142" t="s">
        <v>121</v>
      </c>
      <c r="D25" s="294" t="s">
        <v>400</v>
      </c>
      <c r="E25" s="143" t="s">
        <v>401</v>
      </c>
      <c r="F25" s="143" t="s">
        <v>402</v>
      </c>
      <c r="G25" s="326">
        <v>45475</v>
      </c>
      <c r="H25" s="206" t="s">
        <v>174</v>
      </c>
      <c r="I25" s="312"/>
      <c r="J25" s="313">
        <v>6843</v>
      </c>
      <c r="K25" s="313">
        <v>7048</v>
      </c>
      <c r="L25" s="314">
        <v>1098.42</v>
      </c>
      <c r="M25" s="315">
        <f>SUM(K25:L25)</f>
        <v>8146.42</v>
      </c>
      <c r="N25" s="316">
        <f t="shared" ref="N25" si="124">IF(K25/15&lt;=SMG,0,L25/2)</f>
        <v>549.21</v>
      </c>
      <c r="O25" s="316">
        <f t="shared" ref="O25" si="125">K25+N25</f>
        <v>7597.21</v>
      </c>
      <c r="P25" s="316">
        <f t="shared" ref="P25" si="126">VLOOKUP(O25,Tarifa1,1)</f>
        <v>6382.81</v>
      </c>
      <c r="Q25" s="316">
        <f t="shared" ref="Q25" si="127">O25-P25</f>
        <v>1214.3999999999996</v>
      </c>
      <c r="R25" s="317">
        <f t="shared" ref="R25" si="128">VLOOKUP(O25,Tarifa1,3)</f>
        <v>0.1792</v>
      </c>
      <c r="S25" s="316">
        <f t="shared" ref="S25" si="129">Q25*R25</f>
        <v>217.62047999999993</v>
      </c>
      <c r="T25" s="318">
        <f t="shared" ref="T25" si="130">VLOOKUP(O25,Tarifa1,2)</f>
        <v>583.65</v>
      </c>
      <c r="U25" s="316">
        <f t="shared" ref="U25" si="131">S25+T25</f>
        <v>801.27047999999991</v>
      </c>
      <c r="V25" s="316">
        <f t="shared" ref="V25" si="132">VLOOKUP(O25,Credito1,2)</f>
        <v>0</v>
      </c>
      <c r="W25" s="316">
        <f t="shared" ref="W25" si="133">ROUND(U25-V25,2)</f>
        <v>801.27</v>
      </c>
      <c r="X25" s="315">
        <f t="shared" ref="X25" si="134">-IF(W25&gt;0,0,0)</f>
        <v>0</v>
      </c>
      <c r="Y25" s="315">
        <f t="shared" ref="Y25" si="135">IF(K25/15&lt;=SMG,0,IF(W25&lt;0,0,W25))</f>
        <v>801.27</v>
      </c>
      <c r="Z25" s="319">
        <v>0</v>
      </c>
      <c r="AA25" s="315">
        <f t="shared" ref="AA25" si="136">SUM(Y25:Z25)</f>
        <v>801.27</v>
      </c>
      <c r="AB25" s="315">
        <f>M25+X25-AA25</f>
        <v>7345.15</v>
      </c>
      <c r="AC25" s="113"/>
      <c r="AI25" s="98"/>
    </row>
    <row r="26" spans="1:35" s="95" customFormat="1" ht="184.5" customHeight="1" x14ac:dyDescent="0.35">
      <c r="A26" s="112"/>
      <c r="B26" s="142" t="s">
        <v>553</v>
      </c>
      <c r="C26" s="142" t="s">
        <v>121</v>
      </c>
      <c r="D26" s="294" t="s">
        <v>554</v>
      </c>
      <c r="E26" s="143" t="s">
        <v>555</v>
      </c>
      <c r="F26" s="143" t="s">
        <v>556</v>
      </c>
      <c r="G26" s="326">
        <v>45566</v>
      </c>
      <c r="H26" s="206" t="s">
        <v>174</v>
      </c>
      <c r="I26" s="312"/>
      <c r="J26" s="313"/>
      <c r="K26" s="313">
        <v>6627.5</v>
      </c>
      <c r="L26" s="314">
        <v>0</v>
      </c>
      <c r="M26" s="315">
        <f>SUM(K26:L26)</f>
        <v>6627.5</v>
      </c>
      <c r="N26" s="316">
        <f>IF(K26/15&lt;=SMG,0,L26/2)</f>
        <v>0</v>
      </c>
      <c r="O26" s="316">
        <f>K26+N26</f>
        <v>6627.5</v>
      </c>
      <c r="P26" s="316">
        <f>VLOOKUP(O26,Tarifa1,1)</f>
        <v>6382.81</v>
      </c>
      <c r="Q26" s="316">
        <f>O26-P26</f>
        <v>244.6899999999996</v>
      </c>
      <c r="R26" s="317">
        <f>VLOOKUP(O26,Tarifa1,3)</f>
        <v>0.1792</v>
      </c>
      <c r="S26" s="316">
        <f>Q26*R26</f>
        <v>43.848447999999927</v>
      </c>
      <c r="T26" s="318">
        <f>VLOOKUP(O26,Tarifa1,2)</f>
        <v>583.65</v>
      </c>
      <c r="U26" s="316">
        <f>S26+T26</f>
        <v>627.49844799999994</v>
      </c>
      <c r="V26" s="316">
        <f>VLOOKUP(O26,Credito1,2)</f>
        <v>0</v>
      </c>
      <c r="W26" s="316">
        <f>ROUND(U26-V26,2)</f>
        <v>627.5</v>
      </c>
      <c r="X26" s="315">
        <f>-IF(W26&gt;0,0,0)</f>
        <v>0</v>
      </c>
      <c r="Y26" s="315">
        <f>IF(K26/15&lt;=SMG,0,IF(W26&lt;0,0,W26))</f>
        <v>627.5</v>
      </c>
      <c r="Z26" s="319">
        <v>0</v>
      </c>
      <c r="AA26" s="315">
        <f>SUM(Y26:Z26)</f>
        <v>627.5</v>
      </c>
      <c r="AB26" s="315">
        <f>M26+X26-AA26</f>
        <v>6000</v>
      </c>
      <c r="AC26" s="113"/>
      <c r="AI26" s="98"/>
    </row>
    <row r="27" spans="1:35" s="95" customFormat="1" ht="184.5" customHeight="1" x14ac:dyDescent="0.35">
      <c r="A27" s="112"/>
      <c r="B27" s="181" t="s">
        <v>295</v>
      </c>
      <c r="C27" s="181" t="s">
        <v>121</v>
      </c>
      <c r="D27" s="299" t="s">
        <v>293</v>
      </c>
      <c r="E27" s="300" t="s">
        <v>291</v>
      </c>
      <c r="F27" s="300" t="s">
        <v>292</v>
      </c>
      <c r="G27" s="327">
        <v>44728</v>
      </c>
      <c r="H27" s="310" t="s">
        <v>294</v>
      </c>
      <c r="I27" s="320"/>
      <c r="J27" s="321"/>
      <c r="K27" s="303">
        <v>6440.5</v>
      </c>
      <c r="L27" s="304">
        <v>0</v>
      </c>
      <c r="M27" s="303">
        <f>K27</f>
        <v>6440.5</v>
      </c>
      <c r="N27" s="305">
        <f t="shared" ref="N27" si="137">IF(K27/15&lt;=SMG,0,L27/2)</f>
        <v>0</v>
      </c>
      <c r="O27" s="305">
        <f t="shared" ref="O27" si="138">K27+N27</f>
        <v>6440.5</v>
      </c>
      <c r="P27" s="305">
        <f t="shared" ref="P27" si="139">VLOOKUP(O27,Tarifa1,1)</f>
        <v>6382.81</v>
      </c>
      <c r="Q27" s="305">
        <f t="shared" ref="Q27" si="140">O27-P27</f>
        <v>57.6899999999996</v>
      </c>
      <c r="R27" s="306">
        <f t="shared" ref="R27" si="141">VLOOKUP(O27,Tarifa1,3)</f>
        <v>0.1792</v>
      </c>
      <c r="S27" s="305">
        <f t="shared" ref="S27" si="142">Q27*R27</f>
        <v>10.338047999999928</v>
      </c>
      <c r="T27" s="307">
        <f t="shared" ref="T27" si="143">VLOOKUP(O27,Tarifa1,2)</f>
        <v>583.65</v>
      </c>
      <c r="U27" s="305">
        <f t="shared" ref="U27" si="144">S27+T27</f>
        <v>593.98804799999994</v>
      </c>
      <c r="V27" s="305">
        <f t="shared" ref="V27" si="145">VLOOKUP(O27,Credito1,2)</f>
        <v>0</v>
      </c>
      <c r="W27" s="305">
        <f t="shared" ref="W27" si="146">ROUND(U27-V27,2)</f>
        <v>593.99</v>
      </c>
      <c r="X27" s="308">
        <f t="shared" ref="X27" si="147">-IF(W27&gt;0,0,0)</f>
        <v>0</v>
      </c>
      <c r="Y27" s="308">
        <f t="shared" ref="Y27" si="148">IF(K27/15&lt;=SMG,0,IF(W27&lt;0,0,W27))</f>
        <v>593.99</v>
      </c>
      <c r="Z27" s="309">
        <v>0</v>
      </c>
      <c r="AA27" s="308">
        <f>SUM(Y27:Z27)</f>
        <v>593.99</v>
      </c>
      <c r="AB27" s="308">
        <f>M27+X27-AA27+L27</f>
        <v>5846.51</v>
      </c>
      <c r="AC27" s="177"/>
      <c r="AI27" s="98"/>
    </row>
    <row r="28" spans="1:35" s="95" customFormat="1" ht="33" customHeight="1" x14ac:dyDescent="0.35">
      <c r="A28" s="172"/>
      <c r="B28" s="182"/>
      <c r="C28" s="182"/>
      <c r="D28" s="301"/>
      <c r="E28" s="289"/>
      <c r="F28" s="289"/>
      <c r="G28" s="302"/>
      <c r="H28" s="191"/>
      <c r="I28" s="193"/>
      <c r="J28" s="194"/>
      <c r="K28" s="194"/>
      <c r="L28" s="195"/>
      <c r="M28" s="196"/>
      <c r="N28" s="273"/>
      <c r="O28" s="273"/>
      <c r="P28" s="273"/>
      <c r="Q28" s="273"/>
      <c r="R28" s="274"/>
      <c r="S28" s="273"/>
      <c r="T28" s="275"/>
      <c r="U28" s="273"/>
      <c r="V28" s="273"/>
      <c r="W28" s="273"/>
      <c r="X28" s="196"/>
      <c r="Y28" s="196"/>
      <c r="Z28" s="197"/>
      <c r="AA28" s="196"/>
      <c r="AB28" s="196"/>
      <c r="AC28" s="114"/>
      <c r="AI28" s="98"/>
    </row>
    <row r="29" spans="1:35" s="95" customFormat="1" ht="33" customHeight="1" x14ac:dyDescent="0.35">
      <c r="A29" s="172"/>
      <c r="B29" s="182"/>
      <c r="C29" s="182"/>
      <c r="D29" s="301"/>
      <c r="E29" s="289"/>
      <c r="F29" s="289"/>
      <c r="G29" s="302"/>
      <c r="H29" s="191"/>
      <c r="I29" s="193"/>
      <c r="J29" s="194"/>
      <c r="K29" s="194"/>
      <c r="L29" s="195"/>
      <c r="M29" s="196"/>
      <c r="N29" s="273"/>
      <c r="O29" s="273"/>
      <c r="P29" s="273"/>
      <c r="Q29" s="273"/>
      <c r="R29" s="274"/>
      <c r="S29" s="273"/>
      <c r="T29" s="275"/>
      <c r="U29" s="273"/>
      <c r="V29" s="273"/>
      <c r="W29" s="273"/>
      <c r="X29" s="196"/>
      <c r="Y29" s="196"/>
      <c r="Z29" s="197"/>
      <c r="AA29" s="196"/>
      <c r="AB29" s="196"/>
      <c r="AC29" s="114"/>
      <c r="AI29" s="98"/>
    </row>
    <row r="30" spans="1:35" s="95" customFormat="1" ht="33" customHeight="1" x14ac:dyDescent="0.35">
      <c r="A30" s="172"/>
      <c r="B30" s="182"/>
      <c r="C30" s="182"/>
      <c r="D30" s="301"/>
      <c r="E30" s="289"/>
      <c r="F30" s="289"/>
      <c r="G30" s="302"/>
      <c r="H30" s="191"/>
      <c r="I30" s="193"/>
      <c r="J30" s="194"/>
      <c r="K30" s="194"/>
      <c r="L30" s="195"/>
      <c r="M30" s="196"/>
      <c r="N30" s="273"/>
      <c r="O30" s="273"/>
      <c r="P30" s="273"/>
      <c r="Q30" s="273"/>
      <c r="R30" s="274"/>
      <c r="S30" s="273"/>
      <c r="T30" s="275"/>
      <c r="U30" s="273"/>
      <c r="V30" s="273"/>
      <c r="W30" s="273"/>
      <c r="X30" s="196"/>
      <c r="Y30" s="196"/>
      <c r="Z30" s="197"/>
      <c r="AA30" s="196"/>
      <c r="AB30" s="196"/>
      <c r="AC30" s="114"/>
      <c r="AI30" s="98"/>
    </row>
    <row r="31" spans="1:35" s="95" customFormat="1" ht="33" customHeight="1" x14ac:dyDescent="0.25">
      <c r="A31" s="172"/>
      <c r="B31" s="409" t="s">
        <v>78</v>
      </c>
      <c r="C31" s="409"/>
      <c r="D31" s="409"/>
      <c r="E31" s="409"/>
      <c r="F31" s="409"/>
      <c r="G31" s="409"/>
      <c r="H31" s="409"/>
      <c r="I31" s="409"/>
      <c r="J31" s="409"/>
      <c r="K31" s="409"/>
      <c r="L31" s="409"/>
      <c r="M31" s="409"/>
      <c r="N31" s="409"/>
      <c r="O31" s="409"/>
      <c r="P31" s="409"/>
      <c r="Q31" s="409"/>
      <c r="R31" s="409"/>
      <c r="S31" s="409"/>
      <c r="T31" s="409"/>
      <c r="U31" s="409"/>
      <c r="V31" s="409"/>
      <c r="W31" s="409"/>
      <c r="X31" s="409"/>
      <c r="Y31" s="409"/>
      <c r="Z31" s="409"/>
      <c r="AA31" s="409"/>
      <c r="AB31" s="409"/>
      <c r="AC31" s="409"/>
      <c r="AD31" s="409"/>
      <c r="AI31" s="98"/>
    </row>
    <row r="32" spans="1:35" s="95" customFormat="1" ht="33" customHeight="1" x14ac:dyDescent="0.25">
      <c r="A32" s="172"/>
      <c r="B32" s="409" t="s">
        <v>64</v>
      </c>
      <c r="C32" s="409"/>
      <c r="D32" s="409"/>
      <c r="E32" s="409"/>
      <c r="F32" s="409"/>
      <c r="G32" s="409"/>
      <c r="H32" s="409"/>
      <c r="I32" s="409"/>
      <c r="J32" s="409"/>
      <c r="K32" s="409"/>
      <c r="L32" s="409"/>
      <c r="M32" s="409"/>
      <c r="N32" s="409"/>
      <c r="O32" s="409"/>
      <c r="P32" s="409"/>
      <c r="Q32" s="409"/>
      <c r="R32" s="409"/>
      <c r="S32" s="409"/>
      <c r="T32" s="409"/>
      <c r="U32" s="409"/>
      <c r="V32" s="409"/>
      <c r="W32" s="409"/>
      <c r="X32" s="409"/>
      <c r="Y32" s="409"/>
      <c r="Z32" s="409"/>
      <c r="AA32" s="409"/>
      <c r="AB32" s="409"/>
      <c r="AC32" s="409"/>
      <c r="AD32" s="409"/>
      <c r="AI32" s="98"/>
    </row>
    <row r="33" spans="1:35" s="95" customFormat="1" ht="33" customHeight="1" x14ac:dyDescent="0.3">
      <c r="A33" s="172"/>
      <c r="B33" s="420" t="str">
        <f>PRESIDENCIA!A3</f>
        <v>SUELDO  DEL 16 AL 30 DE NOVIEMBRE DE 2024</v>
      </c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  <c r="AC33" s="420"/>
      <c r="AI33" s="98"/>
    </row>
    <row r="34" spans="1:35" s="95" customFormat="1" ht="33" customHeight="1" x14ac:dyDescent="0.35">
      <c r="A34" s="172"/>
      <c r="B34" s="182"/>
      <c r="C34" s="182"/>
      <c r="D34" s="301"/>
      <c r="E34" s="289"/>
      <c r="F34" s="289"/>
      <c r="G34" s="302"/>
      <c r="H34" s="191"/>
      <c r="I34" s="193"/>
      <c r="J34" s="194"/>
      <c r="K34" s="194"/>
      <c r="L34" s="195"/>
      <c r="M34" s="196"/>
      <c r="N34" s="273"/>
      <c r="O34" s="273"/>
      <c r="P34" s="273"/>
      <c r="Q34" s="273"/>
      <c r="R34" s="274"/>
      <c r="S34" s="273"/>
      <c r="T34" s="275"/>
      <c r="U34" s="273"/>
      <c r="V34" s="273"/>
      <c r="W34" s="273"/>
      <c r="X34" s="196"/>
      <c r="Y34" s="196"/>
      <c r="Z34" s="197"/>
      <c r="AA34" s="196"/>
      <c r="AB34" s="196"/>
      <c r="AC34" s="114"/>
      <c r="AI34" s="98"/>
    </row>
    <row r="35" spans="1:35" s="95" customFormat="1" ht="184.5" customHeight="1" x14ac:dyDescent="0.35">
      <c r="A35" s="112"/>
      <c r="B35" s="142" t="s">
        <v>642</v>
      </c>
      <c r="C35" s="142" t="s">
        <v>121</v>
      </c>
      <c r="D35" s="296" t="s">
        <v>631</v>
      </c>
      <c r="E35" s="154" t="s">
        <v>632</v>
      </c>
      <c r="F35" s="154" t="s">
        <v>633</v>
      </c>
      <c r="G35" s="324">
        <v>45581</v>
      </c>
      <c r="H35" s="206" t="s">
        <v>634</v>
      </c>
      <c r="I35" s="311"/>
      <c r="J35" s="312"/>
      <c r="K35" s="313">
        <v>5434.83</v>
      </c>
      <c r="L35" s="314">
        <v>0</v>
      </c>
      <c r="M35" s="315">
        <f>SUM(K35:L35)</f>
        <v>5434.83</v>
      </c>
      <c r="N35" s="316">
        <f>IF(K35/15&lt;=SMG,0,L35/2)</f>
        <v>0</v>
      </c>
      <c r="O35" s="316">
        <f t="shared" si="100"/>
        <v>5434.83</v>
      </c>
      <c r="P35" s="316">
        <f>VLOOKUP(O35,Tarifa1,1)</f>
        <v>3124.36</v>
      </c>
      <c r="Q35" s="316">
        <f t="shared" si="102"/>
        <v>2310.4699999999998</v>
      </c>
      <c r="R35" s="317">
        <f>VLOOKUP(O35,Tarifa1,3)</f>
        <v>0.10879999999999999</v>
      </c>
      <c r="S35" s="316">
        <f t="shared" si="104"/>
        <v>251.37913599999996</v>
      </c>
      <c r="T35" s="318">
        <f>VLOOKUP(O35,Tarifa1,2)</f>
        <v>183.45</v>
      </c>
      <c r="U35" s="316">
        <f t="shared" si="106"/>
        <v>434.82913599999995</v>
      </c>
      <c r="V35" s="316">
        <f>VLOOKUP(O35,Credito1,2)</f>
        <v>0</v>
      </c>
      <c r="W35" s="316">
        <f t="shared" si="108"/>
        <v>434.83</v>
      </c>
      <c r="X35" s="315">
        <f>-IF(W35&gt;0,0,0)</f>
        <v>0</v>
      </c>
      <c r="Y35" s="315">
        <f>IF(K35/15&lt;=SMG,0,IF(W35&lt;0,0,W35))</f>
        <v>434.83</v>
      </c>
      <c r="Z35" s="319">
        <v>0</v>
      </c>
      <c r="AA35" s="315">
        <f>SUM(Y35:Z35)</f>
        <v>434.83</v>
      </c>
      <c r="AB35" s="315">
        <f>M35+X35-AA35</f>
        <v>5000</v>
      </c>
      <c r="AC35" s="113"/>
      <c r="AI35" s="98"/>
    </row>
    <row r="36" spans="1:35" s="95" customFormat="1" ht="184.5" customHeight="1" x14ac:dyDescent="0.35">
      <c r="A36" s="112"/>
      <c r="B36" s="142" t="s">
        <v>386</v>
      </c>
      <c r="C36" s="142" t="s">
        <v>121</v>
      </c>
      <c r="D36" s="296" t="s">
        <v>385</v>
      </c>
      <c r="E36" s="154" t="s">
        <v>383</v>
      </c>
      <c r="F36" s="154" t="s">
        <v>384</v>
      </c>
      <c r="G36" s="325">
        <v>45188</v>
      </c>
      <c r="H36" s="206" t="s">
        <v>382</v>
      </c>
      <c r="I36" s="311"/>
      <c r="J36" s="312"/>
      <c r="K36" s="313">
        <v>4601</v>
      </c>
      <c r="L36" s="314">
        <v>0</v>
      </c>
      <c r="M36" s="315">
        <f>SUM(K36:L36)</f>
        <v>4601</v>
      </c>
      <c r="N36" s="316">
        <f>IF(K36/15&lt;=SMG,0,L36/2)</f>
        <v>0</v>
      </c>
      <c r="O36" s="316">
        <f t="shared" ref="O36" si="149">K36+N36</f>
        <v>4601</v>
      </c>
      <c r="P36" s="316">
        <f t="shared" ref="P36" si="150">VLOOKUP(O36,Tarifa1,1)</f>
        <v>3124.36</v>
      </c>
      <c r="Q36" s="316">
        <f t="shared" ref="Q36" si="151">O36-P36</f>
        <v>1476.6399999999999</v>
      </c>
      <c r="R36" s="317">
        <f t="shared" ref="R36" si="152">VLOOKUP(O36,Tarifa1,3)</f>
        <v>0.10879999999999999</v>
      </c>
      <c r="S36" s="316">
        <f t="shared" ref="S36" si="153">Q36*R36</f>
        <v>160.65843199999998</v>
      </c>
      <c r="T36" s="318">
        <f t="shared" ref="T36" si="154">VLOOKUP(O36,Tarifa1,2)</f>
        <v>183.45</v>
      </c>
      <c r="U36" s="316">
        <f t="shared" ref="U36" si="155">S36+T36</f>
        <v>344.10843199999999</v>
      </c>
      <c r="V36" s="316">
        <f t="shared" ref="V36" si="156">VLOOKUP(O36,Credito1,2)</f>
        <v>0</v>
      </c>
      <c r="W36" s="316">
        <f t="shared" ref="W36" si="157">ROUND(U36-V36,2)</f>
        <v>344.11</v>
      </c>
      <c r="X36" s="315">
        <f t="shared" si="109"/>
        <v>0</v>
      </c>
      <c r="Y36" s="315">
        <f t="shared" ref="Y36" si="158">IF(K36/15&lt;=SMG,0,IF(W36&lt;0,0,W36))</f>
        <v>344.11</v>
      </c>
      <c r="Z36" s="319">
        <v>0</v>
      </c>
      <c r="AA36" s="315">
        <f t="shared" ref="AA36" si="159">SUM(Y36:Z36)</f>
        <v>344.11</v>
      </c>
      <c r="AB36" s="315">
        <f>M36+X36-AA36</f>
        <v>4256.8900000000003</v>
      </c>
      <c r="AC36" s="113"/>
      <c r="AI36" s="98"/>
    </row>
    <row r="37" spans="1:35" s="53" customFormat="1" ht="39" customHeight="1" thickBot="1" x14ac:dyDescent="0.35">
      <c r="A37" s="406" t="s">
        <v>44</v>
      </c>
      <c r="B37" s="407"/>
      <c r="C37" s="407"/>
      <c r="D37" s="407"/>
      <c r="E37" s="407"/>
      <c r="F37" s="407"/>
      <c r="G37" s="407"/>
      <c r="H37" s="407"/>
      <c r="I37" s="407"/>
      <c r="J37" s="408"/>
      <c r="K37" s="322">
        <f t="shared" ref="K37:AB37" si="160">SUM(K9:K36)</f>
        <v>123117.11</v>
      </c>
      <c r="L37" s="322">
        <f t="shared" si="160"/>
        <v>6653.9699999999993</v>
      </c>
      <c r="M37" s="322">
        <f t="shared" si="160"/>
        <v>128672.65999999999</v>
      </c>
      <c r="N37" s="323">
        <f t="shared" si="160"/>
        <v>3326.9849999999997</v>
      </c>
      <c r="O37" s="323">
        <f t="shared" si="160"/>
        <v>126444.09500000002</v>
      </c>
      <c r="P37" s="323">
        <f t="shared" si="160"/>
        <v>97904.86</v>
      </c>
      <c r="Q37" s="323">
        <f t="shared" si="160"/>
        <v>28539.235000000001</v>
      </c>
      <c r="R37" s="323">
        <f t="shared" si="160"/>
        <v>2.8263999999999996</v>
      </c>
      <c r="S37" s="323">
        <f t="shared" si="160"/>
        <v>5280.8068279999989</v>
      </c>
      <c r="T37" s="323">
        <f t="shared" si="160"/>
        <v>9316.7999999999993</v>
      </c>
      <c r="U37" s="323">
        <f t="shared" si="160"/>
        <v>14597.606827999996</v>
      </c>
      <c r="V37" s="323">
        <f t="shared" si="160"/>
        <v>195</v>
      </c>
      <c r="W37" s="323">
        <f t="shared" si="160"/>
        <v>14402.600000000002</v>
      </c>
      <c r="X37" s="322">
        <f t="shared" si="160"/>
        <v>0</v>
      </c>
      <c r="Y37" s="322">
        <f t="shared" si="160"/>
        <v>14402.600000000002</v>
      </c>
      <c r="Z37" s="322">
        <f t="shared" si="160"/>
        <v>0</v>
      </c>
      <c r="AA37" s="322">
        <f t="shared" si="160"/>
        <v>14402.600000000002</v>
      </c>
      <c r="AB37" s="322">
        <f t="shared" si="160"/>
        <v>115368.47999999998</v>
      </c>
      <c r="AC37" s="114"/>
    </row>
    <row r="38" spans="1:35" s="53" customFormat="1" ht="26.25" customHeight="1" thickTop="1" x14ac:dyDescent="0.25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9"/>
      <c r="L38" s="109"/>
      <c r="M38" s="109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09"/>
      <c r="Y38" s="109"/>
      <c r="Z38" s="109"/>
      <c r="AA38" s="109"/>
      <c r="AB38" s="109"/>
    </row>
    <row r="39" spans="1:35" s="53" customFormat="1" ht="24.75" customHeight="1" x14ac:dyDescent="0.25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9"/>
      <c r="L39" s="109"/>
      <c r="M39" s="109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09"/>
      <c r="Y39" s="109"/>
      <c r="Z39" s="109"/>
      <c r="AA39" s="109"/>
      <c r="AB39" s="109"/>
    </row>
    <row r="40" spans="1:35" s="53" customFormat="1" ht="24.75" customHeight="1" x14ac:dyDescent="0.25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9"/>
      <c r="L40" s="109"/>
      <c r="M40" s="109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09"/>
      <c r="Y40" s="109"/>
      <c r="Z40" s="109"/>
      <c r="AA40" s="109"/>
      <c r="AB40" s="109"/>
    </row>
    <row r="41" spans="1:35" s="53" customFormat="1" ht="24.75" customHeight="1" x14ac:dyDescent="0.25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9"/>
      <c r="L41" s="109"/>
      <c r="M41" s="109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09"/>
      <c r="Y41" s="109"/>
      <c r="Z41" s="109"/>
      <c r="AA41" s="109"/>
      <c r="AB41" s="109"/>
    </row>
    <row r="42" spans="1:35" s="53" customFormat="1" ht="24.75" customHeight="1" x14ac:dyDescent="0.25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9"/>
      <c r="L42" s="109"/>
      <c r="M42" s="109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09"/>
      <c r="Y42" s="109"/>
      <c r="Z42" s="109"/>
      <c r="AA42" s="109"/>
      <c r="AB42" s="109"/>
    </row>
    <row r="43" spans="1:35" s="53" customFormat="1" ht="24.75" customHeight="1" x14ac:dyDescent="0.25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9"/>
      <c r="L43" s="109"/>
      <c r="M43" s="109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09"/>
      <c r="Y43" s="109"/>
      <c r="Z43" s="109"/>
      <c r="AA43" s="109"/>
      <c r="AB43" s="109"/>
    </row>
    <row r="44" spans="1:35" s="53" customFormat="1" ht="21.75" customHeight="1" x14ac:dyDescent="0.25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9"/>
      <c r="L44" s="109"/>
      <c r="M44" s="109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09"/>
      <c r="Y44" s="109"/>
      <c r="Z44" s="109"/>
      <c r="AA44" s="109"/>
      <c r="AB44" s="109"/>
    </row>
    <row r="45" spans="1:35" s="53" customFormat="1" ht="12" x14ac:dyDescent="0.2"/>
    <row r="46" spans="1:35" s="53" customFormat="1" ht="12" x14ac:dyDescent="0.2"/>
    <row r="47" spans="1:35" s="53" customFormat="1" ht="14.25" x14ac:dyDescent="0.2"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</row>
    <row r="48" spans="1:35" s="53" customFormat="1" ht="18" x14ac:dyDescent="0.25">
      <c r="B48" s="95"/>
      <c r="C48" s="95"/>
      <c r="D48" s="334" t="s">
        <v>598</v>
      </c>
      <c r="E48" s="334"/>
      <c r="F48" s="334"/>
      <c r="G48" s="334"/>
      <c r="H48" s="33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334" t="s">
        <v>155</v>
      </c>
      <c r="Z48" s="114"/>
      <c r="AA48" s="114"/>
      <c r="AB48" s="114"/>
    </row>
    <row r="49" spans="2:29" s="53" customFormat="1" ht="18" x14ac:dyDescent="0.25">
      <c r="B49" s="95"/>
      <c r="C49" s="95"/>
      <c r="D49" s="334" t="s">
        <v>625</v>
      </c>
      <c r="E49" s="334"/>
      <c r="F49" s="334"/>
      <c r="G49" s="334"/>
      <c r="H49" s="334"/>
      <c r="I49" s="334"/>
      <c r="J49" s="334"/>
      <c r="K49" s="334"/>
      <c r="L49" s="33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334" t="s">
        <v>236</v>
      </c>
      <c r="Z49" s="114"/>
      <c r="AA49" s="334"/>
      <c r="AB49" s="334"/>
      <c r="AC49" s="62"/>
    </row>
    <row r="50" spans="2:29" s="53" customFormat="1" ht="14.25" x14ac:dyDescent="0.2"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</row>
  </sheetData>
  <mergeCells count="14">
    <mergeCell ref="A37:J37"/>
    <mergeCell ref="C5:C7"/>
    <mergeCell ref="A1:AC1"/>
    <mergeCell ref="A2:AC2"/>
    <mergeCell ref="A3:AC3"/>
    <mergeCell ref="K5:M5"/>
    <mergeCell ref="P5:U5"/>
    <mergeCell ref="Y5:AA5"/>
    <mergeCell ref="B17:AD17"/>
    <mergeCell ref="B18:AD18"/>
    <mergeCell ref="B19:AD19"/>
    <mergeCell ref="B31:AD31"/>
    <mergeCell ref="B32:AD32"/>
    <mergeCell ref="B33:AC33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F23 D21:G22 D23:E24 G23:G24 D36:G36 D16:G16 D25:F30 D34:F35" xr:uid="{00000000-0002-0000-0300-000000000000}"/>
  </dataValidations>
  <pageMargins left="0.27559055118110237" right="0.27559055118110237" top="0.74803149606299213" bottom="0.15748031496062992" header="0.31496062992125984" footer="0.31496062992125984"/>
  <pageSetup scale="38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8"/>
  <sheetViews>
    <sheetView topLeftCell="B24" zoomScale="69" zoomScaleNormal="69" workbookViewId="0">
      <selection activeCell="F28" sqref="F28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24.5703125" customWidth="1"/>
    <col min="6" max="6" width="32.85546875" customWidth="1"/>
    <col min="7" max="7" width="16.42578125" customWidth="1"/>
    <col min="8" max="8" width="23.85546875" customWidth="1"/>
    <col min="9" max="9" width="7.85546875" hidden="1" customWidth="1"/>
    <col min="10" max="10" width="2.5703125" hidden="1" customWidth="1"/>
    <col min="11" max="11" width="15.42578125" customWidth="1"/>
    <col min="12" max="12" width="14.5703125" customWidth="1"/>
    <col min="13" max="13" width="15.1406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3.140625" customWidth="1"/>
    <col min="27" max="27" width="14.7109375" customWidth="1"/>
    <col min="28" max="28" width="16.28515625" customWidth="1"/>
    <col min="29" max="29" width="55.5703125" customWidth="1"/>
  </cols>
  <sheetData>
    <row r="1" spans="1:30" ht="18" x14ac:dyDescent="0.25">
      <c r="A1" s="421" t="s">
        <v>78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1"/>
    </row>
    <row r="2" spans="1:30" ht="18" x14ac:dyDescent="0.25">
      <c r="A2" s="421" t="s">
        <v>64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X2" s="421"/>
      <c r="Y2" s="421"/>
      <c r="Z2" s="421"/>
      <c r="AA2" s="421"/>
      <c r="AB2" s="421"/>
      <c r="AC2" s="421"/>
    </row>
    <row r="3" spans="1:30" ht="19.5" x14ac:dyDescent="0.25">
      <c r="A3" s="410" t="str">
        <f>PRESIDENCIA!A3</f>
        <v>SUELDO  DEL 16 AL 30 DE NOVIEMBRE DE 2024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0"/>
      <c r="Z3" s="410"/>
      <c r="AA3" s="410"/>
      <c r="AB3" s="410"/>
      <c r="AC3" s="410"/>
    </row>
    <row r="4" spans="1:30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30" s="53" customFormat="1" ht="12" x14ac:dyDescent="0.2">
      <c r="A5" s="49"/>
      <c r="B5" s="49"/>
      <c r="C5" s="49"/>
      <c r="D5" s="49"/>
      <c r="E5" s="49"/>
      <c r="F5" s="49"/>
      <c r="G5" s="49"/>
      <c r="H5" s="49"/>
      <c r="I5" s="50" t="s">
        <v>22</v>
      </c>
      <c r="J5" s="50" t="s">
        <v>5</v>
      </c>
      <c r="K5" s="434" t="s">
        <v>1</v>
      </c>
      <c r="L5" s="435"/>
      <c r="M5" s="436"/>
      <c r="N5" s="51" t="s">
        <v>25</v>
      </c>
      <c r="O5" s="52"/>
      <c r="P5" s="437" t="s">
        <v>8</v>
      </c>
      <c r="Q5" s="438"/>
      <c r="R5" s="438"/>
      <c r="S5" s="438"/>
      <c r="T5" s="438"/>
      <c r="U5" s="439"/>
      <c r="V5" s="51" t="s">
        <v>29</v>
      </c>
      <c r="W5" s="51" t="s">
        <v>9</v>
      </c>
      <c r="X5" s="50" t="s">
        <v>52</v>
      </c>
      <c r="Y5" s="440" t="s">
        <v>2</v>
      </c>
      <c r="Z5" s="441"/>
      <c r="AA5" s="442"/>
      <c r="AB5" s="50" t="s">
        <v>0</v>
      </c>
      <c r="AC5" s="49"/>
    </row>
    <row r="6" spans="1:30" s="53" customFormat="1" ht="24" x14ac:dyDescent="0.2">
      <c r="A6" s="54" t="s">
        <v>107</v>
      </c>
      <c r="B6" s="48" t="s">
        <v>100</v>
      </c>
      <c r="C6" s="48" t="s">
        <v>128</v>
      </c>
      <c r="D6" s="54" t="s">
        <v>21</v>
      </c>
      <c r="E6" s="54"/>
      <c r="F6" s="54"/>
      <c r="G6" s="54"/>
      <c r="H6" s="54"/>
      <c r="I6" s="55" t="s">
        <v>23</v>
      </c>
      <c r="J6" s="54" t="s">
        <v>24</v>
      </c>
      <c r="K6" s="50" t="s">
        <v>5</v>
      </c>
      <c r="L6" s="50" t="s">
        <v>58</v>
      </c>
      <c r="M6" s="50" t="s">
        <v>27</v>
      </c>
      <c r="N6" s="56" t="s">
        <v>26</v>
      </c>
      <c r="O6" s="52" t="s">
        <v>31</v>
      </c>
      <c r="P6" s="52" t="s">
        <v>11</v>
      </c>
      <c r="Q6" s="52" t="s">
        <v>33</v>
      </c>
      <c r="R6" s="52" t="s">
        <v>35</v>
      </c>
      <c r="S6" s="52" t="s">
        <v>36</v>
      </c>
      <c r="T6" s="87" t="s">
        <v>13</v>
      </c>
      <c r="U6" s="52" t="s">
        <v>9</v>
      </c>
      <c r="V6" s="56" t="s">
        <v>39</v>
      </c>
      <c r="W6" s="56" t="s">
        <v>40</v>
      </c>
      <c r="X6" s="54" t="s">
        <v>30</v>
      </c>
      <c r="Y6" s="50" t="s">
        <v>312</v>
      </c>
      <c r="Z6" s="50" t="s">
        <v>56</v>
      </c>
      <c r="AA6" s="50" t="s">
        <v>6</v>
      </c>
      <c r="AB6" s="54" t="s">
        <v>3</v>
      </c>
      <c r="AC6" s="54" t="s">
        <v>57</v>
      </c>
    </row>
    <row r="7" spans="1:30" s="53" customFormat="1" ht="12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 t="s">
        <v>46</v>
      </c>
      <c r="L7" s="54" t="s">
        <v>59</v>
      </c>
      <c r="M7" s="54" t="s">
        <v>28</v>
      </c>
      <c r="N7" s="56" t="s">
        <v>42</v>
      </c>
      <c r="O7" s="51" t="s">
        <v>32</v>
      </c>
      <c r="P7" s="51" t="s">
        <v>12</v>
      </c>
      <c r="Q7" s="51" t="s">
        <v>34</v>
      </c>
      <c r="R7" s="51" t="s">
        <v>34</v>
      </c>
      <c r="S7" s="51" t="s">
        <v>37</v>
      </c>
      <c r="T7" s="88" t="s">
        <v>14</v>
      </c>
      <c r="U7" s="51" t="s">
        <v>38</v>
      </c>
      <c r="V7" s="56" t="s">
        <v>18</v>
      </c>
      <c r="W7" s="57" t="s">
        <v>129</v>
      </c>
      <c r="X7" s="54" t="s">
        <v>51</v>
      </c>
      <c r="Y7" s="54"/>
      <c r="Z7" s="54"/>
      <c r="AA7" s="54" t="s">
        <v>43</v>
      </c>
      <c r="AB7" s="54" t="s">
        <v>4</v>
      </c>
      <c r="AC7" s="58"/>
    </row>
    <row r="8" spans="1:30" s="4" customFormat="1" ht="39.75" customHeight="1" x14ac:dyDescent="0.25">
      <c r="A8" s="100"/>
      <c r="B8" s="119"/>
      <c r="C8" s="119"/>
      <c r="D8" s="233" t="s">
        <v>69</v>
      </c>
      <c r="E8" s="233" t="s">
        <v>101</v>
      </c>
      <c r="F8" s="233" t="s">
        <v>247</v>
      </c>
      <c r="G8" s="186" t="s">
        <v>322</v>
      </c>
      <c r="H8" s="233" t="s">
        <v>61</v>
      </c>
      <c r="I8" s="233"/>
      <c r="J8" s="233"/>
      <c r="K8" s="234">
        <f>SUM(K9:K25)</f>
        <v>56009.33</v>
      </c>
      <c r="L8" s="234">
        <f>SUM(L9:L25)</f>
        <v>510.12</v>
      </c>
      <c r="M8" s="234">
        <f>SUM(M9:M25)</f>
        <v>56519.450000000004</v>
      </c>
      <c r="N8" s="233"/>
      <c r="O8" s="233"/>
      <c r="P8" s="233"/>
      <c r="Q8" s="233"/>
      <c r="R8" s="233"/>
      <c r="S8" s="233"/>
      <c r="T8" s="236"/>
      <c r="U8" s="233"/>
      <c r="V8" s="233"/>
      <c r="W8" s="233"/>
      <c r="X8" s="234">
        <f>SUM(X9:X25)</f>
        <v>0</v>
      </c>
      <c r="Y8" s="234">
        <f>SUM(Y9:Y25)</f>
        <v>2573.8500000000004</v>
      </c>
      <c r="Z8" s="234">
        <f>SUM(Z9:Z25)</f>
        <v>0</v>
      </c>
      <c r="AA8" s="234">
        <f>SUM(AA9:AA25)</f>
        <v>2573.8500000000004</v>
      </c>
      <c r="AB8" s="234">
        <f>SUM(AB9:AB25)</f>
        <v>53945.599999999999</v>
      </c>
      <c r="AC8" s="101"/>
    </row>
    <row r="9" spans="1:30" s="4" customFormat="1" ht="187.5" customHeight="1" x14ac:dyDescent="0.3">
      <c r="A9" s="45"/>
      <c r="B9" s="330" t="s">
        <v>186</v>
      </c>
      <c r="C9" s="330" t="s">
        <v>121</v>
      </c>
      <c r="D9" s="206" t="s">
        <v>181</v>
      </c>
      <c r="E9" s="143" t="s">
        <v>184</v>
      </c>
      <c r="F9" s="143" t="s">
        <v>269</v>
      </c>
      <c r="G9" s="324">
        <v>43512</v>
      </c>
      <c r="H9" s="206" t="s">
        <v>180</v>
      </c>
      <c r="I9" s="311">
        <v>15</v>
      </c>
      <c r="J9" s="312">
        <f>K9/I9</f>
        <v>300.60000000000002</v>
      </c>
      <c r="K9" s="313">
        <v>4509</v>
      </c>
      <c r="L9" s="314">
        <v>0</v>
      </c>
      <c r="M9" s="315">
        <f>SUM(K9:L9)</f>
        <v>4509</v>
      </c>
      <c r="N9" s="316">
        <f>IF(K9/15&lt;=SMG,0,L9/2)</f>
        <v>0</v>
      </c>
      <c r="O9" s="316">
        <f t="shared" ref="O9:O10" si="0">K9+N9</f>
        <v>4509</v>
      </c>
      <c r="P9" s="316">
        <f>VLOOKUP(O9,Tarifa1,1)</f>
        <v>3124.36</v>
      </c>
      <c r="Q9" s="316">
        <f t="shared" ref="Q9:Q10" si="1">O9-P9</f>
        <v>1384.6399999999999</v>
      </c>
      <c r="R9" s="317">
        <f>VLOOKUP(O9,Tarifa1,3)</f>
        <v>0.10879999999999999</v>
      </c>
      <c r="S9" s="316">
        <f t="shared" ref="S9:S10" si="2">Q9*R9</f>
        <v>150.64883199999997</v>
      </c>
      <c r="T9" s="318">
        <f>VLOOKUP(O9,Tarifa1,2)</f>
        <v>183.45</v>
      </c>
      <c r="U9" s="316">
        <f t="shared" ref="U9:U10" si="3">S9+T9</f>
        <v>334.09883199999996</v>
      </c>
      <c r="V9" s="316">
        <f>VLOOKUP(O9,Credito1,2)</f>
        <v>195</v>
      </c>
      <c r="W9" s="316">
        <f t="shared" ref="W9:W10" si="4">ROUND(U9-V9,2)</f>
        <v>139.1</v>
      </c>
      <c r="X9" s="315">
        <f>-IF(W9&gt;0,0,0)</f>
        <v>0</v>
      </c>
      <c r="Y9" s="315">
        <f>IF(K9/15&lt;=SMG,0,IF(W9&lt;0,0,W9))</f>
        <v>139.1</v>
      </c>
      <c r="Z9" s="319">
        <v>0</v>
      </c>
      <c r="AA9" s="315">
        <f>SUM(Y9:Z9)</f>
        <v>139.1</v>
      </c>
      <c r="AB9" s="315">
        <f>M9+X9-AA9</f>
        <v>4369.8999999999996</v>
      </c>
      <c r="AC9" s="91"/>
    </row>
    <row r="10" spans="1:30" s="4" customFormat="1" ht="187.5" customHeight="1" x14ac:dyDescent="0.3">
      <c r="A10" s="45"/>
      <c r="B10" s="330" t="s">
        <v>103</v>
      </c>
      <c r="C10" s="330" t="s">
        <v>121</v>
      </c>
      <c r="D10" s="206" t="s">
        <v>70</v>
      </c>
      <c r="E10" s="143" t="s">
        <v>105</v>
      </c>
      <c r="F10" s="143" t="s">
        <v>251</v>
      </c>
      <c r="G10" s="324">
        <v>39448</v>
      </c>
      <c r="H10" s="206" t="s">
        <v>71</v>
      </c>
      <c r="I10" s="311">
        <v>15</v>
      </c>
      <c r="J10" s="312">
        <f>K10/I10</f>
        <v>300.60000000000002</v>
      </c>
      <c r="K10" s="313">
        <v>4509</v>
      </c>
      <c r="L10" s="314">
        <v>0</v>
      </c>
      <c r="M10" s="315">
        <f>SUM(K10:L10)</f>
        <v>4509</v>
      </c>
      <c r="N10" s="316">
        <f>IF(K10/15&lt;=SMG,0,L10/2)</f>
        <v>0</v>
      </c>
      <c r="O10" s="316">
        <f t="shared" si="0"/>
        <v>4509</v>
      </c>
      <c r="P10" s="316">
        <f>VLOOKUP(O10,Tarifa1,1)</f>
        <v>3124.36</v>
      </c>
      <c r="Q10" s="316">
        <f t="shared" si="1"/>
        <v>1384.6399999999999</v>
      </c>
      <c r="R10" s="317">
        <f>VLOOKUP(O10,Tarifa1,3)</f>
        <v>0.10879999999999999</v>
      </c>
      <c r="S10" s="316">
        <f t="shared" si="2"/>
        <v>150.64883199999997</v>
      </c>
      <c r="T10" s="318">
        <f>VLOOKUP(O10,Tarifa1,2)</f>
        <v>183.45</v>
      </c>
      <c r="U10" s="316">
        <f t="shared" si="3"/>
        <v>334.09883199999996</v>
      </c>
      <c r="V10" s="316">
        <f>VLOOKUP(O10,Credito1,2)</f>
        <v>195</v>
      </c>
      <c r="W10" s="316">
        <f t="shared" si="4"/>
        <v>139.1</v>
      </c>
      <c r="X10" s="315">
        <f t="shared" ref="X10:X25" si="5">-IF(W10&gt;0,0,0)</f>
        <v>0</v>
      </c>
      <c r="Y10" s="315">
        <f>IF(K10/15&lt;=SMG,0,IF(W10&lt;0,0,W10))</f>
        <v>139.1</v>
      </c>
      <c r="Z10" s="319">
        <v>0</v>
      </c>
      <c r="AA10" s="315">
        <f>SUM(Y10:Z10)</f>
        <v>139.1</v>
      </c>
      <c r="AB10" s="315">
        <f>M10+X10-AA10</f>
        <v>4369.8999999999996</v>
      </c>
      <c r="AC10" s="91"/>
    </row>
    <row r="11" spans="1:30" s="4" customFormat="1" ht="187.5" customHeight="1" x14ac:dyDescent="0.3">
      <c r="A11" s="45"/>
      <c r="B11" s="330" t="s">
        <v>298</v>
      </c>
      <c r="C11" s="330" t="s">
        <v>121</v>
      </c>
      <c r="D11" s="206" t="s">
        <v>302</v>
      </c>
      <c r="E11" s="113" t="s">
        <v>304</v>
      </c>
      <c r="F11" s="113" t="s">
        <v>305</v>
      </c>
      <c r="G11" s="329">
        <v>44743</v>
      </c>
      <c r="H11" s="206" t="s">
        <v>180</v>
      </c>
      <c r="I11" s="311">
        <v>15</v>
      </c>
      <c r="J11" s="312"/>
      <c r="K11" s="313">
        <v>4509</v>
      </c>
      <c r="L11" s="314">
        <v>0</v>
      </c>
      <c r="M11" s="315">
        <f>SUM(K11:L11)</f>
        <v>4509</v>
      </c>
      <c r="N11" s="316">
        <f>IF(K11/15&lt;=SMG,0,L11/2)</f>
        <v>0</v>
      </c>
      <c r="O11" s="316">
        <f t="shared" ref="O11:O13" si="6">K11+N11</f>
        <v>4509</v>
      </c>
      <c r="P11" s="316">
        <f>VLOOKUP(O11,Tarifa1,1)</f>
        <v>3124.36</v>
      </c>
      <c r="Q11" s="316">
        <f t="shared" ref="Q11:Q13" si="7">O11-P11</f>
        <v>1384.6399999999999</v>
      </c>
      <c r="R11" s="317">
        <f>VLOOKUP(O11,Tarifa1,3)</f>
        <v>0.10879999999999999</v>
      </c>
      <c r="S11" s="316">
        <f t="shared" ref="S11:S13" si="8">Q11*R11</f>
        <v>150.64883199999997</v>
      </c>
      <c r="T11" s="318">
        <f>VLOOKUP(O11,Tarifa1,2)</f>
        <v>183.45</v>
      </c>
      <c r="U11" s="316">
        <f t="shared" ref="U11:U13" si="9">S11+T11</f>
        <v>334.09883199999996</v>
      </c>
      <c r="V11" s="316">
        <f>VLOOKUP(O11,Credito1,2)</f>
        <v>195</v>
      </c>
      <c r="W11" s="316">
        <f t="shared" ref="W11:W13" si="10">ROUND(U11-V11,2)</f>
        <v>139.1</v>
      </c>
      <c r="X11" s="315">
        <f t="shared" ref="X11:X12" si="11">-IF(W11&gt;0,0,0)</f>
        <v>0</v>
      </c>
      <c r="Y11" s="315">
        <f>IF(K11/15&lt;=SMG,0,IF(W11&lt;0,0,W11))</f>
        <v>139.1</v>
      </c>
      <c r="Z11" s="319">
        <v>0</v>
      </c>
      <c r="AA11" s="315">
        <f>SUM(Y11:Z11)</f>
        <v>139.1</v>
      </c>
      <c r="AB11" s="315">
        <f>M11+X11-AA11</f>
        <v>4369.8999999999996</v>
      </c>
      <c r="AC11" s="91"/>
    </row>
    <row r="12" spans="1:30" s="4" customFormat="1" ht="187.5" customHeight="1" x14ac:dyDescent="0.3">
      <c r="A12" s="45"/>
      <c r="B12" s="282" t="s">
        <v>197</v>
      </c>
      <c r="C12" s="330" t="s">
        <v>121</v>
      </c>
      <c r="D12" s="253" t="s">
        <v>195</v>
      </c>
      <c r="E12" s="159" t="s">
        <v>196</v>
      </c>
      <c r="F12" s="159" t="s">
        <v>273</v>
      </c>
      <c r="G12" s="212">
        <v>43617</v>
      </c>
      <c r="H12" s="206" t="s">
        <v>71</v>
      </c>
      <c r="I12" s="145">
        <v>15</v>
      </c>
      <c r="J12" s="146"/>
      <c r="K12" s="313">
        <v>4509</v>
      </c>
      <c r="L12" s="314">
        <v>0</v>
      </c>
      <c r="M12" s="315">
        <f>SUM(K12:L12)</f>
        <v>4509</v>
      </c>
      <c r="N12" s="316">
        <f>IF(K12/15&lt;=SMG,0,L12/2)</f>
        <v>0</v>
      </c>
      <c r="O12" s="316">
        <f t="shared" si="6"/>
        <v>4509</v>
      </c>
      <c r="P12" s="316">
        <f>VLOOKUP(O12,Tarifa1,1)</f>
        <v>3124.36</v>
      </c>
      <c r="Q12" s="316">
        <f t="shared" si="7"/>
        <v>1384.6399999999999</v>
      </c>
      <c r="R12" s="317">
        <f>VLOOKUP(O12,Tarifa1,3)</f>
        <v>0.10879999999999999</v>
      </c>
      <c r="S12" s="316">
        <f t="shared" si="8"/>
        <v>150.64883199999997</v>
      </c>
      <c r="T12" s="318">
        <f>VLOOKUP(O12,Tarifa1,2)</f>
        <v>183.45</v>
      </c>
      <c r="U12" s="316">
        <f t="shared" si="9"/>
        <v>334.09883199999996</v>
      </c>
      <c r="V12" s="316">
        <f>VLOOKUP(O12,Credito1,2)</f>
        <v>195</v>
      </c>
      <c r="W12" s="316">
        <f t="shared" si="10"/>
        <v>139.1</v>
      </c>
      <c r="X12" s="315">
        <f t="shared" si="11"/>
        <v>0</v>
      </c>
      <c r="Y12" s="315">
        <f>IF(K12/15&lt;=SMG,0,IF(W12&lt;0,0,W12))</f>
        <v>139.1</v>
      </c>
      <c r="Z12" s="319">
        <v>0</v>
      </c>
      <c r="AA12" s="315">
        <f>SUM(Y12:Z12)</f>
        <v>139.1</v>
      </c>
      <c r="AB12" s="315">
        <f>M12+X12-AA12</f>
        <v>4369.8999999999996</v>
      </c>
      <c r="AC12" s="91"/>
    </row>
    <row r="13" spans="1:30" s="4" customFormat="1" ht="187.5" customHeight="1" x14ac:dyDescent="0.3">
      <c r="A13" s="45"/>
      <c r="B13" s="330" t="s">
        <v>135</v>
      </c>
      <c r="C13" s="330" t="s">
        <v>121</v>
      </c>
      <c r="D13" s="207" t="s">
        <v>134</v>
      </c>
      <c r="E13" s="159" t="s">
        <v>136</v>
      </c>
      <c r="F13" s="159" t="s">
        <v>257</v>
      </c>
      <c r="G13" s="331">
        <v>42948</v>
      </c>
      <c r="H13" s="206" t="s">
        <v>336</v>
      </c>
      <c r="I13" s="311">
        <v>15</v>
      </c>
      <c r="J13" s="312">
        <f>K13/I13</f>
        <v>362.322</v>
      </c>
      <c r="K13" s="313">
        <v>5434.83</v>
      </c>
      <c r="L13" s="314">
        <v>0</v>
      </c>
      <c r="M13" s="315">
        <f>SUM(K13:L13)</f>
        <v>5434.83</v>
      </c>
      <c r="N13" s="316">
        <f>IF(K13/15&lt;=SMG,0,L13/2)</f>
        <v>0</v>
      </c>
      <c r="O13" s="316">
        <f t="shared" si="6"/>
        <v>5434.83</v>
      </c>
      <c r="P13" s="316">
        <f>VLOOKUP(O13,Tarifa1,1)</f>
        <v>3124.36</v>
      </c>
      <c r="Q13" s="316">
        <f t="shared" si="7"/>
        <v>2310.4699999999998</v>
      </c>
      <c r="R13" s="317">
        <f>VLOOKUP(O13,Tarifa1,3)</f>
        <v>0.10879999999999999</v>
      </c>
      <c r="S13" s="316">
        <f t="shared" si="8"/>
        <v>251.37913599999996</v>
      </c>
      <c r="T13" s="318">
        <f>VLOOKUP(O13,Tarifa1,2)</f>
        <v>183.45</v>
      </c>
      <c r="U13" s="316">
        <f t="shared" si="9"/>
        <v>434.82913599999995</v>
      </c>
      <c r="V13" s="316">
        <f>VLOOKUP(O13,Credito1,2)</f>
        <v>0</v>
      </c>
      <c r="W13" s="316">
        <f t="shared" si="10"/>
        <v>434.83</v>
      </c>
      <c r="X13" s="315">
        <f>-IF(W13&gt;0,0,0)</f>
        <v>0</v>
      </c>
      <c r="Y13" s="315">
        <f>IF(K13/15&lt;=SMG,0,IF(W13&lt;0,0,W13))</f>
        <v>434.83</v>
      </c>
      <c r="Z13" s="319">
        <v>0</v>
      </c>
      <c r="AA13" s="315">
        <f>SUM(Y13:Z13)</f>
        <v>434.83</v>
      </c>
      <c r="AB13" s="315">
        <f>M13+X13-AA13</f>
        <v>5000</v>
      </c>
      <c r="AC13" s="91"/>
    </row>
    <row r="14" spans="1:30" s="4" customFormat="1" ht="187.5" customHeight="1" x14ac:dyDescent="0.3">
      <c r="A14" s="45"/>
      <c r="B14" s="330" t="s">
        <v>345</v>
      </c>
      <c r="C14" s="330" t="s">
        <v>121</v>
      </c>
      <c r="D14" s="207" t="s">
        <v>346</v>
      </c>
      <c r="E14" s="159" t="s">
        <v>347</v>
      </c>
      <c r="F14" s="159" t="s">
        <v>348</v>
      </c>
      <c r="G14" s="331">
        <v>45078</v>
      </c>
      <c r="H14" s="206" t="s">
        <v>336</v>
      </c>
      <c r="I14" s="311"/>
      <c r="J14" s="312"/>
      <c r="K14" s="313">
        <v>4153.5</v>
      </c>
      <c r="L14" s="314">
        <v>0</v>
      </c>
      <c r="M14" s="315">
        <f t="shared" ref="M14" si="12">SUM(K14:L14)</f>
        <v>4153.5</v>
      </c>
      <c r="N14" s="316">
        <f t="shared" ref="N14" si="13">IF(K14/15&lt;=SMG,0,L14/2)</f>
        <v>0</v>
      </c>
      <c r="O14" s="316">
        <f t="shared" ref="O14:O21" si="14">K14+N14</f>
        <v>4153.5</v>
      </c>
      <c r="P14" s="316">
        <f t="shared" ref="P14" si="15">VLOOKUP(O14,Tarifa1,1)</f>
        <v>3124.36</v>
      </c>
      <c r="Q14" s="316">
        <f t="shared" ref="Q14:Q21" si="16">O14-P14</f>
        <v>1029.1399999999999</v>
      </c>
      <c r="R14" s="317">
        <f t="shared" ref="R14" si="17">VLOOKUP(O14,Tarifa1,3)</f>
        <v>0.10879999999999999</v>
      </c>
      <c r="S14" s="316">
        <f t="shared" ref="S14:S21" si="18">Q14*R14</f>
        <v>111.97043199999997</v>
      </c>
      <c r="T14" s="318">
        <f t="shared" ref="T14" si="19">VLOOKUP(O14,Tarifa1,2)</f>
        <v>183.45</v>
      </c>
      <c r="U14" s="316">
        <f t="shared" ref="U14:U21" si="20">S14+T14</f>
        <v>295.42043199999995</v>
      </c>
      <c r="V14" s="316">
        <f t="shared" ref="V14" si="21">VLOOKUP(O14,Credito1,2)</f>
        <v>195</v>
      </c>
      <c r="W14" s="316">
        <f t="shared" ref="W14:W21" si="22">ROUND(U14-V14,2)</f>
        <v>100.42</v>
      </c>
      <c r="X14" s="315">
        <f t="shared" si="5"/>
        <v>0</v>
      </c>
      <c r="Y14" s="315">
        <f t="shared" ref="Y14" si="23">IF(K14/15&lt;=SMG,0,IF(W14&lt;0,0,W14))</f>
        <v>100.42</v>
      </c>
      <c r="Z14" s="319">
        <v>0</v>
      </c>
      <c r="AA14" s="315">
        <f t="shared" ref="AA14" si="24">SUM(Y14:Z14)</f>
        <v>100.42</v>
      </c>
      <c r="AB14" s="315">
        <f t="shared" ref="AB14" si="25">M14+X14-AA14</f>
        <v>4053.08</v>
      </c>
      <c r="AC14" s="91"/>
    </row>
    <row r="15" spans="1:30" s="4" customFormat="1" ht="12.75" customHeight="1" x14ac:dyDescent="0.3">
      <c r="A15" s="279"/>
      <c r="B15" s="349"/>
      <c r="C15" s="349"/>
      <c r="D15" s="350"/>
      <c r="E15" s="351"/>
      <c r="F15" s="351"/>
      <c r="G15" s="352"/>
      <c r="H15" s="288"/>
      <c r="I15" s="353"/>
      <c r="J15" s="354"/>
      <c r="K15" s="355"/>
      <c r="L15" s="356"/>
      <c r="M15" s="357"/>
      <c r="N15" s="358"/>
      <c r="O15" s="358"/>
      <c r="P15" s="358"/>
      <c r="Q15" s="358"/>
      <c r="R15" s="359"/>
      <c r="S15" s="358"/>
      <c r="T15" s="360"/>
      <c r="U15" s="358"/>
      <c r="V15" s="358"/>
      <c r="W15" s="358"/>
      <c r="X15" s="357"/>
      <c r="Y15" s="357"/>
      <c r="Z15" s="361"/>
      <c r="AA15" s="357"/>
      <c r="AB15" s="357"/>
    </row>
    <row r="16" spans="1:30" s="4" customFormat="1" ht="27" customHeight="1" x14ac:dyDescent="0.25">
      <c r="A16" s="279"/>
      <c r="B16" s="421" t="s">
        <v>78</v>
      </c>
      <c r="C16" s="421"/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  <c r="AC16" s="421"/>
      <c r="AD16" s="421"/>
    </row>
    <row r="17" spans="1:30" s="4" customFormat="1" ht="27" customHeight="1" x14ac:dyDescent="0.25">
      <c r="A17" s="279"/>
      <c r="B17" s="421" t="s">
        <v>64</v>
      </c>
      <c r="C17" s="421"/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  <c r="AC17" s="421"/>
      <c r="AD17" s="421"/>
    </row>
    <row r="18" spans="1:30" s="4" customFormat="1" ht="27" customHeight="1" x14ac:dyDescent="0.3">
      <c r="A18" s="279"/>
      <c r="B18" s="443" t="str">
        <f>PRESIDENCIA!A3</f>
        <v>SUELDO  DEL 16 AL 30 DE NOVIEMBRE DE 2024</v>
      </c>
      <c r="C18" s="443"/>
      <c r="D18" s="443"/>
      <c r="E18" s="443"/>
      <c r="F18" s="443"/>
      <c r="G18" s="443"/>
      <c r="H18" s="443"/>
      <c r="I18" s="443"/>
      <c r="J18" s="443"/>
      <c r="K18" s="443"/>
      <c r="L18" s="443"/>
      <c r="M18" s="443"/>
      <c r="N18" s="443"/>
      <c r="O18" s="443"/>
      <c r="P18" s="443"/>
      <c r="Q18" s="443"/>
      <c r="R18" s="443"/>
      <c r="S18" s="443"/>
      <c r="T18" s="443"/>
      <c r="U18" s="443"/>
      <c r="V18" s="443"/>
      <c r="W18" s="443"/>
      <c r="X18" s="443"/>
      <c r="Y18" s="443"/>
      <c r="Z18" s="443"/>
      <c r="AA18" s="443"/>
      <c r="AB18" s="443"/>
      <c r="AC18" s="443"/>
    </row>
    <row r="19" spans="1:30" s="4" customFormat="1" ht="18.75" customHeight="1" x14ac:dyDescent="0.3">
      <c r="A19" s="279"/>
      <c r="B19" s="349"/>
      <c r="C19" s="349"/>
      <c r="D19" s="350"/>
      <c r="E19" s="351"/>
      <c r="F19" s="351"/>
      <c r="G19" s="352"/>
      <c r="H19" s="288"/>
      <c r="I19" s="353"/>
      <c r="J19" s="354"/>
      <c r="K19" s="355"/>
      <c r="L19" s="356"/>
      <c r="M19" s="357"/>
      <c r="N19" s="358"/>
      <c r="O19" s="358"/>
      <c r="P19" s="358"/>
      <c r="Q19" s="358"/>
      <c r="R19" s="359"/>
      <c r="S19" s="358"/>
      <c r="T19" s="360"/>
      <c r="U19" s="358"/>
      <c r="V19" s="358"/>
      <c r="W19" s="358"/>
      <c r="X19" s="357"/>
      <c r="Y19" s="357"/>
      <c r="Z19" s="361"/>
      <c r="AA19" s="357"/>
      <c r="AB19" s="357"/>
    </row>
    <row r="20" spans="1:30" s="4" customFormat="1" ht="154.5" customHeight="1" x14ac:dyDescent="0.3">
      <c r="A20" s="279"/>
      <c r="B20" s="335" t="s">
        <v>542</v>
      </c>
      <c r="C20" s="335" t="s">
        <v>121</v>
      </c>
      <c r="D20" s="336" t="s">
        <v>531</v>
      </c>
      <c r="E20" s="337" t="s">
        <v>543</v>
      </c>
      <c r="F20" s="337" t="s">
        <v>544</v>
      </c>
      <c r="G20" s="338">
        <v>45566</v>
      </c>
      <c r="H20" s="249" t="s">
        <v>102</v>
      </c>
      <c r="I20" s="339"/>
      <c r="J20" s="340"/>
      <c r="K20" s="341">
        <v>4153.5</v>
      </c>
      <c r="L20" s="342">
        <v>0</v>
      </c>
      <c r="M20" s="343">
        <f t="shared" ref="M20" si="26">SUM(K20:L20)</f>
        <v>4153.5</v>
      </c>
      <c r="N20" s="344">
        <f t="shared" ref="N20" si="27">IF(K20/15&lt;=SMG,0,L20/2)</f>
        <v>0</v>
      </c>
      <c r="O20" s="344">
        <f t="shared" ref="O20" si="28">K20+N20</f>
        <v>4153.5</v>
      </c>
      <c r="P20" s="344">
        <f t="shared" ref="P20" si="29">VLOOKUP(O20,Tarifa1,1)</f>
        <v>3124.36</v>
      </c>
      <c r="Q20" s="344">
        <f t="shared" ref="Q20" si="30">O20-P20</f>
        <v>1029.1399999999999</v>
      </c>
      <c r="R20" s="345">
        <f t="shared" ref="R20" si="31">VLOOKUP(O20,Tarifa1,3)</f>
        <v>0.10879999999999999</v>
      </c>
      <c r="S20" s="344">
        <f t="shared" ref="S20" si="32">Q20*R20</f>
        <v>111.97043199999997</v>
      </c>
      <c r="T20" s="346">
        <f t="shared" ref="T20" si="33">VLOOKUP(O20,Tarifa1,2)</f>
        <v>183.45</v>
      </c>
      <c r="U20" s="344">
        <f t="shared" ref="U20" si="34">S20+T20</f>
        <v>295.42043199999995</v>
      </c>
      <c r="V20" s="344">
        <f t="shared" ref="V20" si="35">VLOOKUP(O20,Credito1,2)</f>
        <v>195</v>
      </c>
      <c r="W20" s="344">
        <f t="shared" ref="W20" si="36">ROUND(U20-V20,2)</f>
        <v>100.42</v>
      </c>
      <c r="X20" s="343">
        <f t="shared" ref="X20" si="37">-IF(W20&gt;0,0,0)</f>
        <v>0</v>
      </c>
      <c r="Y20" s="343">
        <f t="shared" ref="Y20" si="38">IF(K20/15&lt;=SMG,0,IF(W20&lt;0,0,W20))</f>
        <v>100.42</v>
      </c>
      <c r="Z20" s="347">
        <v>0</v>
      </c>
      <c r="AA20" s="343">
        <f t="shared" ref="AA20" si="39">SUM(Y20:Z20)</f>
        <v>100.42</v>
      </c>
      <c r="AB20" s="343">
        <f t="shared" ref="AB20" si="40">M20+X20-AA20</f>
        <v>4053.08</v>
      </c>
      <c r="AC20" s="106"/>
    </row>
    <row r="21" spans="1:30" s="4" customFormat="1" ht="154.5" customHeight="1" x14ac:dyDescent="0.3">
      <c r="A21" s="45"/>
      <c r="B21" s="330" t="s">
        <v>198</v>
      </c>
      <c r="C21" s="330" t="s">
        <v>121</v>
      </c>
      <c r="D21" s="207" t="s">
        <v>199</v>
      </c>
      <c r="E21" s="159" t="s">
        <v>200</v>
      </c>
      <c r="F21" s="159" t="s">
        <v>274</v>
      </c>
      <c r="G21" s="331">
        <v>43709</v>
      </c>
      <c r="H21" s="206" t="s">
        <v>239</v>
      </c>
      <c r="I21" s="311">
        <v>15</v>
      </c>
      <c r="J21" s="312"/>
      <c r="K21" s="313">
        <v>4005.5</v>
      </c>
      <c r="L21" s="314">
        <v>0</v>
      </c>
      <c r="M21" s="315">
        <f>SUM(K21:L21)</f>
        <v>4005.5</v>
      </c>
      <c r="N21" s="316">
        <f>IF(K21/15&lt;=SMG,0,L21/2)</f>
        <v>0</v>
      </c>
      <c r="O21" s="316">
        <f t="shared" si="14"/>
        <v>4005.5</v>
      </c>
      <c r="P21" s="316">
        <f>VLOOKUP(O21,Tarifa1,1)</f>
        <v>3124.36</v>
      </c>
      <c r="Q21" s="316">
        <f t="shared" si="16"/>
        <v>881.13999999999987</v>
      </c>
      <c r="R21" s="317">
        <f>VLOOKUP(O21,Tarifa1,3)</f>
        <v>0.10879999999999999</v>
      </c>
      <c r="S21" s="316">
        <f t="shared" si="18"/>
        <v>95.868031999999985</v>
      </c>
      <c r="T21" s="318">
        <f>VLOOKUP(O21,Tarifa1,2)</f>
        <v>183.45</v>
      </c>
      <c r="U21" s="316">
        <f t="shared" si="20"/>
        <v>279.31803199999996</v>
      </c>
      <c r="V21" s="316">
        <f>VLOOKUP(O21,Credito1,2)</f>
        <v>195</v>
      </c>
      <c r="W21" s="316">
        <f t="shared" si="22"/>
        <v>84.32</v>
      </c>
      <c r="X21" s="315">
        <f t="shared" si="5"/>
        <v>0</v>
      </c>
      <c r="Y21" s="315">
        <f>IF(K21/15&lt;=SMG,0,IF(W21&lt;0,0,W21))</f>
        <v>84.32</v>
      </c>
      <c r="Z21" s="319">
        <v>0</v>
      </c>
      <c r="AA21" s="315">
        <f>SUM(Y21:Z21)</f>
        <v>84.32</v>
      </c>
      <c r="AB21" s="315">
        <f>M21+X21-AA21</f>
        <v>3921.18</v>
      </c>
      <c r="AC21" s="91"/>
    </row>
    <row r="22" spans="1:30" s="4" customFormat="1" ht="154.5" customHeight="1" x14ac:dyDescent="0.3">
      <c r="A22" s="45"/>
      <c r="B22" s="330" t="s">
        <v>361</v>
      </c>
      <c r="C22" s="330" t="s">
        <v>121</v>
      </c>
      <c r="D22" s="207" t="s">
        <v>360</v>
      </c>
      <c r="E22" s="159" t="s">
        <v>362</v>
      </c>
      <c r="F22" s="159" t="s">
        <v>363</v>
      </c>
      <c r="G22" s="331">
        <v>45123</v>
      </c>
      <c r="H22" s="206" t="s">
        <v>359</v>
      </c>
      <c r="I22" s="311">
        <v>15</v>
      </c>
      <c r="J22" s="312"/>
      <c r="K22" s="313">
        <v>4442.5</v>
      </c>
      <c r="L22" s="314">
        <v>510.12</v>
      </c>
      <c r="M22" s="315">
        <f>SUM(K22:L22)</f>
        <v>4952.62</v>
      </c>
      <c r="N22" s="316">
        <f t="shared" ref="N22" si="41">IF(K22/15&lt;=SMG,0,L22/2)</f>
        <v>255.06</v>
      </c>
      <c r="O22" s="316">
        <f t="shared" ref="O22:O25" si="42">K22+N22</f>
        <v>4697.5600000000004</v>
      </c>
      <c r="P22" s="316">
        <f t="shared" ref="P22:P24" si="43">VLOOKUP(O22,Tarifa1,1)</f>
        <v>3124.36</v>
      </c>
      <c r="Q22" s="316">
        <f t="shared" ref="Q22:Q25" si="44">O22-P22</f>
        <v>1573.2000000000003</v>
      </c>
      <c r="R22" s="317">
        <f t="shared" ref="R22:R24" si="45">VLOOKUP(O22,Tarifa1,3)</f>
        <v>0.10879999999999999</v>
      </c>
      <c r="S22" s="316">
        <f t="shared" ref="S22:S25" si="46">Q22*R22</f>
        <v>171.16416000000001</v>
      </c>
      <c r="T22" s="318">
        <f t="shared" ref="T22:T24" si="47">VLOOKUP(O22,Tarifa1,2)</f>
        <v>183.45</v>
      </c>
      <c r="U22" s="316">
        <f t="shared" ref="U22:U25" si="48">S22+T22</f>
        <v>354.61415999999997</v>
      </c>
      <c r="V22" s="316">
        <f t="shared" ref="V22:V24" si="49">VLOOKUP(O22,Credito1,2)</f>
        <v>0</v>
      </c>
      <c r="W22" s="316">
        <f t="shared" ref="W22:W25" si="50">ROUND(U22-V22,2)</f>
        <v>354.61</v>
      </c>
      <c r="X22" s="315">
        <f t="shared" si="5"/>
        <v>0</v>
      </c>
      <c r="Y22" s="315">
        <f t="shared" ref="Y22:Y24" si="51">IF(K22/15&lt;=SMG,0,IF(W22&lt;0,0,W22))</f>
        <v>354.61</v>
      </c>
      <c r="Z22" s="319">
        <v>0</v>
      </c>
      <c r="AA22" s="315">
        <f>SUM(Y22:Z22)</f>
        <v>354.61</v>
      </c>
      <c r="AB22" s="315">
        <f>M22+X22-AA22</f>
        <v>4598.01</v>
      </c>
      <c r="AC22" s="91"/>
    </row>
    <row r="23" spans="1:30" s="4" customFormat="1" ht="154.5" customHeight="1" x14ac:dyDescent="0.3">
      <c r="A23" s="45"/>
      <c r="B23" s="282" t="s">
        <v>243</v>
      </c>
      <c r="C23" s="330" t="s">
        <v>121</v>
      </c>
      <c r="D23" s="206" t="s">
        <v>228</v>
      </c>
      <c r="E23" s="143" t="s">
        <v>229</v>
      </c>
      <c r="F23" s="143" t="s">
        <v>256</v>
      </c>
      <c r="G23" s="324">
        <v>44473</v>
      </c>
      <c r="H23" s="206" t="s">
        <v>522</v>
      </c>
      <c r="I23" s="311">
        <v>15</v>
      </c>
      <c r="J23" s="312"/>
      <c r="K23" s="313">
        <v>3727.5</v>
      </c>
      <c r="L23" s="314">
        <v>0</v>
      </c>
      <c r="M23" s="315">
        <f>SUM(K23:L23)</f>
        <v>3727.5</v>
      </c>
      <c r="N23" s="316">
        <f>IF(K23/15&lt;=SMG,0,L23/2)</f>
        <v>0</v>
      </c>
      <c r="O23" s="316">
        <f t="shared" ref="O23" si="52">K23+N23</f>
        <v>3727.5</v>
      </c>
      <c r="P23" s="316">
        <f t="shared" ref="P23" si="53">VLOOKUP(O23,Tarifa1,1)</f>
        <v>3124.36</v>
      </c>
      <c r="Q23" s="316">
        <f t="shared" ref="Q23" si="54">O23-P23</f>
        <v>603.13999999999987</v>
      </c>
      <c r="R23" s="317">
        <f t="shared" ref="R23" si="55">VLOOKUP(O23,Tarifa1,3)</f>
        <v>0.10879999999999999</v>
      </c>
      <c r="S23" s="316">
        <f t="shared" ref="S23" si="56">Q23*R23</f>
        <v>65.621631999999977</v>
      </c>
      <c r="T23" s="318">
        <f t="shared" ref="T23" si="57">VLOOKUP(O23,Tarifa1,2)</f>
        <v>183.45</v>
      </c>
      <c r="U23" s="316">
        <f t="shared" ref="U23" si="58">S23+T23</f>
        <v>249.07163199999997</v>
      </c>
      <c r="V23" s="316">
        <f t="shared" ref="V23" si="59">VLOOKUP(O23,Credito1,2)</f>
        <v>195</v>
      </c>
      <c r="W23" s="316">
        <f t="shared" ref="W23" si="60">ROUND(U23-V23,2)</f>
        <v>54.07</v>
      </c>
      <c r="X23" s="315">
        <f>-IF(W23&gt;0,0,0)</f>
        <v>0</v>
      </c>
      <c r="Y23" s="315">
        <f t="shared" ref="Y23" si="61">IF(K23/15&lt;=SMG,0,IF(W23&lt;0,0,W23))</f>
        <v>0</v>
      </c>
      <c r="Z23" s="319">
        <v>0</v>
      </c>
      <c r="AA23" s="315">
        <f>SUM(Y23:Z23)</f>
        <v>0</v>
      </c>
      <c r="AB23" s="315">
        <f>M23+X23-AA23</f>
        <v>3727.5</v>
      </c>
      <c r="AC23" s="91"/>
    </row>
    <row r="24" spans="1:30" s="4" customFormat="1" ht="154.5" customHeight="1" x14ac:dyDescent="0.3">
      <c r="A24" s="45"/>
      <c r="B24" s="282" t="s">
        <v>225</v>
      </c>
      <c r="C24" s="330" t="s">
        <v>121</v>
      </c>
      <c r="D24" s="206" t="s">
        <v>230</v>
      </c>
      <c r="E24" s="143" t="s">
        <v>231</v>
      </c>
      <c r="F24" s="143" t="s">
        <v>279</v>
      </c>
      <c r="G24" s="324">
        <v>44470</v>
      </c>
      <c r="H24" s="283" t="s">
        <v>72</v>
      </c>
      <c r="I24" s="311">
        <v>15</v>
      </c>
      <c r="J24" s="312">
        <f>K24/I24</f>
        <v>512.5333333333333</v>
      </c>
      <c r="K24" s="313">
        <v>7688</v>
      </c>
      <c r="L24" s="314">
        <v>0</v>
      </c>
      <c r="M24" s="315">
        <f t="shared" ref="M24" si="62">SUM(K24:L24)</f>
        <v>7688</v>
      </c>
      <c r="N24" s="316">
        <f t="shared" ref="N24" si="63">IF(K24/15&lt;=SMG,0,L24/2)</f>
        <v>0</v>
      </c>
      <c r="O24" s="316">
        <f t="shared" si="42"/>
        <v>7688</v>
      </c>
      <c r="P24" s="316">
        <f t="shared" si="43"/>
        <v>7641.91</v>
      </c>
      <c r="Q24" s="316">
        <f t="shared" si="44"/>
        <v>46.090000000000146</v>
      </c>
      <c r="R24" s="317">
        <f t="shared" si="45"/>
        <v>0.21360000000000001</v>
      </c>
      <c r="S24" s="316">
        <f t="shared" si="46"/>
        <v>9.8448240000000311</v>
      </c>
      <c r="T24" s="318">
        <f t="shared" si="47"/>
        <v>809.25</v>
      </c>
      <c r="U24" s="316">
        <f t="shared" si="48"/>
        <v>819.09482400000002</v>
      </c>
      <c r="V24" s="316">
        <f t="shared" si="49"/>
        <v>0</v>
      </c>
      <c r="W24" s="316">
        <f t="shared" si="50"/>
        <v>819.09</v>
      </c>
      <c r="X24" s="315">
        <f t="shared" si="5"/>
        <v>0</v>
      </c>
      <c r="Y24" s="315">
        <f t="shared" si="51"/>
        <v>819.09</v>
      </c>
      <c r="Z24" s="319">
        <v>0</v>
      </c>
      <c r="AA24" s="315">
        <f t="shared" ref="AA24" si="64">SUM(Y24:Z24)</f>
        <v>819.09</v>
      </c>
      <c r="AB24" s="315">
        <f t="shared" ref="AB24" si="65">M24+X24-AA24</f>
        <v>6868.91</v>
      </c>
      <c r="AC24" s="91"/>
    </row>
    <row r="25" spans="1:30" s="4" customFormat="1" ht="154.5" customHeight="1" x14ac:dyDescent="0.3">
      <c r="A25" s="45"/>
      <c r="B25" s="282" t="s">
        <v>369</v>
      </c>
      <c r="C25" s="330" t="s">
        <v>121</v>
      </c>
      <c r="D25" s="206" t="s">
        <v>370</v>
      </c>
      <c r="E25" s="143" t="s">
        <v>371</v>
      </c>
      <c r="F25" s="143" t="s">
        <v>372</v>
      </c>
      <c r="G25" s="324">
        <v>45173</v>
      </c>
      <c r="H25" s="206" t="s">
        <v>179</v>
      </c>
      <c r="I25" s="311">
        <v>15</v>
      </c>
      <c r="J25" s="312"/>
      <c r="K25" s="313">
        <v>4368</v>
      </c>
      <c r="L25" s="314">
        <v>0</v>
      </c>
      <c r="M25" s="315">
        <f>SUM(K25:L25)</f>
        <v>4368</v>
      </c>
      <c r="N25" s="316">
        <f>IF(K25/15&lt;=SMG,0,L25/2)</f>
        <v>0</v>
      </c>
      <c r="O25" s="316">
        <f t="shared" si="42"/>
        <v>4368</v>
      </c>
      <c r="P25" s="316">
        <f t="shared" ref="P25" si="66">VLOOKUP(O25,Tarifa1,1)</f>
        <v>3124.36</v>
      </c>
      <c r="Q25" s="316">
        <f t="shared" si="44"/>
        <v>1243.6399999999999</v>
      </c>
      <c r="R25" s="317">
        <f t="shared" ref="R25" si="67">VLOOKUP(O25,Tarifa1,3)</f>
        <v>0.10879999999999999</v>
      </c>
      <c r="S25" s="316">
        <f t="shared" si="46"/>
        <v>135.30803199999997</v>
      </c>
      <c r="T25" s="318">
        <f t="shared" ref="T25" si="68">VLOOKUP(O25,Tarifa1,2)</f>
        <v>183.45</v>
      </c>
      <c r="U25" s="316">
        <f t="shared" si="48"/>
        <v>318.75803199999996</v>
      </c>
      <c r="V25" s="316">
        <f t="shared" ref="V25" si="69">VLOOKUP(O25,Credito1,2)</f>
        <v>195</v>
      </c>
      <c r="W25" s="316">
        <f t="shared" si="50"/>
        <v>123.76</v>
      </c>
      <c r="X25" s="315">
        <f t="shared" si="5"/>
        <v>0</v>
      </c>
      <c r="Y25" s="315">
        <f t="shared" ref="Y25" si="70">IF(K25/15&lt;=SMG,0,IF(W25&lt;0,0,W25))</f>
        <v>123.76</v>
      </c>
      <c r="Z25" s="319">
        <v>0</v>
      </c>
      <c r="AA25" s="315">
        <f>SUM(Y25:Z25)</f>
        <v>123.76</v>
      </c>
      <c r="AB25" s="315">
        <f>M25+X25-AA25</f>
        <v>4244.24</v>
      </c>
      <c r="AC25" s="91"/>
    </row>
    <row r="26" spans="1:30" s="4" customFormat="1" ht="50.25" customHeight="1" x14ac:dyDescent="0.25">
      <c r="A26" s="279"/>
      <c r="B26" s="118" t="s">
        <v>100</v>
      </c>
      <c r="C26" s="118" t="s">
        <v>128</v>
      </c>
      <c r="D26" s="233" t="s">
        <v>127</v>
      </c>
      <c r="E26" s="233" t="s">
        <v>101</v>
      </c>
      <c r="F26" s="233" t="s">
        <v>247</v>
      </c>
      <c r="G26" s="186" t="s">
        <v>322</v>
      </c>
      <c r="H26" s="233" t="s">
        <v>61</v>
      </c>
      <c r="I26" s="233"/>
      <c r="J26" s="233"/>
      <c r="K26" s="234">
        <f>SUM(K27:K27)</f>
        <v>6871.16</v>
      </c>
      <c r="L26" s="234">
        <f>SUM(L27:L27)</f>
        <v>0</v>
      </c>
      <c r="M26" s="234">
        <f>SUM(M27:M27)</f>
        <v>6871.16</v>
      </c>
      <c r="N26" s="233"/>
      <c r="O26" s="233"/>
      <c r="P26" s="233"/>
      <c r="Q26" s="233"/>
      <c r="R26" s="233"/>
      <c r="S26" s="233"/>
      <c r="T26" s="236"/>
      <c r="U26" s="233"/>
      <c r="V26" s="233"/>
      <c r="W26" s="233"/>
      <c r="X26" s="234">
        <f>SUM(X27:X27)</f>
        <v>0</v>
      </c>
      <c r="Y26" s="234">
        <f>SUM(Y27:Y27)</f>
        <v>671.16</v>
      </c>
      <c r="Z26" s="234">
        <f>SUM(Z27:Z27)</f>
        <v>0</v>
      </c>
      <c r="AA26" s="234">
        <f>SUM(AA27:AA27)</f>
        <v>671.16</v>
      </c>
      <c r="AB26" s="234">
        <f>SUM(AB27:AB27)</f>
        <v>6200</v>
      </c>
      <c r="AC26" s="101"/>
    </row>
    <row r="27" spans="1:30" s="4" customFormat="1" ht="154.5" customHeight="1" x14ac:dyDescent="0.3">
      <c r="A27" s="279"/>
      <c r="B27" s="282" t="s">
        <v>187</v>
      </c>
      <c r="C27" s="330" t="s">
        <v>121</v>
      </c>
      <c r="D27" s="206" t="s">
        <v>177</v>
      </c>
      <c r="E27" s="143" t="s">
        <v>183</v>
      </c>
      <c r="F27" s="143" t="s">
        <v>270</v>
      </c>
      <c r="G27" s="324">
        <v>43512</v>
      </c>
      <c r="H27" s="206" t="s">
        <v>178</v>
      </c>
      <c r="I27" s="311">
        <v>15</v>
      </c>
      <c r="J27" s="312"/>
      <c r="K27" s="313">
        <v>6871.16</v>
      </c>
      <c r="L27" s="314">
        <v>0</v>
      </c>
      <c r="M27" s="315">
        <f>SUM(K27:L27)</f>
        <v>6871.16</v>
      </c>
      <c r="N27" s="316">
        <f>IF(K27/15&lt;=SMG,0,L27/2)</f>
        <v>0</v>
      </c>
      <c r="O27" s="316">
        <f>K27+N27</f>
        <v>6871.16</v>
      </c>
      <c r="P27" s="316">
        <f>VLOOKUP(O27,Tarifa1,1)</f>
        <v>6382.81</v>
      </c>
      <c r="Q27" s="316">
        <f>O27-P27</f>
        <v>488.34999999999945</v>
      </c>
      <c r="R27" s="317">
        <f>VLOOKUP(O27,Tarifa1,3)</f>
        <v>0.1792</v>
      </c>
      <c r="S27" s="316">
        <f>Q27*R27</f>
        <v>87.512319999999903</v>
      </c>
      <c r="T27" s="318">
        <f>VLOOKUP(O27,Tarifa1,2)</f>
        <v>583.65</v>
      </c>
      <c r="U27" s="316">
        <f>S27+T27</f>
        <v>671.16231999999991</v>
      </c>
      <c r="V27" s="316">
        <f>VLOOKUP(O27,Credito1,2)</f>
        <v>0</v>
      </c>
      <c r="W27" s="316">
        <f>ROUND(U27-V27,2)</f>
        <v>671.16</v>
      </c>
      <c r="X27" s="315">
        <f>-IF(W27&gt;0,0,0)</f>
        <v>0</v>
      </c>
      <c r="Y27" s="315">
        <f>IF(K27/15&lt;=SMG,0,IF(W27&lt;0,0,W27))</f>
        <v>671.16</v>
      </c>
      <c r="Z27" s="319">
        <v>0</v>
      </c>
      <c r="AA27" s="315">
        <f>SUM(Y27:Z27)</f>
        <v>671.16</v>
      </c>
      <c r="AB27" s="315">
        <f>M27+X27-AA27</f>
        <v>6200</v>
      </c>
      <c r="AC27" s="91"/>
    </row>
    <row r="28" spans="1:30" s="4" customFormat="1" ht="35.25" customHeight="1" x14ac:dyDescent="0.3">
      <c r="A28" s="279"/>
      <c r="B28" s="380"/>
      <c r="C28" s="349"/>
      <c r="D28" s="288"/>
      <c r="E28" s="289"/>
      <c r="F28" s="289"/>
      <c r="G28" s="382"/>
      <c r="H28" s="288"/>
      <c r="I28" s="353"/>
      <c r="J28" s="354"/>
      <c r="K28" s="355"/>
      <c r="L28" s="356"/>
      <c r="M28" s="357"/>
      <c r="N28" s="358"/>
      <c r="O28" s="358"/>
      <c r="P28" s="358"/>
      <c r="Q28" s="358"/>
      <c r="R28" s="359"/>
      <c r="S28" s="358"/>
      <c r="T28" s="360"/>
      <c r="U28" s="358"/>
      <c r="V28" s="358"/>
      <c r="W28" s="358"/>
      <c r="X28" s="357"/>
      <c r="Y28" s="357"/>
      <c r="Z28" s="361"/>
      <c r="AA28" s="357"/>
      <c r="AB28" s="357"/>
    </row>
    <row r="29" spans="1:30" s="4" customFormat="1" ht="26.25" customHeight="1" x14ac:dyDescent="0.3">
      <c r="A29" s="279"/>
      <c r="B29" s="380"/>
      <c r="C29" s="349"/>
      <c r="D29" s="288"/>
      <c r="E29" s="289"/>
      <c r="F29" s="289"/>
      <c r="G29" s="382"/>
      <c r="H29" s="288"/>
      <c r="I29" s="353"/>
      <c r="J29" s="354"/>
      <c r="K29" s="355"/>
      <c r="L29" s="356"/>
      <c r="M29" s="357"/>
      <c r="N29" s="358"/>
      <c r="O29" s="358"/>
      <c r="P29" s="358"/>
      <c r="Q29" s="358"/>
      <c r="R29" s="359"/>
      <c r="S29" s="358"/>
      <c r="T29" s="360"/>
      <c r="U29" s="358"/>
      <c r="V29" s="358"/>
      <c r="W29" s="358"/>
      <c r="X29" s="357"/>
      <c r="Y29" s="357"/>
      <c r="Z29" s="361"/>
      <c r="AA29" s="357"/>
      <c r="AB29" s="357"/>
    </row>
    <row r="30" spans="1:30" s="4" customFormat="1" ht="24" customHeight="1" x14ac:dyDescent="0.25">
      <c r="A30" s="115"/>
      <c r="B30" s="421" t="s">
        <v>78</v>
      </c>
      <c r="C30" s="421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  <c r="AC30" s="421"/>
      <c r="AD30" s="421"/>
    </row>
    <row r="31" spans="1:30" s="4" customFormat="1" ht="24" customHeight="1" x14ac:dyDescent="0.25">
      <c r="A31" s="115"/>
      <c r="B31" s="421" t="s">
        <v>64</v>
      </c>
      <c r="C31" s="421"/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  <c r="AC31" s="421"/>
      <c r="AD31" s="421"/>
    </row>
    <row r="32" spans="1:30" s="4" customFormat="1" ht="25.5" customHeight="1" x14ac:dyDescent="0.25">
      <c r="A32" s="115"/>
      <c r="B32" s="410" t="str">
        <f>A3</f>
        <v>SUELDO  DEL 16 AL 30 DE NOVIEMBRE DE 2024</v>
      </c>
      <c r="C32" s="410"/>
      <c r="D32" s="410"/>
      <c r="E32" s="410"/>
      <c r="F32" s="410"/>
      <c r="G32" s="410"/>
      <c r="H32" s="410"/>
      <c r="I32" s="410"/>
      <c r="J32" s="410"/>
      <c r="K32" s="410"/>
      <c r="L32" s="410"/>
      <c r="M32" s="410"/>
      <c r="N32" s="410"/>
      <c r="O32" s="410"/>
      <c r="P32" s="410"/>
      <c r="Q32" s="410"/>
      <c r="R32" s="410"/>
      <c r="S32" s="410"/>
      <c r="T32" s="410"/>
      <c r="U32" s="410"/>
      <c r="V32" s="410"/>
      <c r="W32" s="410"/>
      <c r="X32" s="410"/>
      <c r="Y32" s="410"/>
      <c r="Z32" s="410"/>
      <c r="AA32" s="410"/>
      <c r="AB32" s="410"/>
      <c r="AC32" s="410"/>
      <c r="AD32" s="410"/>
    </row>
    <row r="33" spans="1:35" s="4" customFormat="1" ht="25.5" customHeight="1" x14ac:dyDescent="0.25">
      <c r="A33" s="115"/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</row>
    <row r="34" spans="1:35" s="4" customFormat="1" ht="57.75" customHeight="1" x14ac:dyDescent="0.25">
      <c r="A34" s="115"/>
      <c r="B34" s="118" t="s">
        <v>100</v>
      </c>
      <c r="C34" s="118" t="s">
        <v>128</v>
      </c>
      <c r="D34" s="233" t="s">
        <v>69</v>
      </c>
      <c r="E34" s="233" t="s">
        <v>101</v>
      </c>
      <c r="F34" s="233" t="s">
        <v>247</v>
      </c>
      <c r="G34" s="186" t="s">
        <v>322</v>
      </c>
      <c r="H34" s="233" t="s">
        <v>61</v>
      </c>
      <c r="I34" s="233"/>
      <c r="J34" s="233"/>
      <c r="K34" s="234">
        <f>SUM(K35:K36)</f>
        <v>8045.86</v>
      </c>
      <c r="L34" s="234">
        <f>SUM(L35:L36)</f>
        <v>1394.54</v>
      </c>
      <c r="M34" s="234">
        <f>SUM(M35:M36)</f>
        <v>9440.4</v>
      </c>
      <c r="N34" s="233"/>
      <c r="O34" s="233"/>
      <c r="P34" s="233"/>
      <c r="Q34" s="233"/>
      <c r="R34" s="233"/>
      <c r="S34" s="233"/>
      <c r="T34" s="236"/>
      <c r="U34" s="233"/>
      <c r="V34" s="233"/>
      <c r="W34" s="233"/>
      <c r="X34" s="234">
        <f>SUM(X35:X36)</f>
        <v>0</v>
      </c>
      <c r="Y34" s="234">
        <f>SUM(Y35:Y36)</f>
        <v>372.9</v>
      </c>
      <c r="Z34" s="234">
        <f>SUM(Z35:Z36)</f>
        <v>0</v>
      </c>
      <c r="AA34" s="234">
        <f>SUM(AA35:AA36)</f>
        <v>372.9</v>
      </c>
      <c r="AB34" s="234">
        <f>SUM(AB35:AB36)</f>
        <v>9067.5</v>
      </c>
      <c r="AC34" s="237"/>
      <c r="AD34" s="188"/>
    </row>
    <row r="35" spans="1:35" s="4" customFormat="1" ht="164.25" customHeight="1" x14ac:dyDescent="0.3">
      <c r="A35" s="115"/>
      <c r="B35" s="282" t="s">
        <v>527</v>
      </c>
      <c r="C35" s="330" t="s">
        <v>121</v>
      </c>
      <c r="D35" s="206" t="s">
        <v>528</v>
      </c>
      <c r="E35" s="143" t="s">
        <v>529</v>
      </c>
      <c r="F35" s="143" t="s">
        <v>530</v>
      </c>
      <c r="G35" s="209">
        <v>45566</v>
      </c>
      <c r="H35" s="144" t="s">
        <v>145</v>
      </c>
      <c r="I35" s="145">
        <v>15</v>
      </c>
      <c r="J35" s="146"/>
      <c r="K35" s="313">
        <v>4318.3599999999997</v>
      </c>
      <c r="L35" s="314">
        <v>1094.54</v>
      </c>
      <c r="M35" s="315">
        <f t="shared" ref="M35" si="71">SUM(K35:L35)</f>
        <v>5412.9</v>
      </c>
      <c r="N35" s="316">
        <f t="shared" ref="N35" si="72">IF(K35/15&lt;=SMG,0,L35/2)</f>
        <v>547.27</v>
      </c>
      <c r="O35" s="316">
        <f t="shared" ref="O35:O36" si="73">K35+N35</f>
        <v>4865.6299999999992</v>
      </c>
      <c r="P35" s="316">
        <f t="shared" ref="P35:P36" si="74">VLOOKUP(O35,Tarifa1,1)</f>
        <v>3124.36</v>
      </c>
      <c r="Q35" s="316">
        <f t="shared" ref="Q35:Q36" si="75">O35-P35</f>
        <v>1741.2699999999991</v>
      </c>
      <c r="R35" s="317">
        <f t="shared" ref="R35:R36" si="76">VLOOKUP(O35,Tarifa1,3)</f>
        <v>0.10879999999999999</v>
      </c>
      <c r="S35" s="316">
        <f t="shared" ref="S35:S36" si="77">Q35*R35</f>
        <v>189.45017599999989</v>
      </c>
      <c r="T35" s="318">
        <f t="shared" ref="T35:T36" si="78">VLOOKUP(O35,Tarifa1,2)</f>
        <v>183.45</v>
      </c>
      <c r="U35" s="316">
        <f t="shared" ref="U35:U36" si="79">S35+T35</f>
        <v>372.90017599999987</v>
      </c>
      <c r="V35" s="316">
        <f t="shared" ref="V35:V36" si="80">VLOOKUP(O35,Credito1,2)</f>
        <v>0</v>
      </c>
      <c r="W35" s="316">
        <f t="shared" ref="W35:W36" si="81">ROUND(U35-V35,2)</f>
        <v>372.9</v>
      </c>
      <c r="X35" s="315">
        <f>-IF(W35&gt;0,0,0)</f>
        <v>0</v>
      </c>
      <c r="Y35" s="315">
        <f t="shared" ref="Y35:Y36" si="82">IF(K35/15&lt;=SMG,0,IF(W35&lt;0,0,W35))</f>
        <v>372.9</v>
      </c>
      <c r="Z35" s="319">
        <v>0</v>
      </c>
      <c r="AA35" s="315">
        <f t="shared" ref="AA35" si="83">SUM(Y35:Z35)</f>
        <v>372.9</v>
      </c>
      <c r="AB35" s="315">
        <f t="shared" ref="AB35" si="84">M35+X35-AA35</f>
        <v>5040</v>
      </c>
      <c r="AC35" s="91"/>
      <c r="AD35" s="89"/>
    </row>
    <row r="36" spans="1:35" s="4" customFormat="1" ht="164.25" customHeight="1" x14ac:dyDescent="0.3">
      <c r="A36" s="115"/>
      <c r="B36" s="282" t="s">
        <v>523</v>
      </c>
      <c r="C36" s="330" t="s">
        <v>121</v>
      </c>
      <c r="D36" s="206" t="s">
        <v>524</v>
      </c>
      <c r="E36" s="143" t="s">
        <v>525</v>
      </c>
      <c r="F36" s="143" t="s">
        <v>526</v>
      </c>
      <c r="G36" s="209">
        <v>45566</v>
      </c>
      <c r="H36" s="144" t="s">
        <v>145</v>
      </c>
      <c r="I36" s="145">
        <v>15</v>
      </c>
      <c r="J36" s="146"/>
      <c r="K36" s="313">
        <v>3727.5</v>
      </c>
      <c r="L36" s="314">
        <v>300</v>
      </c>
      <c r="M36" s="315">
        <f>SUM(K36:L36)</f>
        <v>4027.5</v>
      </c>
      <c r="N36" s="316">
        <f>IF(K36/15&lt;=SMG,0,L36/2)</f>
        <v>0</v>
      </c>
      <c r="O36" s="316">
        <f t="shared" si="73"/>
        <v>3727.5</v>
      </c>
      <c r="P36" s="316">
        <f t="shared" si="74"/>
        <v>3124.36</v>
      </c>
      <c r="Q36" s="316">
        <f t="shared" si="75"/>
        <v>603.13999999999987</v>
      </c>
      <c r="R36" s="317">
        <f t="shared" si="76"/>
        <v>0.10879999999999999</v>
      </c>
      <c r="S36" s="316">
        <f t="shared" si="77"/>
        <v>65.621631999999977</v>
      </c>
      <c r="T36" s="318">
        <f t="shared" si="78"/>
        <v>183.45</v>
      </c>
      <c r="U36" s="316">
        <f t="shared" si="79"/>
        <v>249.07163199999997</v>
      </c>
      <c r="V36" s="316">
        <f t="shared" si="80"/>
        <v>195</v>
      </c>
      <c r="W36" s="316">
        <f t="shared" si="81"/>
        <v>54.07</v>
      </c>
      <c r="X36" s="315">
        <f>-IF(W36&gt;0,0,0)</f>
        <v>0</v>
      </c>
      <c r="Y36" s="315">
        <f t="shared" si="82"/>
        <v>0</v>
      </c>
      <c r="Z36" s="319">
        <v>0</v>
      </c>
      <c r="AA36" s="315">
        <f>SUM(Y36:Z36)</f>
        <v>0</v>
      </c>
      <c r="AB36" s="315">
        <f>M36+X36-AA36</f>
        <v>4027.5</v>
      </c>
      <c r="AC36" s="91"/>
      <c r="AD36" s="89"/>
    </row>
    <row r="37" spans="1:35" s="4" customFormat="1" ht="57.75" customHeight="1" x14ac:dyDescent="0.25">
      <c r="A37" s="111"/>
      <c r="B37" s="118" t="s">
        <v>100</v>
      </c>
      <c r="C37" s="118" t="s">
        <v>128</v>
      </c>
      <c r="D37" s="233" t="s">
        <v>127</v>
      </c>
      <c r="E37" s="233" t="s">
        <v>101</v>
      </c>
      <c r="F37" s="233" t="s">
        <v>247</v>
      </c>
      <c r="G37" s="186" t="s">
        <v>322</v>
      </c>
      <c r="H37" s="233" t="s">
        <v>61</v>
      </c>
      <c r="I37" s="233"/>
      <c r="J37" s="233"/>
      <c r="K37" s="234">
        <f>SUM(K38:K39)</f>
        <v>12062.33</v>
      </c>
      <c r="L37" s="234">
        <f>SUM(L38:L39)</f>
        <v>1525.77</v>
      </c>
      <c r="M37" s="234">
        <f>SUM(M38:M39)</f>
        <v>13588.1</v>
      </c>
      <c r="N37" s="233"/>
      <c r="O37" s="233"/>
      <c r="P37" s="233"/>
      <c r="Q37" s="233"/>
      <c r="R37" s="233"/>
      <c r="S37" s="233"/>
      <c r="T37" s="236"/>
      <c r="U37" s="233"/>
      <c r="V37" s="233"/>
      <c r="W37" s="233"/>
      <c r="X37" s="234">
        <f>SUM(X38:X39)</f>
        <v>0</v>
      </c>
      <c r="Y37" s="234">
        <f>SUM(Y38:Y39)</f>
        <v>1185.8600000000001</v>
      </c>
      <c r="Z37" s="234">
        <f>SUM(Z38:Z39)</f>
        <v>0</v>
      </c>
      <c r="AA37" s="234">
        <f>SUM(AA38:AA39)</f>
        <v>1185.8600000000001</v>
      </c>
      <c r="AB37" s="234">
        <f>SUM(AB38:AB39)</f>
        <v>12402.24</v>
      </c>
      <c r="AC37" s="101"/>
    </row>
    <row r="38" spans="1:35" s="4" customFormat="1" ht="164.25" customHeight="1" x14ac:dyDescent="0.3">
      <c r="A38" s="112" t="s">
        <v>85</v>
      </c>
      <c r="B38" s="282" t="s">
        <v>170</v>
      </c>
      <c r="C38" s="330" t="s">
        <v>121</v>
      </c>
      <c r="D38" s="206" t="s">
        <v>147</v>
      </c>
      <c r="E38" s="143" t="s">
        <v>164</v>
      </c>
      <c r="F38" s="143" t="s">
        <v>261</v>
      </c>
      <c r="G38" s="324">
        <v>43374</v>
      </c>
      <c r="H38" s="206" t="s">
        <v>146</v>
      </c>
      <c r="I38" s="311">
        <v>15</v>
      </c>
      <c r="J38" s="312">
        <f>K38/I38</f>
        <v>441.83333333333331</v>
      </c>
      <c r="K38" s="313">
        <v>6627.5</v>
      </c>
      <c r="L38" s="314">
        <v>441.83</v>
      </c>
      <c r="M38" s="315">
        <f>SUM(K38:L38)</f>
        <v>7069.33</v>
      </c>
      <c r="N38" s="316">
        <f>IF(K38/15&lt;=SMG,0,L38/2)</f>
        <v>220.91499999999999</v>
      </c>
      <c r="O38" s="316">
        <f>K38+N38</f>
        <v>6848.415</v>
      </c>
      <c r="P38" s="316">
        <f>VLOOKUP(O38,Tarifa1,1)</f>
        <v>6382.81</v>
      </c>
      <c r="Q38" s="316">
        <f>O38-P38</f>
        <v>465.60499999999956</v>
      </c>
      <c r="R38" s="317">
        <f>VLOOKUP(O38,Tarifa1,3)</f>
        <v>0.1792</v>
      </c>
      <c r="S38" s="316">
        <f>Q38*R38</f>
        <v>83.436415999999923</v>
      </c>
      <c r="T38" s="318">
        <f>VLOOKUP(O38,Tarifa1,2)</f>
        <v>583.65</v>
      </c>
      <c r="U38" s="316">
        <f>S38+T38</f>
        <v>667.08641599999987</v>
      </c>
      <c r="V38" s="316">
        <f>VLOOKUP(O38,Credito1,2)</f>
        <v>0</v>
      </c>
      <c r="W38" s="316">
        <f>ROUND(U38-V38,2)</f>
        <v>667.09</v>
      </c>
      <c r="X38" s="315">
        <f>-IF(W38&gt;0,0,0)</f>
        <v>0</v>
      </c>
      <c r="Y38" s="315">
        <f>IF(K38/15&lt;=SMG,0,IF(W38&lt;0,0,W38))</f>
        <v>667.09</v>
      </c>
      <c r="Z38" s="319">
        <v>0</v>
      </c>
      <c r="AA38" s="315">
        <f>SUM(Y38:Z38)</f>
        <v>667.09</v>
      </c>
      <c r="AB38" s="315">
        <f>M38+X38-AA38</f>
        <v>6402.24</v>
      </c>
      <c r="AC38" s="91"/>
      <c r="AI38" s="96"/>
    </row>
    <row r="39" spans="1:35" s="4" customFormat="1" ht="164.25" customHeight="1" x14ac:dyDescent="0.3">
      <c r="A39" s="112"/>
      <c r="B39" s="282" t="s">
        <v>462</v>
      </c>
      <c r="C39" s="330" t="s">
        <v>121</v>
      </c>
      <c r="D39" s="206" t="s">
        <v>463</v>
      </c>
      <c r="E39" s="143" t="s">
        <v>464</v>
      </c>
      <c r="F39" s="143" t="s">
        <v>465</v>
      </c>
      <c r="G39" s="324">
        <v>45459</v>
      </c>
      <c r="H39" s="206" t="s">
        <v>178</v>
      </c>
      <c r="I39" s="311">
        <v>15</v>
      </c>
      <c r="J39" s="312"/>
      <c r="K39" s="313">
        <v>5434.83</v>
      </c>
      <c r="L39" s="314">
        <v>1083.94</v>
      </c>
      <c r="M39" s="315">
        <f>SUM(K39:L39)</f>
        <v>6518.77</v>
      </c>
      <c r="N39" s="316">
        <f>IF(K39/15&lt;=SMG,0,L39/2)</f>
        <v>541.97</v>
      </c>
      <c r="O39" s="316">
        <f t="shared" ref="O39" si="85">K39+N39</f>
        <v>5976.8</v>
      </c>
      <c r="P39" s="316">
        <f>VLOOKUP(O39,Tarifa1,1)</f>
        <v>5490.76</v>
      </c>
      <c r="Q39" s="316">
        <f t="shared" ref="Q39" si="86">O39-P39</f>
        <v>486.03999999999996</v>
      </c>
      <c r="R39" s="317">
        <f>VLOOKUP(O39,Tarifa1,3)</f>
        <v>0.16</v>
      </c>
      <c r="S39" s="316">
        <f t="shared" ref="S39" si="87">Q39*R39</f>
        <v>77.76639999999999</v>
      </c>
      <c r="T39" s="318">
        <f>VLOOKUP(O39,Tarifa1,2)</f>
        <v>441</v>
      </c>
      <c r="U39" s="316">
        <f t="shared" ref="U39" si="88">S39+T39</f>
        <v>518.76639999999998</v>
      </c>
      <c r="V39" s="316">
        <f>VLOOKUP(O39,Credito1,2)</f>
        <v>0</v>
      </c>
      <c r="W39" s="316">
        <f t="shared" ref="W39" si="89">ROUND(U39-V39,2)</f>
        <v>518.77</v>
      </c>
      <c r="X39" s="315">
        <f>-IF(W39&gt;0,0,0)</f>
        <v>0</v>
      </c>
      <c r="Y39" s="315">
        <f>IF(K39/15&lt;=SMG,0,IF(W39&lt;0,0,W39))</f>
        <v>518.77</v>
      </c>
      <c r="Z39" s="319">
        <v>0</v>
      </c>
      <c r="AA39" s="315">
        <f>SUM(Y39:Z39)</f>
        <v>518.77</v>
      </c>
      <c r="AB39" s="315">
        <f>M39+X39-AA39</f>
        <v>6000</v>
      </c>
      <c r="AC39" s="91"/>
      <c r="AI39" s="96"/>
    </row>
    <row r="40" spans="1:35" s="4" customFormat="1" ht="27.75" customHeight="1" x14ac:dyDescent="0.25">
      <c r="A40" s="167"/>
      <c r="B40" s="167"/>
      <c r="C40" s="167"/>
      <c r="D40" s="167"/>
      <c r="E40" s="167"/>
      <c r="F40" s="167"/>
      <c r="G40" s="167"/>
      <c r="H40" s="167"/>
      <c r="I40" s="167"/>
      <c r="J40" s="167"/>
      <c r="K40" s="173"/>
      <c r="L40" s="173"/>
      <c r="M40" s="173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</row>
    <row r="41" spans="1:35" s="4" customFormat="1" ht="75" customHeight="1" thickBot="1" x14ac:dyDescent="0.35">
      <c r="A41" s="406" t="s">
        <v>44</v>
      </c>
      <c r="B41" s="407"/>
      <c r="C41" s="407"/>
      <c r="D41" s="407"/>
      <c r="E41" s="407"/>
      <c r="F41" s="407"/>
      <c r="G41" s="407"/>
      <c r="H41" s="407"/>
      <c r="I41" s="407"/>
      <c r="J41" s="408"/>
      <c r="K41" s="322">
        <f>K8+K26+K34+K37</f>
        <v>82988.680000000008</v>
      </c>
      <c r="L41" s="322">
        <f>L8+L26+L34+L37</f>
        <v>3430.43</v>
      </c>
      <c r="M41" s="322">
        <f>M8+M26+M34+M37</f>
        <v>86419.11</v>
      </c>
      <c r="N41" s="323">
        <f t="shared" ref="N41:W41" si="90">SUM(N9:N40)</f>
        <v>1565.2149999999999</v>
      </c>
      <c r="O41" s="323">
        <f t="shared" si="90"/>
        <v>84553.895000000004</v>
      </c>
      <c r="P41" s="323">
        <f t="shared" si="90"/>
        <v>66514.97</v>
      </c>
      <c r="Q41" s="323">
        <f t="shared" si="90"/>
        <v>18038.924999999996</v>
      </c>
      <c r="R41" s="323">
        <f t="shared" si="90"/>
        <v>2.1463999999999999</v>
      </c>
      <c r="S41" s="323">
        <f t="shared" si="90"/>
        <v>2059.5089519999997</v>
      </c>
      <c r="T41" s="323">
        <f t="shared" si="90"/>
        <v>4802.3999999999996</v>
      </c>
      <c r="U41" s="323">
        <f t="shared" si="90"/>
        <v>6861.9089519999998</v>
      </c>
      <c r="V41" s="323">
        <f t="shared" si="90"/>
        <v>1950</v>
      </c>
      <c r="W41" s="323">
        <f t="shared" si="90"/>
        <v>4911.91</v>
      </c>
      <c r="X41" s="322">
        <f>X8+X26+X34+X37</f>
        <v>0</v>
      </c>
      <c r="Y41" s="322">
        <f>Y8+Y26+Y34+Y37</f>
        <v>4803.7700000000004</v>
      </c>
      <c r="Z41" s="322">
        <f>Z8+Z26+Z34+Z37</f>
        <v>0</v>
      </c>
      <c r="AA41" s="322">
        <f>AA8+AA26+AA34+AA37</f>
        <v>4803.7700000000004</v>
      </c>
      <c r="AB41" s="322">
        <f>AB8+AB26+AB34+AB37</f>
        <v>81615.340000000011</v>
      </c>
    </row>
    <row r="42" spans="1:35" s="4" customFormat="1" ht="18" customHeight="1" thickTop="1" x14ac:dyDescent="0.25">
      <c r="A42" s="138"/>
      <c r="B42" s="138"/>
      <c r="C42" s="138"/>
      <c r="D42" s="138"/>
      <c r="E42" s="138"/>
      <c r="F42" s="138"/>
      <c r="G42" s="138"/>
      <c r="H42" s="138"/>
      <c r="I42" s="138"/>
      <c r="J42" s="138"/>
      <c r="K42" s="139"/>
      <c r="L42" s="139"/>
      <c r="M42" s="139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39"/>
      <c r="Y42" s="139"/>
      <c r="Z42" s="139"/>
      <c r="AA42" s="139"/>
      <c r="AB42" s="139"/>
    </row>
    <row r="43" spans="1:35" s="4" customFormat="1" ht="18" customHeight="1" x14ac:dyDescent="0.25">
      <c r="A43" s="138"/>
      <c r="B43" s="138"/>
      <c r="C43" s="138"/>
      <c r="D43" s="138"/>
      <c r="E43" s="138"/>
      <c r="F43" s="138"/>
      <c r="G43" s="138"/>
      <c r="H43" s="138"/>
      <c r="I43" s="138"/>
      <c r="J43" s="138"/>
      <c r="K43" s="139"/>
      <c r="L43" s="139"/>
      <c r="M43" s="139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39"/>
      <c r="Y43" s="139"/>
      <c r="Z43" s="139"/>
      <c r="AA43" s="139"/>
      <c r="AB43" s="139"/>
    </row>
    <row r="44" spans="1:35" s="4" customFormat="1" ht="18" customHeight="1" x14ac:dyDescent="0.25">
      <c r="A44" s="138"/>
      <c r="B44" s="138"/>
      <c r="C44" s="138"/>
      <c r="D44" s="138"/>
      <c r="E44" s="138"/>
      <c r="F44" s="138"/>
      <c r="G44" s="138"/>
      <c r="H44" s="138"/>
      <c r="I44" s="138"/>
      <c r="J44" s="138"/>
      <c r="K44" s="139"/>
      <c r="L44" s="139"/>
      <c r="M44" s="139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39"/>
      <c r="Y44" s="139"/>
      <c r="Z44" s="139"/>
      <c r="AA44" s="139"/>
      <c r="AB44" s="139"/>
    </row>
    <row r="45" spans="1:35" s="4" customFormat="1" ht="18" customHeight="1" x14ac:dyDescent="0.25">
      <c r="A45" s="138"/>
      <c r="B45" s="138"/>
      <c r="C45" s="138"/>
      <c r="D45" s="138"/>
      <c r="E45" s="138"/>
      <c r="F45" s="138"/>
      <c r="G45" s="138"/>
      <c r="H45" s="138"/>
      <c r="I45" s="138"/>
      <c r="J45" s="138"/>
      <c r="K45" s="139"/>
      <c r="L45" s="139"/>
      <c r="M45" s="139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39"/>
      <c r="Y45" s="139"/>
      <c r="Z45" s="139"/>
      <c r="AA45" s="139"/>
      <c r="AB45" s="139"/>
    </row>
    <row r="46" spans="1:35" s="4" customFormat="1" ht="18" customHeight="1" x14ac:dyDescent="0.25">
      <c r="A46" s="138"/>
      <c r="B46" s="138"/>
      <c r="C46" s="138"/>
      <c r="D46" s="138"/>
      <c r="E46" s="138"/>
      <c r="F46" s="138"/>
      <c r="G46" s="138"/>
      <c r="H46" s="138"/>
      <c r="I46" s="138"/>
      <c r="J46" s="138"/>
      <c r="K46" s="139"/>
      <c r="L46" s="139"/>
      <c r="M46" s="139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39"/>
      <c r="Y46" s="139"/>
      <c r="Z46" s="139"/>
      <c r="AA46" s="139"/>
      <c r="AB46" s="139"/>
    </row>
    <row r="47" spans="1:35" s="4" customFormat="1" ht="18" customHeight="1" x14ac:dyDescent="0.25">
      <c r="A47" s="138"/>
      <c r="B47" s="138"/>
      <c r="C47" s="138"/>
      <c r="D47" s="138"/>
      <c r="E47" s="138"/>
      <c r="F47" s="138"/>
      <c r="G47" s="138"/>
      <c r="H47" s="138"/>
      <c r="I47" s="138"/>
      <c r="J47" s="138"/>
      <c r="K47" s="139"/>
      <c r="L47" s="139"/>
      <c r="M47" s="139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39"/>
      <c r="Y47" s="139"/>
      <c r="Z47" s="139"/>
      <c r="AA47" s="139"/>
      <c r="AB47" s="139"/>
    </row>
    <row r="48" spans="1:35" s="4" customFormat="1" ht="18" customHeight="1" x14ac:dyDescent="0.25">
      <c r="A48" s="138"/>
      <c r="B48" s="138"/>
      <c r="C48" s="138"/>
      <c r="D48" s="138"/>
      <c r="E48" s="138"/>
      <c r="F48" s="138"/>
      <c r="G48" s="138"/>
      <c r="H48" s="138"/>
      <c r="I48" s="138"/>
      <c r="J48" s="138"/>
      <c r="K48" s="139"/>
      <c r="L48" s="139"/>
      <c r="M48" s="139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39"/>
      <c r="Y48" s="139"/>
      <c r="Z48" s="139"/>
      <c r="AA48" s="139"/>
      <c r="AB48" s="139"/>
    </row>
    <row r="49" spans="1:41" s="4" customFormat="1" ht="18" customHeight="1" x14ac:dyDescent="0.25">
      <c r="A49" s="138"/>
      <c r="B49" s="138"/>
      <c r="C49" s="138"/>
      <c r="D49" s="138"/>
      <c r="E49" s="138"/>
      <c r="F49" s="138"/>
      <c r="G49" s="138"/>
      <c r="H49" s="138"/>
      <c r="I49" s="138"/>
      <c r="J49" s="138"/>
      <c r="K49" s="139"/>
      <c r="L49" s="139"/>
      <c r="M49" s="139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39"/>
      <c r="Y49" s="139"/>
      <c r="Z49" s="139"/>
      <c r="AA49" s="139"/>
      <c r="AB49" s="139"/>
    </row>
    <row r="50" spans="1:41" s="4" customFormat="1" ht="18" customHeight="1" x14ac:dyDescent="0.25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9"/>
      <c r="L50" s="139"/>
      <c r="M50" s="139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39"/>
      <c r="Y50" s="139"/>
      <c r="Z50" s="139"/>
      <c r="AA50" s="139"/>
      <c r="AB50" s="139"/>
    </row>
    <row r="51" spans="1:41" s="4" customFormat="1" x14ac:dyDescent="0.2"/>
    <row r="52" spans="1:41" s="4" customFormat="1" x14ac:dyDescent="0.2"/>
    <row r="53" spans="1:41" s="4" customFormat="1" x14ac:dyDescent="0.2"/>
    <row r="54" spans="1:41" s="4" customFormat="1" ht="20.25" x14ac:dyDescent="0.3">
      <c r="D54" s="332" t="s">
        <v>598</v>
      </c>
      <c r="E54" s="333"/>
      <c r="F54" s="333"/>
      <c r="G54" s="333"/>
      <c r="H54" s="333"/>
      <c r="I54" s="333"/>
      <c r="J54" s="333"/>
      <c r="K54" s="333"/>
      <c r="L54" s="333"/>
      <c r="M54" s="333"/>
      <c r="N54" s="333"/>
      <c r="O54" s="333"/>
      <c r="P54" s="333"/>
      <c r="Q54" s="333"/>
      <c r="R54" s="333"/>
      <c r="S54" s="333"/>
      <c r="T54" s="333"/>
      <c r="U54" s="333"/>
      <c r="V54" s="333"/>
      <c r="W54" s="333"/>
      <c r="X54" s="333"/>
      <c r="Y54" s="332" t="s">
        <v>155</v>
      </c>
      <c r="Z54" s="333"/>
      <c r="AA54" s="333"/>
      <c r="AB54" s="333"/>
      <c r="AC54" s="333"/>
    </row>
    <row r="55" spans="1:41" s="4" customFormat="1" ht="20.25" x14ac:dyDescent="0.3">
      <c r="D55" s="332" t="s">
        <v>624</v>
      </c>
      <c r="E55" s="332"/>
      <c r="F55" s="332"/>
      <c r="G55" s="332"/>
      <c r="H55" s="332"/>
      <c r="I55" s="332"/>
      <c r="J55" s="332"/>
      <c r="K55" s="332"/>
      <c r="L55" s="332"/>
      <c r="M55" s="333"/>
      <c r="N55" s="333"/>
      <c r="O55" s="333"/>
      <c r="P55" s="333"/>
      <c r="Q55" s="333"/>
      <c r="R55" s="333"/>
      <c r="S55" s="333"/>
      <c r="T55" s="333"/>
      <c r="U55" s="333"/>
      <c r="V55" s="333"/>
      <c r="W55" s="333"/>
      <c r="X55" s="333"/>
      <c r="Y55" s="332" t="s">
        <v>236</v>
      </c>
      <c r="Z55" s="333"/>
      <c r="AA55" s="332"/>
      <c r="AB55" s="332"/>
      <c r="AC55" s="332"/>
      <c r="AD55" s="43"/>
      <c r="AE55" s="43"/>
      <c r="AF55" s="43"/>
      <c r="AG55" s="43"/>
      <c r="AH55" s="43"/>
      <c r="AI55" s="43"/>
      <c r="AJ55" s="43"/>
      <c r="AK55" s="43"/>
      <c r="AN55" s="43"/>
      <c r="AO55" s="43"/>
    </row>
    <row r="56" spans="1:41" s="4" customFormat="1" ht="20.25" x14ac:dyDescent="0.3">
      <c r="D56" s="333"/>
      <c r="E56" s="333"/>
      <c r="F56" s="333"/>
      <c r="G56" s="333"/>
      <c r="H56" s="333"/>
      <c r="I56" s="333"/>
      <c r="J56" s="333"/>
      <c r="K56" s="333"/>
      <c r="L56" s="333"/>
      <c r="M56" s="333"/>
      <c r="N56" s="333"/>
      <c r="O56" s="333"/>
      <c r="P56" s="333"/>
      <c r="Q56" s="333"/>
      <c r="R56" s="333"/>
      <c r="S56" s="333"/>
      <c r="T56" s="333"/>
      <c r="U56" s="333"/>
      <c r="V56" s="333"/>
      <c r="W56" s="333"/>
      <c r="X56" s="333"/>
      <c r="Y56" s="333"/>
      <c r="Z56" s="333"/>
      <c r="AA56" s="333"/>
      <c r="AB56" s="333"/>
      <c r="AC56" s="333"/>
    </row>
    <row r="57" spans="1:41" s="4" customFormat="1" x14ac:dyDescent="0.2"/>
    <row r="58" spans="1:41" s="4" customFormat="1" x14ac:dyDescent="0.2"/>
  </sheetData>
  <mergeCells count="13">
    <mergeCell ref="A41:J41"/>
    <mergeCell ref="A1:AC1"/>
    <mergeCell ref="A2:AC2"/>
    <mergeCell ref="A3:AC3"/>
    <mergeCell ref="K5:M5"/>
    <mergeCell ref="P5:U5"/>
    <mergeCell ref="Y5:AA5"/>
    <mergeCell ref="B30:AD30"/>
    <mergeCell ref="B31:AD31"/>
    <mergeCell ref="B32:AD32"/>
    <mergeCell ref="B16:AD16"/>
    <mergeCell ref="B17:AD17"/>
    <mergeCell ref="B18:AC18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68"/>
  <sheetViews>
    <sheetView tabSelected="1" topLeftCell="B40" zoomScale="55" zoomScaleNormal="55" workbookViewId="0">
      <selection activeCell="AB43" sqref="AB43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2.28515625" customWidth="1"/>
    <col min="7" max="7" width="17.42578125" customWidth="1"/>
    <col min="8" max="8" width="21.85546875" customWidth="1"/>
    <col min="9" max="9" width="7.42578125" hidden="1" customWidth="1"/>
    <col min="10" max="10" width="10" hidden="1" customWidth="1"/>
    <col min="11" max="11" width="18.7109375" customWidth="1"/>
    <col min="12" max="12" width="14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65.28515625" customWidth="1"/>
  </cols>
  <sheetData>
    <row r="1" spans="1:33" ht="19.5" x14ac:dyDescent="0.25">
      <c r="A1" s="409" t="s">
        <v>78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</row>
    <row r="2" spans="1:33" ht="19.5" x14ac:dyDescent="0.25">
      <c r="A2" s="409" t="s">
        <v>64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09"/>
    </row>
    <row r="3" spans="1:33" ht="19.5" x14ac:dyDescent="0.25">
      <c r="A3" s="410" t="str">
        <f>PRESIDENCIA!A3</f>
        <v>SUELDO  DEL 16 AL 30 DE NOVIEMBRE DE 2024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0"/>
      <c r="Z3" s="410"/>
      <c r="AA3" s="410"/>
      <c r="AB3" s="410"/>
      <c r="AC3" s="410"/>
    </row>
    <row r="4" spans="1:33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33" s="53" customFormat="1" ht="21" customHeight="1" x14ac:dyDescent="0.25">
      <c r="A5" s="49"/>
      <c r="B5" s="49"/>
      <c r="C5" s="445" t="s">
        <v>128</v>
      </c>
      <c r="D5" s="49"/>
      <c r="E5" s="49"/>
      <c r="F5" s="49"/>
      <c r="G5" s="49"/>
      <c r="H5" s="49"/>
      <c r="I5" s="50" t="s">
        <v>22</v>
      </c>
      <c r="J5" s="50" t="s">
        <v>5</v>
      </c>
      <c r="K5" s="411" t="s">
        <v>1</v>
      </c>
      <c r="L5" s="412"/>
      <c r="M5" s="413"/>
      <c r="N5" s="123" t="s">
        <v>25</v>
      </c>
      <c r="O5" s="124"/>
      <c r="P5" s="414" t="s">
        <v>8</v>
      </c>
      <c r="Q5" s="415"/>
      <c r="R5" s="415"/>
      <c r="S5" s="415"/>
      <c r="T5" s="415"/>
      <c r="U5" s="416"/>
      <c r="V5" s="123" t="s">
        <v>29</v>
      </c>
      <c r="W5" s="123" t="s">
        <v>9</v>
      </c>
      <c r="X5" s="122" t="s">
        <v>52</v>
      </c>
      <c r="Y5" s="417" t="s">
        <v>2</v>
      </c>
      <c r="Z5" s="418"/>
      <c r="AA5" s="419"/>
      <c r="AB5" s="122" t="s">
        <v>0</v>
      </c>
      <c r="AC5" s="49"/>
    </row>
    <row r="6" spans="1:33" s="53" customFormat="1" ht="31.5" x14ac:dyDescent="0.25">
      <c r="A6" s="54" t="s">
        <v>20</v>
      </c>
      <c r="B6" s="125" t="s">
        <v>100</v>
      </c>
      <c r="C6" s="446"/>
      <c r="D6" s="126" t="s">
        <v>21</v>
      </c>
      <c r="E6" s="54"/>
      <c r="F6" s="54"/>
      <c r="G6" s="54"/>
      <c r="H6" s="54"/>
      <c r="I6" s="55" t="s">
        <v>23</v>
      </c>
      <c r="J6" s="54" t="s">
        <v>24</v>
      </c>
      <c r="K6" s="122" t="s">
        <v>5</v>
      </c>
      <c r="L6" s="122" t="s">
        <v>58</v>
      </c>
      <c r="M6" s="122" t="s">
        <v>27</v>
      </c>
      <c r="N6" s="127" t="s">
        <v>26</v>
      </c>
      <c r="O6" s="124" t="s">
        <v>31</v>
      </c>
      <c r="P6" s="124" t="s">
        <v>11</v>
      </c>
      <c r="Q6" s="124" t="s">
        <v>33</v>
      </c>
      <c r="R6" s="124" t="s">
        <v>35</v>
      </c>
      <c r="S6" s="124" t="s">
        <v>36</v>
      </c>
      <c r="T6" s="120" t="s">
        <v>13</v>
      </c>
      <c r="U6" s="124" t="s">
        <v>9</v>
      </c>
      <c r="V6" s="127" t="s">
        <v>39</v>
      </c>
      <c r="W6" s="127" t="s">
        <v>40</v>
      </c>
      <c r="X6" s="126" t="s">
        <v>30</v>
      </c>
      <c r="Y6" s="122" t="s">
        <v>312</v>
      </c>
      <c r="Z6" s="122" t="s">
        <v>56</v>
      </c>
      <c r="AA6" s="122" t="s">
        <v>6</v>
      </c>
      <c r="AB6" s="126" t="s">
        <v>3</v>
      </c>
      <c r="AC6" s="126" t="s">
        <v>57</v>
      </c>
    </row>
    <row r="7" spans="1:33" s="53" customFormat="1" ht="15.75" x14ac:dyDescent="0.25">
      <c r="A7" s="54"/>
      <c r="B7" s="54"/>
      <c r="C7" s="447"/>
      <c r="D7" s="54"/>
      <c r="E7" s="54"/>
      <c r="F7" s="54"/>
      <c r="G7" s="54"/>
      <c r="H7" s="54"/>
      <c r="I7" s="54"/>
      <c r="J7" s="54"/>
      <c r="K7" s="126" t="s">
        <v>46</v>
      </c>
      <c r="L7" s="126" t="s">
        <v>59</v>
      </c>
      <c r="M7" s="126" t="s">
        <v>28</v>
      </c>
      <c r="N7" s="127" t="s">
        <v>42</v>
      </c>
      <c r="O7" s="123" t="s">
        <v>32</v>
      </c>
      <c r="P7" s="123" t="s">
        <v>12</v>
      </c>
      <c r="Q7" s="123" t="s">
        <v>34</v>
      </c>
      <c r="R7" s="123" t="s">
        <v>34</v>
      </c>
      <c r="S7" s="123" t="s">
        <v>37</v>
      </c>
      <c r="T7" s="241" t="s">
        <v>14</v>
      </c>
      <c r="U7" s="123" t="s">
        <v>38</v>
      </c>
      <c r="V7" s="127" t="s">
        <v>18</v>
      </c>
      <c r="W7" s="131" t="s">
        <v>221</v>
      </c>
      <c r="X7" s="126" t="s">
        <v>51</v>
      </c>
      <c r="Y7" s="126"/>
      <c r="Z7" s="126"/>
      <c r="AA7" s="126" t="s">
        <v>43</v>
      </c>
      <c r="AB7" s="126" t="s">
        <v>4</v>
      </c>
      <c r="AC7" s="58"/>
    </row>
    <row r="8" spans="1:33" s="53" customFormat="1" ht="64.5" customHeight="1" x14ac:dyDescent="0.3">
      <c r="A8" s="37"/>
      <c r="B8" s="186" t="s">
        <v>100</v>
      </c>
      <c r="C8" s="186" t="s">
        <v>128</v>
      </c>
      <c r="D8" s="365" t="s">
        <v>150</v>
      </c>
      <c r="E8" s="366" t="s">
        <v>101</v>
      </c>
      <c r="F8" s="366" t="s">
        <v>247</v>
      </c>
      <c r="G8" s="365" t="s">
        <v>322</v>
      </c>
      <c r="H8" s="366" t="s">
        <v>61</v>
      </c>
      <c r="I8" s="366"/>
      <c r="J8" s="366"/>
      <c r="K8" s="367">
        <f>SUM(K9:K10)</f>
        <v>12182</v>
      </c>
      <c r="L8" s="367">
        <f t="shared" ref="L8:AB8" si="0">SUM(L9:L10)</f>
        <v>0</v>
      </c>
      <c r="M8" s="367">
        <f t="shared" si="0"/>
        <v>12182</v>
      </c>
      <c r="N8" s="367">
        <f t="shared" si="0"/>
        <v>0</v>
      </c>
      <c r="O8" s="367">
        <f t="shared" si="0"/>
        <v>12182</v>
      </c>
      <c r="P8" s="367">
        <f t="shared" si="0"/>
        <v>9507.17</v>
      </c>
      <c r="Q8" s="367">
        <f t="shared" si="0"/>
        <v>2674.8299999999995</v>
      </c>
      <c r="R8" s="367">
        <f t="shared" si="0"/>
        <v>0.28799999999999998</v>
      </c>
      <c r="S8" s="367">
        <f t="shared" si="0"/>
        <v>350.20607999999993</v>
      </c>
      <c r="T8" s="367">
        <f t="shared" si="0"/>
        <v>767.09999999999991</v>
      </c>
      <c r="U8" s="367">
        <f t="shared" si="0"/>
        <v>1117.3060799999998</v>
      </c>
      <c r="V8" s="367">
        <f t="shared" si="0"/>
        <v>0</v>
      </c>
      <c r="W8" s="367">
        <f t="shared" si="0"/>
        <v>1117.3</v>
      </c>
      <c r="X8" s="367">
        <f t="shared" si="0"/>
        <v>0</v>
      </c>
      <c r="Y8" s="367">
        <f t="shared" si="0"/>
        <v>1117.3</v>
      </c>
      <c r="Z8" s="367">
        <f t="shared" si="0"/>
        <v>0</v>
      </c>
      <c r="AA8" s="367">
        <f t="shared" si="0"/>
        <v>1117.3</v>
      </c>
      <c r="AB8" s="367">
        <f t="shared" si="0"/>
        <v>11064.7</v>
      </c>
      <c r="AC8" s="102"/>
    </row>
    <row r="9" spans="1:33" s="53" customFormat="1" ht="147" customHeight="1" x14ac:dyDescent="0.3">
      <c r="A9" s="37"/>
      <c r="B9" s="362">
        <v>377</v>
      </c>
      <c r="C9" s="363" t="s">
        <v>121</v>
      </c>
      <c r="D9" s="250" t="s">
        <v>516</v>
      </c>
      <c r="E9" s="174" t="s">
        <v>517</v>
      </c>
      <c r="F9" s="174" t="s">
        <v>518</v>
      </c>
      <c r="G9" s="364">
        <v>45566</v>
      </c>
      <c r="H9" s="250" t="s">
        <v>396</v>
      </c>
      <c r="I9" s="281">
        <v>15</v>
      </c>
      <c r="J9" s="281"/>
      <c r="K9" s="313">
        <v>7223.5</v>
      </c>
      <c r="L9" s="314">
        <v>0</v>
      </c>
      <c r="M9" s="315">
        <f>SUM(K9:L9)</f>
        <v>7223.5</v>
      </c>
      <c r="N9" s="316">
        <f>IF(K9/15&lt;=SMG,0,L9/2)</f>
        <v>0</v>
      </c>
      <c r="O9" s="316">
        <f>K9+N9</f>
        <v>7223.5</v>
      </c>
      <c r="P9" s="316">
        <f>VLOOKUP(O9,Tarifa1,1)</f>
        <v>6382.81</v>
      </c>
      <c r="Q9" s="316">
        <f>O9-P9</f>
        <v>840.6899999999996</v>
      </c>
      <c r="R9" s="317">
        <f>VLOOKUP(O9,Tarifa1,3)</f>
        <v>0.1792</v>
      </c>
      <c r="S9" s="316">
        <f>Q9*R9</f>
        <v>150.65164799999994</v>
      </c>
      <c r="T9" s="318">
        <f>VLOOKUP(O9,Tarifa1,2)</f>
        <v>583.65</v>
      </c>
      <c r="U9" s="316">
        <f>S9+T9</f>
        <v>734.30164799999989</v>
      </c>
      <c r="V9" s="316">
        <f>VLOOKUP(O9,Credito1,2)</f>
        <v>0</v>
      </c>
      <c r="W9" s="316">
        <f>ROUND(U9-V9,2)</f>
        <v>734.3</v>
      </c>
      <c r="X9" s="315">
        <f>-IF(W9&gt;0,0,0)</f>
        <v>0</v>
      </c>
      <c r="Y9" s="315">
        <f>IF(K9/15&lt;=SMG,0,IF(W9&lt;0,0,W9))</f>
        <v>734.3</v>
      </c>
      <c r="Z9" s="319">
        <v>0</v>
      </c>
      <c r="AA9" s="315">
        <f>SUM(Y9:Z9)</f>
        <v>734.3</v>
      </c>
      <c r="AB9" s="315">
        <f>M9+X9-AA9</f>
        <v>6489.2</v>
      </c>
      <c r="AC9" s="137"/>
    </row>
    <row r="10" spans="1:33" s="53" customFormat="1" ht="147" customHeight="1" x14ac:dyDescent="0.3">
      <c r="A10" s="37"/>
      <c r="B10" s="282" t="s">
        <v>521</v>
      </c>
      <c r="C10" s="330" t="s">
        <v>121</v>
      </c>
      <c r="D10" s="251" t="s">
        <v>519</v>
      </c>
      <c r="E10" s="155" t="s">
        <v>597</v>
      </c>
      <c r="F10" s="187" t="s">
        <v>520</v>
      </c>
      <c r="G10" s="324">
        <v>45566</v>
      </c>
      <c r="H10" s="206" t="s">
        <v>299</v>
      </c>
      <c r="I10" s="311">
        <v>15</v>
      </c>
      <c r="J10" s="312">
        <v>341.11</v>
      </c>
      <c r="K10" s="313">
        <v>4958.5</v>
      </c>
      <c r="L10" s="314">
        <v>0</v>
      </c>
      <c r="M10" s="315">
        <f>SUM(K10:L10)</f>
        <v>4958.5</v>
      </c>
      <c r="N10" s="316">
        <f>IF(K10/15&lt;=SMG,0,L10/2)</f>
        <v>0</v>
      </c>
      <c r="O10" s="316">
        <f>K10+N10</f>
        <v>4958.5</v>
      </c>
      <c r="P10" s="316">
        <f>VLOOKUP(O10,Tarifa1,1)</f>
        <v>3124.36</v>
      </c>
      <c r="Q10" s="316">
        <f>O10-P10</f>
        <v>1834.1399999999999</v>
      </c>
      <c r="R10" s="317">
        <f>VLOOKUP(O10,Tarifa1,3)</f>
        <v>0.10879999999999999</v>
      </c>
      <c r="S10" s="316">
        <f>Q10*R10</f>
        <v>199.55443199999996</v>
      </c>
      <c r="T10" s="318">
        <f>VLOOKUP(O10,Tarifa1,2)</f>
        <v>183.45</v>
      </c>
      <c r="U10" s="316">
        <f>S10+T10</f>
        <v>383.00443199999995</v>
      </c>
      <c r="V10" s="316">
        <f>VLOOKUP(O10,Credito1,2)</f>
        <v>0</v>
      </c>
      <c r="W10" s="316">
        <f>ROUND(U10-V10,2)</f>
        <v>383</v>
      </c>
      <c r="X10" s="315">
        <f>-IF(W10&gt;0,0,0)</f>
        <v>0</v>
      </c>
      <c r="Y10" s="315">
        <f>IF(K10/15&lt;=SMG,0,IF(W10&lt;0,0,W10))</f>
        <v>383</v>
      </c>
      <c r="Z10" s="319">
        <v>0</v>
      </c>
      <c r="AA10" s="315">
        <f>SUM(Y10:Z10)</f>
        <v>383</v>
      </c>
      <c r="AB10" s="315">
        <f>M10+X10-AA10</f>
        <v>4575.5</v>
      </c>
      <c r="AC10" s="137"/>
    </row>
    <row r="11" spans="1:33" s="53" customFormat="1" ht="53.25" customHeight="1" x14ac:dyDescent="0.3">
      <c r="A11" s="47"/>
      <c r="B11" s="186" t="s">
        <v>100</v>
      </c>
      <c r="C11" s="186" t="s">
        <v>128</v>
      </c>
      <c r="D11" s="366" t="s">
        <v>130</v>
      </c>
      <c r="E11" s="366" t="s">
        <v>101</v>
      </c>
      <c r="F11" s="366" t="s">
        <v>247</v>
      </c>
      <c r="G11" s="365" t="s">
        <v>322</v>
      </c>
      <c r="H11" s="366" t="s">
        <v>61</v>
      </c>
      <c r="I11" s="366"/>
      <c r="J11" s="366"/>
      <c r="K11" s="367">
        <f>SUM(K12:K14)</f>
        <v>16482.830000000002</v>
      </c>
      <c r="L11" s="367">
        <f>SUM(L12:L14)</f>
        <v>0</v>
      </c>
      <c r="M11" s="367">
        <f>SUM(M12:M14)</f>
        <v>16482.830000000002</v>
      </c>
      <c r="N11" s="366"/>
      <c r="O11" s="366"/>
      <c r="P11" s="366"/>
      <c r="Q11" s="366"/>
      <c r="R11" s="366"/>
      <c r="S11" s="366"/>
      <c r="T11" s="368"/>
      <c r="U11" s="366"/>
      <c r="V11" s="366"/>
      <c r="W11" s="366"/>
      <c r="X11" s="367">
        <f>SUM(X12:X14)</f>
        <v>0</v>
      </c>
      <c r="Y11" s="367">
        <f>SUM(Y12:Y14)</f>
        <v>1137.68</v>
      </c>
      <c r="Z11" s="367">
        <f>SUM(Z12:Z14)</f>
        <v>0</v>
      </c>
      <c r="AA11" s="367">
        <f>SUM(AA12:AA14)</f>
        <v>1137.68</v>
      </c>
      <c r="AB11" s="367">
        <f>SUM(AB12:AB14)</f>
        <v>15345.15</v>
      </c>
      <c r="AC11" s="102"/>
      <c r="AG11" s="61"/>
    </row>
    <row r="12" spans="1:33" s="53" customFormat="1" ht="147" customHeight="1" x14ac:dyDescent="0.3">
      <c r="A12" s="47" t="s">
        <v>88</v>
      </c>
      <c r="B12" s="330" t="s">
        <v>117</v>
      </c>
      <c r="C12" s="330" t="s">
        <v>121</v>
      </c>
      <c r="D12" s="251" t="s">
        <v>93</v>
      </c>
      <c r="E12" s="155" t="s">
        <v>118</v>
      </c>
      <c r="F12" s="155" t="s">
        <v>255</v>
      </c>
      <c r="G12" s="211">
        <v>42278</v>
      </c>
      <c r="H12" s="144" t="s">
        <v>94</v>
      </c>
      <c r="I12" s="145">
        <v>15</v>
      </c>
      <c r="J12" s="146">
        <f t="shared" ref="J12:J41" si="1">K12/I12</f>
        <v>469.86666666666667</v>
      </c>
      <c r="K12" s="313">
        <v>7048</v>
      </c>
      <c r="L12" s="314">
        <v>0</v>
      </c>
      <c r="M12" s="315">
        <f>SUM(K12:L12)</f>
        <v>7048</v>
      </c>
      <c r="N12" s="316">
        <f>IF(K12/15&lt;=SMG,0,L12/2)</f>
        <v>0</v>
      </c>
      <c r="O12" s="316">
        <f>K12+N12</f>
        <v>7048</v>
      </c>
      <c r="P12" s="316">
        <f>VLOOKUP(O12,Tarifa1,1)</f>
        <v>6382.81</v>
      </c>
      <c r="Q12" s="316">
        <f>O12-P12</f>
        <v>665.1899999999996</v>
      </c>
      <c r="R12" s="317">
        <f>VLOOKUP(O12,Tarifa1,3)</f>
        <v>0.1792</v>
      </c>
      <c r="S12" s="316">
        <f>Q12*R12</f>
        <v>119.20204799999993</v>
      </c>
      <c r="T12" s="318">
        <f>VLOOKUP(O12,Tarifa1,2)</f>
        <v>583.65</v>
      </c>
      <c r="U12" s="316">
        <f>S12+T12</f>
        <v>702.85204799999997</v>
      </c>
      <c r="V12" s="316">
        <f>VLOOKUP(O12,Credito1,2)</f>
        <v>0</v>
      </c>
      <c r="W12" s="316">
        <f>ROUND(U12-V12,2)</f>
        <v>702.85</v>
      </c>
      <c r="X12" s="315">
        <f>-IF(W12&gt;0,0,0)</f>
        <v>0</v>
      </c>
      <c r="Y12" s="315">
        <f>IF(K12/15&lt;=SMG,0,IF(W12&lt;0,0,W12))</f>
        <v>702.85</v>
      </c>
      <c r="Z12" s="319">
        <v>0</v>
      </c>
      <c r="AA12" s="315">
        <f>SUM(Y12:Z12)</f>
        <v>702.85</v>
      </c>
      <c r="AB12" s="315">
        <f>M12+X12-AA12</f>
        <v>6345.15</v>
      </c>
      <c r="AC12" s="94"/>
      <c r="AG12" s="67"/>
    </row>
    <row r="13" spans="1:33" s="53" customFormat="1" ht="147" customHeight="1" x14ac:dyDescent="0.3">
      <c r="A13" s="47"/>
      <c r="B13" s="330" t="s">
        <v>466</v>
      </c>
      <c r="C13" s="330" t="s">
        <v>121</v>
      </c>
      <c r="D13" s="251" t="s">
        <v>467</v>
      </c>
      <c r="E13" s="155" t="s">
        <v>469</v>
      </c>
      <c r="F13" s="155" t="s">
        <v>470</v>
      </c>
      <c r="G13" s="211">
        <v>45459</v>
      </c>
      <c r="H13" s="144" t="s">
        <v>468</v>
      </c>
      <c r="I13" s="145">
        <v>15</v>
      </c>
      <c r="J13" s="146">
        <f t="shared" si="1"/>
        <v>362.322</v>
      </c>
      <c r="K13" s="313">
        <v>5434.83</v>
      </c>
      <c r="L13" s="314">
        <v>0</v>
      </c>
      <c r="M13" s="315">
        <f>SUM(K13:L13)</f>
        <v>5434.83</v>
      </c>
      <c r="N13" s="316">
        <f>IF(K13/15&lt;=SMG,0,L13/2)</f>
        <v>0</v>
      </c>
      <c r="O13" s="316">
        <f t="shared" ref="O13" si="2">K13+N13</f>
        <v>5434.83</v>
      </c>
      <c r="P13" s="316">
        <f>VLOOKUP(O13,Tarifa1,1)</f>
        <v>3124.36</v>
      </c>
      <c r="Q13" s="316">
        <f t="shared" ref="Q13" si="3">O13-P13</f>
        <v>2310.4699999999998</v>
      </c>
      <c r="R13" s="317">
        <f>VLOOKUP(O13,Tarifa1,3)</f>
        <v>0.10879999999999999</v>
      </c>
      <c r="S13" s="316">
        <f t="shared" ref="S13" si="4">Q13*R13</f>
        <v>251.37913599999996</v>
      </c>
      <c r="T13" s="318">
        <f>VLOOKUP(O13,Tarifa1,2)</f>
        <v>183.45</v>
      </c>
      <c r="U13" s="316">
        <f t="shared" ref="U13" si="5">S13+T13</f>
        <v>434.82913599999995</v>
      </c>
      <c r="V13" s="316">
        <f>VLOOKUP(O13,Credito1,2)</f>
        <v>0</v>
      </c>
      <c r="W13" s="316">
        <f t="shared" ref="W13" si="6">ROUND(U13-V13,2)</f>
        <v>434.83</v>
      </c>
      <c r="X13" s="315">
        <f>-IF(W13&gt;0,0,0)</f>
        <v>0</v>
      </c>
      <c r="Y13" s="315">
        <f>IF(K13/15&lt;=SMG,0,IF(W13&lt;0,0,W13))</f>
        <v>434.83</v>
      </c>
      <c r="Z13" s="319">
        <v>0</v>
      </c>
      <c r="AA13" s="315">
        <f>SUM(Y13:Z13)</f>
        <v>434.83</v>
      </c>
      <c r="AB13" s="315">
        <f>M13+X13-AA13</f>
        <v>5000</v>
      </c>
      <c r="AC13" s="94"/>
      <c r="AG13" s="67"/>
    </row>
    <row r="14" spans="1:33" s="53" customFormat="1" ht="147" customHeight="1" x14ac:dyDescent="0.4">
      <c r="A14" s="47"/>
      <c r="B14" s="330" t="s">
        <v>638</v>
      </c>
      <c r="C14" s="330" t="s">
        <v>121</v>
      </c>
      <c r="D14" s="251" t="s">
        <v>635</v>
      </c>
      <c r="E14" s="155" t="s">
        <v>636</v>
      </c>
      <c r="F14" s="155" t="s">
        <v>637</v>
      </c>
      <c r="G14" s="211">
        <v>45459</v>
      </c>
      <c r="H14" s="144" t="s">
        <v>468</v>
      </c>
      <c r="I14" s="145">
        <v>15</v>
      </c>
      <c r="J14" s="146">
        <f t="shared" ref="J14" si="7">K14/I14</f>
        <v>266.66666666666669</v>
      </c>
      <c r="K14" s="313">
        <v>4000</v>
      </c>
      <c r="L14" s="314">
        <v>0</v>
      </c>
      <c r="M14" s="315">
        <f>SUM(K14:L14)</f>
        <v>4000</v>
      </c>
      <c r="N14" s="316">
        <f>IF(K14/15&lt;=SMG,0,L14/2)</f>
        <v>0</v>
      </c>
      <c r="O14" s="316">
        <f t="shared" ref="O14" si="8">K14+N14</f>
        <v>4000</v>
      </c>
      <c r="P14" s="316">
        <f>VLOOKUP(O14,Tarifa1,1)</f>
        <v>3124.36</v>
      </c>
      <c r="Q14" s="316">
        <f t="shared" ref="Q14" si="9">O14-P14</f>
        <v>875.63999999999987</v>
      </c>
      <c r="R14" s="317">
        <f>VLOOKUP(O14,Tarifa1,3)</f>
        <v>0.10879999999999999</v>
      </c>
      <c r="S14" s="316">
        <f t="shared" ref="S14" si="10">Q14*R14</f>
        <v>95.269631999999987</v>
      </c>
      <c r="T14" s="318">
        <f>VLOOKUP(O14,Tarifa1,2)</f>
        <v>183.45</v>
      </c>
      <c r="U14" s="316">
        <f t="shared" ref="U14" si="11">S14+T14</f>
        <v>278.71963199999999</v>
      </c>
      <c r="V14" s="316">
        <f>VLOOKUP(O14,Credito1,2)</f>
        <v>195</v>
      </c>
      <c r="W14" s="316">
        <f t="shared" ref="W14" si="12">ROUND(U14-V14,2)</f>
        <v>83.72</v>
      </c>
      <c r="X14" s="315">
        <f>-IF(W14&gt;0,0,0)</f>
        <v>0</v>
      </c>
      <c r="Y14" s="315">
        <v>0</v>
      </c>
      <c r="Z14" s="319">
        <v>0</v>
      </c>
      <c r="AA14" s="315">
        <f>SUM(Y14:Z14)</f>
        <v>0</v>
      </c>
      <c r="AB14" s="315">
        <f>M14+X14-AA14</f>
        <v>4000</v>
      </c>
      <c r="AC14" s="94"/>
      <c r="AG14" s="286"/>
    </row>
    <row r="15" spans="1:33" s="53" customFormat="1" ht="51.75" customHeight="1" x14ac:dyDescent="0.3">
      <c r="A15" s="47"/>
      <c r="B15" s="186" t="s">
        <v>100</v>
      </c>
      <c r="C15" s="186" t="s">
        <v>128</v>
      </c>
      <c r="D15" s="365" t="s">
        <v>131</v>
      </c>
      <c r="E15" s="366" t="s">
        <v>101</v>
      </c>
      <c r="F15" s="366" t="s">
        <v>247</v>
      </c>
      <c r="G15" s="365" t="s">
        <v>322</v>
      </c>
      <c r="H15" s="366" t="s">
        <v>61</v>
      </c>
      <c r="I15" s="366"/>
      <c r="J15" s="366"/>
      <c r="K15" s="367">
        <f>SUM(K16:K23)</f>
        <v>18663.330000000002</v>
      </c>
      <c r="L15" s="367">
        <f>SUM(L16:L23)</f>
        <v>0</v>
      </c>
      <c r="M15" s="367">
        <f>SUM(M16:M23)</f>
        <v>18663.330000000002</v>
      </c>
      <c r="N15" s="366"/>
      <c r="O15" s="366"/>
      <c r="P15" s="366"/>
      <c r="Q15" s="366"/>
      <c r="R15" s="366"/>
      <c r="S15" s="366"/>
      <c r="T15" s="368"/>
      <c r="U15" s="366"/>
      <c r="V15" s="366"/>
      <c r="W15" s="366"/>
      <c r="X15" s="367">
        <f>SUM(X16:X23)</f>
        <v>0</v>
      </c>
      <c r="Y15" s="367">
        <f>SUM(Y16:Y23)</f>
        <v>1702.8799999999999</v>
      </c>
      <c r="Z15" s="367">
        <f>SUM(Z16:Z23)</f>
        <v>0</v>
      </c>
      <c r="AA15" s="367">
        <f>SUM(AA16:AA23)</f>
        <v>1702.8799999999999</v>
      </c>
      <c r="AB15" s="367">
        <f>SUM(AB16:AB23)</f>
        <v>16960.45</v>
      </c>
      <c r="AC15" s="102"/>
      <c r="AG15" s="67"/>
    </row>
    <row r="16" spans="1:33" s="53" customFormat="1" ht="147.75" customHeight="1" x14ac:dyDescent="0.3">
      <c r="A16" s="47" t="s">
        <v>89</v>
      </c>
      <c r="B16" s="369">
        <v>185</v>
      </c>
      <c r="C16" s="330" t="s">
        <v>121</v>
      </c>
      <c r="D16" s="252" t="s">
        <v>153</v>
      </c>
      <c r="E16" s="177" t="s">
        <v>167</v>
      </c>
      <c r="F16" s="177" t="s">
        <v>265</v>
      </c>
      <c r="G16" s="210">
        <v>43374</v>
      </c>
      <c r="H16" s="144" t="s">
        <v>95</v>
      </c>
      <c r="I16" s="145">
        <v>15</v>
      </c>
      <c r="J16" s="146">
        <f t="shared" si="1"/>
        <v>512.5333333333333</v>
      </c>
      <c r="K16" s="313">
        <v>7688</v>
      </c>
      <c r="L16" s="314">
        <v>0</v>
      </c>
      <c r="M16" s="315">
        <f t="shared" ref="M16" si="13">SUM(K16:L16)</f>
        <v>7688</v>
      </c>
      <c r="N16" s="316">
        <f>IF(K16/15&lt;=SMG,0,L16/2)</f>
        <v>0</v>
      </c>
      <c r="O16" s="316">
        <f>K16+N16</f>
        <v>7688</v>
      </c>
      <c r="P16" s="316">
        <f>VLOOKUP(O16,Tarifa1,1)</f>
        <v>7641.91</v>
      </c>
      <c r="Q16" s="316">
        <f>O16-P16</f>
        <v>46.090000000000146</v>
      </c>
      <c r="R16" s="317">
        <f>VLOOKUP(O16,Tarifa1,3)</f>
        <v>0.21360000000000001</v>
      </c>
      <c r="S16" s="316">
        <f>Q16*R16</f>
        <v>9.8448240000000311</v>
      </c>
      <c r="T16" s="318">
        <f>VLOOKUP(O16,Tarifa1,2)</f>
        <v>809.25</v>
      </c>
      <c r="U16" s="316">
        <f>S16+T16</f>
        <v>819.09482400000002</v>
      </c>
      <c r="V16" s="316">
        <f>VLOOKUP(O16,Credito1,2)</f>
        <v>0</v>
      </c>
      <c r="W16" s="316">
        <f>ROUND(U16-V16,2)</f>
        <v>819.09</v>
      </c>
      <c r="X16" s="315">
        <f>-IF(W16&gt;0,0,0)</f>
        <v>0</v>
      </c>
      <c r="Y16" s="315">
        <f>IF(K16/15&lt;=SMG,0,IF(W16&lt;0,0,W16))</f>
        <v>819.09</v>
      </c>
      <c r="Z16" s="319">
        <v>0</v>
      </c>
      <c r="AA16" s="315">
        <f t="shared" ref="AA16" si="14">SUM(Y16:Z16)</f>
        <v>819.09</v>
      </c>
      <c r="AB16" s="315">
        <f t="shared" ref="AB16" si="15">M16+X16-AA16</f>
        <v>6868.91</v>
      </c>
      <c r="AC16" s="94"/>
      <c r="AG16" s="67"/>
    </row>
    <row r="17" spans="1:33" s="53" customFormat="1" ht="147.75" customHeight="1" x14ac:dyDescent="0.3">
      <c r="A17" s="47"/>
      <c r="B17" s="376" t="s">
        <v>316</v>
      </c>
      <c r="C17" s="335" t="s">
        <v>121</v>
      </c>
      <c r="D17" s="336" t="s">
        <v>313</v>
      </c>
      <c r="E17" s="337" t="s">
        <v>314</v>
      </c>
      <c r="F17" s="337" t="s">
        <v>315</v>
      </c>
      <c r="G17" s="377">
        <v>44958</v>
      </c>
      <c r="H17" s="297" t="s">
        <v>148</v>
      </c>
      <c r="I17" s="378">
        <v>15</v>
      </c>
      <c r="J17" s="298">
        <f>K17/I17</f>
        <v>369.36666666666667</v>
      </c>
      <c r="K17" s="341">
        <v>5540.5</v>
      </c>
      <c r="L17" s="342">
        <v>0</v>
      </c>
      <c r="M17" s="343">
        <f>SUM(K17:L17)</f>
        <v>5540.5</v>
      </c>
      <c r="N17" s="344">
        <f>IF(K17/15&lt;=SMG,0,L17/2)</f>
        <v>0</v>
      </c>
      <c r="O17" s="344">
        <f t="shared" ref="O17" si="16">K17+N17</f>
        <v>5540.5</v>
      </c>
      <c r="P17" s="344">
        <f>VLOOKUP(O17,Tarifa1,1)</f>
        <v>5490.76</v>
      </c>
      <c r="Q17" s="344">
        <f t="shared" ref="Q17" si="17">O17-P17</f>
        <v>49.739999999999782</v>
      </c>
      <c r="R17" s="345">
        <f>VLOOKUP(O17,Tarifa1,3)</f>
        <v>0.16</v>
      </c>
      <c r="S17" s="344">
        <f t="shared" ref="S17" si="18">Q17*R17</f>
        <v>7.9583999999999655</v>
      </c>
      <c r="T17" s="346">
        <f>VLOOKUP(O17,Tarifa1,2)</f>
        <v>441</v>
      </c>
      <c r="U17" s="344">
        <f t="shared" ref="U17" si="19">S17+T17</f>
        <v>448.95839999999998</v>
      </c>
      <c r="V17" s="344">
        <f>VLOOKUP(O17,Credito1,2)</f>
        <v>0</v>
      </c>
      <c r="W17" s="344">
        <f t="shared" ref="W17" si="20">ROUND(U17-V17,2)</f>
        <v>448.96</v>
      </c>
      <c r="X17" s="343">
        <f>-IF(W17&gt;0,0,0)</f>
        <v>0</v>
      </c>
      <c r="Y17" s="343">
        <f>IF(K17/15&lt;=SMG,0,IF(W17&lt;0,0,W17))</f>
        <v>448.96</v>
      </c>
      <c r="Z17" s="347">
        <v>0</v>
      </c>
      <c r="AA17" s="343">
        <f>SUM(Y17:Z17)</f>
        <v>448.96</v>
      </c>
      <c r="AB17" s="343">
        <f>M17+X17-AA17</f>
        <v>5091.54</v>
      </c>
      <c r="AC17" s="379"/>
      <c r="AG17" s="67"/>
    </row>
    <row r="18" spans="1:33" s="53" customFormat="1" ht="147.75" customHeight="1" x14ac:dyDescent="0.3">
      <c r="A18" s="198"/>
      <c r="B18" s="282" t="s">
        <v>450</v>
      </c>
      <c r="C18" s="330" t="s">
        <v>121</v>
      </c>
      <c r="D18" s="207" t="s">
        <v>451</v>
      </c>
      <c r="E18" s="159" t="s">
        <v>495</v>
      </c>
      <c r="F18" s="159" t="s">
        <v>452</v>
      </c>
      <c r="G18" s="212">
        <v>45428</v>
      </c>
      <c r="H18" s="144" t="s">
        <v>453</v>
      </c>
      <c r="I18" s="145">
        <v>15</v>
      </c>
      <c r="J18" s="146"/>
      <c r="K18" s="313">
        <v>5434.83</v>
      </c>
      <c r="L18" s="314">
        <v>0</v>
      </c>
      <c r="M18" s="315">
        <f>SUM(K18:L18)</f>
        <v>5434.83</v>
      </c>
      <c r="N18" s="316">
        <f>IF(K18/15&lt;=SMG,0,L18/2)</f>
        <v>0</v>
      </c>
      <c r="O18" s="316">
        <f t="shared" ref="O18" si="21">K18+N18</f>
        <v>5434.83</v>
      </c>
      <c r="P18" s="316">
        <f>VLOOKUP(O18,Tarifa1,1)</f>
        <v>3124.36</v>
      </c>
      <c r="Q18" s="316">
        <f t="shared" ref="Q18" si="22">O18-P18</f>
        <v>2310.4699999999998</v>
      </c>
      <c r="R18" s="317">
        <f>VLOOKUP(O18,Tarifa1,3)</f>
        <v>0.10879999999999999</v>
      </c>
      <c r="S18" s="316">
        <f t="shared" ref="S18" si="23">Q18*R18</f>
        <v>251.37913599999996</v>
      </c>
      <c r="T18" s="318">
        <f>VLOOKUP(O18,Tarifa1,2)</f>
        <v>183.45</v>
      </c>
      <c r="U18" s="316">
        <f t="shared" ref="U18" si="24">S18+T18</f>
        <v>434.82913599999995</v>
      </c>
      <c r="V18" s="316">
        <f>VLOOKUP(O18,Credito1,2)</f>
        <v>0</v>
      </c>
      <c r="W18" s="316">
        <f t="shared" ref="W18" si="25">ROUND(U18-V18,2)</f>
        <v>434.83</v>
      </c>
      <c r="X18" s="315">
        <f>-IF(W18&gt;0,0,0)</f>
        <v>0</v>
      </c>
      <c r="Y18" s="315">
        <f>IF(K18/15&lt;=SMG,0,IF(W18&lt;0,0,W18))</f>
        <v>434.83</v>
      </c>
      <c r="Z18" s="319">
        <v>0</v>
      </c>
      <c r="AA18" s="315">
        <f>SUM(Y18:Z18)</f>
        <v>434.83</v>
      </c>
      <c r="AB18" s="315">
        <f>M18+X18-AA18</f>
        <v>5000</v>
      </c>
      <c r="AC18" s="94"/>
      <c r="AG18" s="67"/>
    </row>
    <row r="19" spans="1:33" s="53" customFormat="1" ht="30.75" customHeight="1" x14ac:dyDescent="0.3">
      <c r="A19" s="198"/>
      <c r="B19" s="380"/>
      <c r="C19" s="349"/>
      <c r="D19" s="350"/>
      <c r="E19" s="351"/>
      <c r="F19" s="351"/>
      <c r="G19" s="381"/>
      <c r="H19" s="191"/>
      <c r="I19" s="192"/>
      <c r="J19" s="193"/>
      <c r="K19" s="355"/>
      <c r="L19" s="356"/>
      <c r="M19" s="357"/>
      <c r="N19" s="358"/>
      <c r="O19" s="358"/>
      <c r="P19" s="358"/>
      <c r="Q19" s="358"/>
      <c r="R19" s="359"/>
      <c r="S19" s="358"/>
      <c r="T19" s="360"/>
      <c r="U19" s="358"/>
      <c r="V19" s="358"/>
      <c r="W19" s="358"/>
      <c r="X19" s="357"/>
      <c r="Y19" s="357"/>
      <c r="Z19" s="361"/>
      <c r="AA19" s="357"/>
      <c r="AB19" s="357"/>
      <c r="AC19" s="95"/>
      <c r="AG19" s="67"/>
    </row>
    <row r="20" spans="1:33" s="53" customFormat="1" ht="30.75" customHeight="1" x14ac:dyDescent="0.25">
      <c r="A20" s="198"/>
      <c r="B20" s="409" t="s">
        <v>78</v>
      </c>
      <c r="C20" s="409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09"/>
      <c r="O20" s="409"/>
      <c r="P20" s="409"/>
      <c r="Q20" s="409"/>
      <c r="R20" s="409"/>
      <c r="S20" s="409"/>
      <c r="T20" s="409"/>
      <c r="U20" s="409"/>
      <c r="V20" s="409"/>
      <c r="W20" s="409"/>
      <c r="X20" s="409"/>
      <c r="Y20" s="409"/>
      <c r="Z20" s="409"/>
      <c r="AA20" s="409"/>
      <c r="AB20" s="409"/>
      <c r="AC20" s="409"/>
      <c r="AG20" s="67"/>
    </row>
    <row r="21" spans="1:33" s="53" customFormat="1" ht="30.75" customHeight="1" x14ac:dyDescent="0.25">
      <c r="A21" s="198"/>
      <c r="B21" s="409" t="s">
        <v>64</v>
      </c>
      <c r="C21" s="409"/>
      <c r="D21" s="409"/>
      <c r="E21" s="409"/>
      <c r="F21" s="409"/>
      <c r="G21" s="409"/>
      <c r="H21" s="409"/>
      <c r="I21" s="409"/>
      <c r="J21" s="409"/>
      <c r="K21" s="409"/>
      <c r="L21" s="409"/>
      <c r="M21" s="409"/>
      <c r="N21" s="409"/>
      <c r="O21" s="409"/>
      <c r="P21" s="409"/>
      <c r="Q21" s="409"/>
      <c r="R21" s="409"/>
      <c r="S21" s="409"/>
      <c r="T21" s="409"/>
      <c r="U21" s="409"/>
      <c r="V21" s="409"/>
      <c r="W21" s="409"/>
      <c r="X21" s="409"/>
      <c r="Y21" s="409"/>
      <c r="Z21" s="409"/>
      <c r="AA21" s="409"/>
      <c r="AB21" s="409"/>
      <c r="AC21" s="409"/>
      <c r="AG21" s="67"/>
    </row>
    <row r="22" spans="1:33" s="53" customFormat="1" ht="30.75" customHeight="1" x14ac:dyDescent="0.25">
      <c r="A22" s="198"/>
      <c r="B22" s="409" t="str">
        <f>PRESIDENCIA!A3</f>
        <v>SUELDO  DEL 16 AL 30 DE NOVIEMBRE DE 2024</v>
      </c>
      <c r="C22" s="409"/>
      <c r="D22" s="409"/>
      <c r="E22" s="409"/>
      <c r="F22" s="409"/>
      <c r="G22" s="409"/>
      <c r="H22" s="409"/>
      <c r="I22" s="409"/>
      <c r="J22" s="409"/>
      <c r="K22" s="409"/>
      <c r="L22" s="409"/>
      <c r="M22" s="409"/>
      <c r="N22" s="409"/>
      <c r="O22" s="409"/>
      <c r="P22" s="409"/>
      <c r="Q22" s="409"/>
      <c r="R22" s="409"/>
      <c r="S22" s="409"/>
      <c r="T22" s="409"/>
      <c r="U22" s="409"/>
      <c r="V22" s="409"/>
      <c r="W22" s="409"/>
      <c r="X22" s="409"/>
      <c r="Y22" s="409"/>
      <c r="Z22" s="409"/>
      <c r="AA22" s="409"/>
      <c r="AB22" s="409"/>
      <c r="AC22" s="409"/>
      <c r="AG22" s="67"/>
    </row>
    <row r="23" spans="1:33" s="53" customFormat="1" ht="21" customHeight="1" x14ac:dyDescent="0.3">
      <c r="A23" s="198"/>
      <c r="B23" s="380"/>
      <c r="C23" s="349"/>
      <c r="D23" s="350"/>
      <c r="E23" s="351"/>
      <c r="F23" s="351"/>
      <c r="G23" s="381"/>
      <c r="H23" s="191"/>
      <c r="I23" s="192"/>
      <c r="J23" s="193"/>
      <c r="K23" s="355"/>
      <c r="L23" s="356"/>
      <c r="M23" s="357"/>
      <c r="N23" s="358"/>
      <c r="O23" s="358"/>
      <c r="P23" s="358"/>
      <c r="Q23" s="358"/>
      <c r="R23" s="359"/>
      <c r="S23" s="358"/>
      <c r="T23" s="360"/>
      <c r="U23" s="358"/>
      <c r="V23" s="358"/>
      <c r="W23" s="358"/>
      <c r="X23" s="357"/>
      <c r="Y23" s="357"/>
      <c r="Z23" s="361"/>
      <c r="AA23" s="357"/>
      <c r="AB23" s="357"/>
      <c r="AC23" s="95"/>
      <c r="AG23" s="67"/>
    </row>
    <row r="24" spans="1:33" s="53" customFormat="1" ht="57.75" customHeight="1" x14ac:dyDescent="0.3">
      <c r="A24" s="198"/>
      <c r="B24" s="186" t="s">
        <v>100</v>
      </c>
      <c r="C24" s="186" t="s">
        <v>128</v>
      </c>
      <c r="D24" s="366" t="s">
        <v>311</v>
      </c>
      <c r="E24" s="366" t="s">
        <v>101</v>
      </c>
      <c r="F24" s="366" t="s">
        <v>247</v>
      </c>
      <c r="G24" s="365" t="s">
        <v>322</v>
      </c>
      <c r="H24" s="366" t="s">
        <v>61</v>
      </c>
      <c r="I24" s="366"/>
      <c r="J24" s="366"/>
      <c r="K24" s="367">
        <f>SUM(K25:K28)</f>
        <v>21420.5</v>
      </c>
      <c r="L24" s="367">
        <f>SUM(L25:L28)</f>
        <v>0</v>
      </c>
      <c r="M24" s="367">
        <f>SUM(M25:M28)</f>
        <v>21420.5</v>
      </c>
      <c r="N24" s="367">
        <f t="shared" ref="N24:W24" si="26">SUM(N25)</f>
        <v>0</v>
      </c>
      <c r="O24" s="367">
        <f t="shared" si="26"/>
        <v>7688</v>
      </c>
      <c r="P24" s="367">
        <f t="shared" si="26"/>
        <v>7641.91</v>
      </c>
      <c r="Q24" s="367">
        <f t="shared" si="26"/>
        <v>46.090000000000146</v>
      </c>
      <c r="R24" s="367">
        <f t="shared" si="26"/>
        <v>0.21360000000000001</v>
      </c>
      <c r="S24" s="367">
        <f t="shared" si="26"/>
        <v>9.8448240000000311</v>
      </c>
      <c r="T24" s="367">
        <f t="shared" si="26"/>
        <v>809.25</v>
      </c>
      <c r="U24" s="367">
        <f t="shared" si="26"/>
        <v>819.09482400000002</v>
      </c>
      <c r="V24" s="367">
        <f t="shared" si="26"/>
        <v>0</v>
      </c>
      <c r="W24" s="367">
        <f t="shared" si="26"/>
        <v>819.09</v>
      </c>
      <c r="X24" s="367">
        <f>SUM(X25:X28)</f>
        <v>0</v>
      </c>
      <c r="Y24" s="367">
        <f>SUM(Y25:Y28)</f>
        <v>1446.5900000000001</v>
      </c>
      <c r="Z24" s="367">
        <f>SUM(Z25:Z28)</f>
        <v>0</v>
      </c>
      <c r="AA24" s="367">
        <f>SUM(AA25:AA28)</f>
        <v>1446.5900000000001</v>
      </c>
      <c r="AB24" s="367">
        <f>SUM(AB25:AB28)</f>
        <v>19973.91</v>
      </c>
      <c r="AC24" s="102"/>
      <c r="AG24" s="67"/>
    </row>
    <row r="25" spans="1:33" s="53" customFormat="1" ht="144.75" customHeight="1" x14ac:dyDescent="0.3">
      <c r="A25" s="198"/>
      <c r="B25" s="282" t="s">
        <v>306</v>
      </c>
      <c r="C25" s="330" t="s">
        <v>121</v>
      </c>
      <c r="D25" s="207" t="s">
        <v>307</v>
      </c>
      <c r="E25" s="159" t="s">
        <v>308</v>
      </c>
      <c r="F25" s="159" t="s">
        <v>309</v>
      </c>
      <c r="G25" s="331">
        <v>44805</v>
      </c>
      <c r="H25" s="206" t="s">
        <v>310</v>
      </c>
      <c r="I25" s="311"/>
      <c r="J25" s="312"/>
      <c r="K25" s="313">
        <v>7688</v>
      </c>
      <c r="L25" s="314">
        <v>0</v>
      </c>
      <c r="M25" s="315">
        <f t="shared" ref="M25" si="27">SUM(K25:L25)</f>
        <v>7688</v>
      </c>
      <c r="N25" s="316">
        <f t="shared" ref="N25" si="28">IF(K25/15&lt;=SMG,0,L25/2)</f>
        <v>0</v>
      </c>
      <c r="O25" s="316">
        <f t="shared" ref="O25" si="29">K25+N25</f>
        <v>7688</v>
      </c>
      <c r="P25" s="316">
        <f t="shared" ref="P25" si="30">VLOOKUP(O25,Tarifa1,1)</f>
        <v>7641.91</v>
      </c>
      <c r="Q25" s="316">
        <f t="shared" ref="Q25" si="31">O25-P25</f>
        <v>46.090000000000146</v>
      </c>
      <c r="R25" s="317">
        <f t="shared" ref="R25" si="32">VLOOKUP(O25,Tarifa1,3)</f>
        <v>0.21360000000000001</v>
      </c>
      <c r="S25" s="316">
        <f t="shared" ref="S25" si="33">Q25*R25</f>
        <v>9.8448240000000311</v>
      </c>
      <c r="T25" s="318">
        <f t="shared" ref="T25" si="34">VLOOKUP(O25,Tarifa1,2)</f>
        <v>809.25</v>
      </c>
      <c r="U25" s="316">
        <f t="shared" ref="U25" si="35">S25+T25</f>
        <v>819.09482400000002</v>
      </c>
      <c r="V25" s="316">
        <f t="shared" ref="V25" si="36">VLOOKUP(O25,Credito1,2)</f>
        <v>0</v>
      </c>
      <c r="W25" s="316">
        <f t="shared" ref="W25" si="37">ROUND(U25-V25,2)</f>
        <v>819.09</v>
      </c>
      <c r="X25" s="315">
        <f>-IF(W25&gt;0,0,0)</f>
        <v>0</v>
      </c>
      <c r="Y25" s="315">
        <f t="shared" ref="Y25" si="38">IF(K25/15&lt;=SMG,0,IF(W25&lt;0,0,W25))</f>
        <v>819.09</v>
      </c>
      <c r="Z25" s="319">
        <v>0</v>
      </c>
      <c r="AA25" s="315">
        <f t="shared" ref="AA25" si="39">SUM(Y25:Z25)</f>
        <v>819.09</v>
      </c>
      <c r="AB25" s="315">
        <f t="shared" ref="AB25" si="40">M25+X25-AA25</f>
        <v>6868.91</v>
      </c>
      <c r="AC25" s="94"/>
      <c r="AG25" s="67"/>
    </row>
    <row r="26" spans="1:33" s="53" customFormat="1" ht="144.75" customHeight="1" x14ac:dyDescent="0.3">
      <c r="A26" s="198"/>
      <c r="B26" s="282" t="s">
        <v>373</v>
      </c>
      <c r="C26" s="330" t="s">
        <v>121</v>
      </c>
      <c r="D26" s="206" t="s">
        <v>374</v>
      </c>
      <c r="E26" s="143" t="s">
        <v>375</v>
      </c>
      <c r="F26" s="143" t="s">
        <v>376</v>
      </c>
      <c r="G26" s="324">
        <v>45154</v>
      </c>
      <c r="H26" s="206" t="s">
        <v>377</v>
      </c>
      <c r="I26" s="311"/>
      <c r="J26" s="312"/>
      <c r="K26" s="313">
        <v>3505</v>
      </c>
      <c r="L26" s="314">
        <v>0</v>
      </c>
      <c r="M26" s="315">
        <f t="shared" ref="M26" si="41">SUM(K26:L26)</f>
        <v>3505</v>
      </c>
      <c r="N26" s="316">
        <f t="shared" ref="N26" si="42">IF(K26/15&lt;=SMG,0,L26/2)</f>
        <v>0</v>
      </c>
      <c r="O26" s="316">
        <f t="shared" ref="O26" si="43">K26+N26</f>
        <v>3505</v>
      </c>
      <c r="P26" s="316">
        <f t="shared" ref="P26" si="44">VLOOKUP(O26,Tarifa1,1)</f>
        <v>3124.36</v>
      </c>
      <c r="Q26" s="316">
        <f t="shared" ref="Q26" si="45">O26-P26</f>
        <v>380.63999999999987</v>
      </c>
      <c r="R26" s="317">
        <f t="shared" ref="R26" si="46">VLOOKUP(O26,Tarifa1,3)</f>
        <v>0.10879999999999999</v>
      </c>
      <c r="S26" s="316">
        <f t="shared" ref="S26" si="47">Q26*R26</f>
        <v>41.413631999999986</v>
      </c>
      <c r="T26" s="318">
        <f t="shared" ref="T26" si="48">VLOOKUP(O26,Tarifa1,2)</f>
        <v>183.45</v>
      </c>
      <c r="U26" s="316">
        <f t="shared" ref="U26" si="49">S26+T26</f>
        <v>224.86363199999997</v>
      </c>
      <c r="V26" s="316">
        <f t="shared" ref="V26" si="50">VLOOKUP(O26,Credito1,2)</f>
        <v>195</v>
      </c>
      <c r="W26" s="316">
        <f t="shared" ref="W26" si="51">ROUND(U26-V26,2)</f>
        <v>29.86</v>
      </c>
      <c r="X26" s="315">
        <f>-IF(W26&gt;0,0,0)</f>
        <v>0</v>
      </c>
      <c r="Y26" s="315">
        <f t="shared" ref="Y26" si="52">IF(K26/15&lt;=SMG,0,IF(W26&lt;0,0,W26))</f>
        <v>0</v>
      </c>
      <c r="Z26" s="319">
        <v>0</v>
      </c>
      <c r="AA26" s="315">
        <f t="shared" ref="AA26" si="53">SUM(Y26:Z26)</f>
        <v>0</v>
      </c>
      <c r="AB26" s="315">
        <f t="shared" ref="AB26" si="54">M26+X26-AA26</f>
        <v>3505</v>
      </c>
      <c r="AC26" s="94"/>
      <c r="AG26" s="67"/>
    </row>
    <row r="27" spans="1:33" s="53" customFormat="1" ht="144.75" customHeight="1" x14ac:dyDescent="0.3">
      <c r="A27" s="198"/>
      <c r="B27" s="282" t="s">
        <v>511</v>
      </c>
      <c r="C27" s="330" t="s">
        <v>121</v>
      </c>
      <c r="D27" s="207" t="s">
        <v>515</v>
      </c>
      <c r="E27" s="159" t="s">
        <v>512</v>
      </c>
      <c r="F27" s="159" t="s">
        <v>513</v>
      </c>
      <c r="G27" s="331">
        <v>45566</v>
      </c>
      <c r="H27" s="206" t="s">
        <v>658</v>
      </c>
      <c r="I27" s="311"/>
      <c r="J27" s="312"/>
      <c r="K27" s="313">
        <v>6627.5</v>
      </c>
      <c r="L27" s="314">
        <v>0</v>
      </c>
      <c r="M27" s="315">
        <f>SUM(K27:L27)</f>
        <v>6627.5</v>
      </c>
      <c r="N27" s="316">
        <f>IF(K27/15&lt;=SMG,0,L27/2)</f>
        <v>0</v>
      </c>
      <c r="O27" s="316">
        <f>K27+N27</f>
        <v>6627.5</v>
      </c>
      <c r="P27" s="316">
        <f>VLOOKUP(O27,Tarifa1,1)</f>
        <v>6382.81</v>
      </c>
      <c r="Q27" s="316">
        <f>O27-P27</f>
        <v>244.6899999999996</v>
      </c>
      <c r="R27" s="317">
        <f>VLOOKUP(O27,Tarifa1,3)</f>
        <v>0.1792</v>
      </c>
      <c r="S27" s="316">
        <f>Q27*R27</f>
        <v>43.848447999999927</v>
      </c>
      <c r="T27" s="318">
        <f>VLOOKUP(O27,Tarifa1,2)</f>
        <v>583.65</v>
      </c>
      <c r="U27" s="316">
        <f>S27+T27</f>
        <v>627.49844799999994</v>
      </c>
      <c r="V27" s="316">
        <f>VLOOKUP(O27,Credito1,2)</f>
        <v>0</v>
      </c>
      <c r="W27" s="316">
        <f>ROUND(U27-V27,2)</f>
        <v>627.5</v>
      </c>
      <c r="X27" s="315">
        <f>-IF(W27&gt;0,0,0)</f>
        <v>0</v>
      </c>
      <c r="Y27" s="315">
        <f>IF(K27/15&lt;=SMG,0,IF(W27&lt;0,0,W27))</f>
        <v>627.5</v>
      </c>
      <c r="Z27" s="319">
        <v>0</v>
      </c>
      <c r="AA27" s="315">
        <f>SUM(Y27:Z27)</f>
        <v>627.5</v>
      </c>
      <c r="AB27" s="315">
        <f>M27+X27-AA27</f>
        <v>6000</v>
      </c>
      <c r="AC27" s="94"/>
      <c r="AG27" s="67"/>
    </row>
    <row r="28" spans="1:33" s="53" customFormat="1" ht="144.75" customHeight="1" x14ac:dyDescent="0.3">
      <c r="A28" s="198"/>
      <c r="B28" s="282" t="s">
        <v>511</v>
      </c>
      <c r="C28" s="330" t="s">
        <v>121</v>
      </c>
      <c r="D28" s="207" t="s">
        <v>659</v>
      </c>
      <c r="E28" s="159" t="s">
        <v>660</v>
      </c>
      <c r="F28" s="159" t="s">
        <v>661</v>
      </c>
      <c r="G28" s="331">
        <v>45612</v>
      </c>
      <c r="H28" s="206" t="s">
        <v>514</v>
      </c>
      <c r="I28" s="311"/>
      <c r="J28" s="312"/>
      <c r="K28" s="313">
        <v>3600</v>
      </c>
      <c r="L28" s="314">
        <v>0</v>
      </c>
      <c r="M28" s="315">
        <f t="shared" ref="M28" si="55">SUM(K28:L28)</f>
        <v>3600</v>
      </c>
      <c r="N28" s="316">
        <f t="shared" ref="N28" si="56">IF(K28/15&lt;=SMG,0,L28/2)</f>
        <v>0</v>
      </c>
      <c r="O28" s="316">
        <f t="shared" ref="O28" si="57">K28+N28</f>
        <v>3600</v>
      </c>
      <c r="P28" s="316">
        <f t="shared" ref="P28" si="58">VLOOKUP(O28,Tarifa1,1)</f>
        <v>3124.36</v>
      </c>
      <c r="Q28" s="316">
        <f t="shared" ref="Q28" si="59">O28-P28</f>
        <v>475.63999999999987</v>
      </c>
      <c r="R28" s="317">
        <f t="shared" ref="R28" si="60">VLOOKUP(O28,Tarifa1,3)</f>
        <v>0.10879999999999999</v>
      </c>
      <c r="S28" s="316">
        <f t="shared" ref="S28" si="61">Q28*R28</f>
        <v>51.749631999999984</v>
      </c>
      <c r="T28" s="318">
        <f t="shared" ref="T28" si="62">VLOOKUP(O28,Tarifa1,2)</f>
        <v>183.45</v>
      </c>
      <c r="U28" s="316">
        <f t="shared" ref="U28" si="63">S28+T28</f>
        <v>235.19963199999998</v>
      </c>
      <c r="V28" s="316">
        <f t="shared" ref="V28" si="64">VLOOKUP(O28,Credito1,2)</f>
        <v>195</v>
      </c>
      <c r="W28" s="316">
        <f t="shared" ref="W28" si="65">ROUND(U28-V28,2)</f>
        <v>40.200000000000003</v>
      </c>
      <c r="X28" s="315">
        <f>-IF(W28&gt;0,0,0)</f>
        <v>0</v>
      </c>
      <c r="Y28" s="315">
        <f t="shared" ref="Y28" si="66">IF(K28/15&lt;=SMG,0,IF(W28&lt;0,0,W28))</f>
        <v>0</v>
      </c>
      <c r="Z28" s="319">
        <v>0</v>
      </c>
      <c r="AA28" s="315">
        <f t="shared" ref="AA28" si="67">SUM(Y28:Z28)</f>
        <v>0</v>
      </c>
      <c r="AB28" s="315">
        <f t="shared" ref="AB28" si="68">M28+X28-AA28</f>
        <v>3600</v>
      </c>
      <c r="AC28" s="94"/>
      <c r="AG28" s="67"/>
    </row>
    <row r="29" spans="1:33" s="53" customFormat="1" ht="60.75" customHeight="1" x14ac:dyDescent="0.3">
      <c r="A29" s="198"/>
      <c r="B29" s="186" t="s">
        <v>100</v>
      </c>
      <c r="C29" s="186" t="s">
        <v>128</v>
      </c>
      <c r="D29" s="366" t="s">
        <v>354</v>
      </c>
      <c r="E29" s="366" t="s">
        <v>101</v>
      </c>
      <c r="F29" s="366" t="s">
        <v>247</v>
      </c>
      <c r="G29" s="365" t="s">
        <v>322</v>
      </c>
      <c r="H29" s="366" t="s">
        <v>61</v>
      </c>
      <c r="I29" s="366"/>
      <c r="J29" s="366"/>
      <c r="K29" s="367">
        <f>K30+K31+K32</f>
        <v>19974.5</v>
      </c>
      <c r="L29" s="367">
        <f t="shared" ref="L29:AB29" si="69">L30+L31+L32</f>
        <v>0</v>
      </c>
      <c r="M29" s="367">
        <f t="shared" si="69"/>
        <v>19974.5</v>
      </c>
      <c r="N29" s="367">
        <f t="shared" si="69"/>
        <v>0</v>
      </c>
      <c r="O29" s="367">
        <f t="shared" si="69"/>
        <v>19974.5</v>
      </c>
      <c r="P29" s="367">
        <f t="shared" si="69"/>
        <v>17149.080000000002</v>
      </c>
      <c r="Q29" s="367">
        <f t="shared" si="69"/>
        <v>2825.4199999999996</v>
      </c>
      <c r="R29" s="367">
        <f t="shared" si="69"/>
        <v>0.50160000000000005</v>
      </c>
      <c r="S29" s="367">
        <f t="shared" si="69"/>
        <v>482.24650399999996</v>
      </c>
      <c r="T29" s="367">
        <f t="shared" si="69"/>
        <v>1576.3500000000001</v>
      </c>
      <c r="U29" s="367">
        <f t="shared" si="69"/>
        <v>2058.5965040000001</v>
      </c>
      <c r="V29" s="367">
        <f t="shared" si="69"/>
        <v>195</v>
      </c>
      <c r="W29" s="367">
        <f t="shared" si="69"/>
        <v>1863.6</v>
      </c>
      <c r="X29" s="367">
        <f t="shared" si="69"/>
        <v>0</v>
      </c>
      <c r="Y29" s="367">
        <f t="shared" si="69"/>
        <v>1863.6</v>
      </c>
      <c r="Z29" s="367">
        <f t="shared" si="69"/>
        <v>0</v>
      </c>
      <c r="AA29" s="367">
        <f t="shared" si="69"/>
        <v>1863.6</v>
      </c>
      <c r="AB29" s="367">
        <f t="shared" si="69"/>
        <v>18110.900000000001</v>
      </c>
      <c r="AC29" s="102"/>
      <c r="AG29" s="67"/>
    </row>
    <row r="30" spans="1:33" s="53" customFormat="1" ht="144" customHeight="1" x14ac:dyDescent="0.3">
      <c r="A30" s="198"/>
      <c r="B30" s="282" t="s">
        <v>378</v>
      </c>
      <c r="C30" s="330" t="s">
        <v>121</v>
      </c>
      <c r="D30" s="207" t="s">
        <v>379</v>
      </c>
      <c r="E30" s="159" t="s">
        <v>380</v>
      </c>
      <c r="F30" s="159" t="s">
        <v>381</v>
      </c>
      <c r="G30" s="331">
        <v>45170</v>
      </c>
      <c r="H30" s="206" t="s">
        <v>387</v>
      </c>
      <c r="I30" s="311"/>
      <c r="J30" s="312"/>
      <c r="K30" s="313">
        <v>7223.5</v>
      </c>
      <c r="L30" s="314">
        <v>0</v>
      </c>
      <c r="M30" s="315">
        <f>SUM(K30:L30)</f>
        <v>7223.5</v>
      </c>
      <c r="N30" s="316">
        <f>IF(K30/15&lt;=SMG,0,L30/2)</f>
        <v>0</v>
      </c>
      <c r="O30" s="316">
        <f>K30+N30</f>
        <v>7223.5</v>
      </c>
      <c r="P30" s="316">
        <f>VLOOKUP(O30,Tarifa1,1)</f>
        <v>6382.81</v>
      </c>
      <c r="Q30" s="316">
        <f>O30-P30</f>
        <v>840.6899999999996</v>
      </c>
      <c r="R30" s="317">
        <f>VLOOKUP(O30,Tarifa1,3)</f>
        <v>0.1792</v>
      </c>
      <c r="S30" s="316">
        <f>Q30*R30</f>
        <v>150.65164799999994</v>
      </c>
      <c r="T30" s="318">
        <f>VLOOKUP(O30,Tarifa1,2)</f>
        <v>583.65</v>
      </c>
      <c r="U30" s="316">
        <f>S30+T30</f>
        <v>734.30164799999989</v>
      </c>
      <c r="V30" s="316">
        <f>VLOOKUP(O30,Credito1,2)</f>
        <v>0</v>
      </c>
      <c r="W30" s="316">
        <f>ROUND(U30-V30,2)</f>
        <v>734.3</v>
      </c>
      <c r="X30" s="315">
        <f>-IF(W30&gt;0,0,0)</f>
        <v>0</v>
      </c>
      <c r="Y30" s="315">
        <f>IF(K30/15&lt;=SMG,0,IF(W30&lt;0,0,W30))</f>
        <v>734.3</v>
      </c>
      <c r="Z30" s="319">
        <v>0</v>
      </c>
      <c r="AA30" s="315">
        <f>SUM(Y30:Z30)</f>
        <v>734.3</v>
      </c>
      <c r="AB30" s="315">
        <f>M30+X30-AA30</f>
        <v>6489.2</v>
      </c>
      <c r="AC30" s="94"/>
      <c r="AG30" s="67"/>
    </row>
    <row r="31" spans="1:33" s="53" customFormat="1" ht="144" customHeight="1" x14ac:dyDescent="0.3">
      <c r="A31" s="198"/>
      <c r="B31" s="282" t="s">
        <v>368</v>
      </c>
      <c r="C31" s="330" t="s">
        <v>121</v>
      </c>
      <c r="D31" s="207" t="s">
        <v>355</v>
      </c>
      <c r="E31" s="159" t="s">
        <v>356</v>
      </c>
      <c r="F31" s="159" t="s">
        <v>357</v>
      </c>
      <c r="G31" s="331">
        <v>45108</v>
      </c>
      <c r="H31" s="206" t="s">
        <v>358</v>
      </c>
      <c r="I31" s="311"/>
      <c r="J31" s="312"/>
      <c r="K31" s="313">
        <v>8745.5</v>
      </c>
      <c r="L31" s="314">
        <v>0</v>
      </c>
      <c r="M31" s="315">
        <f t="shared" ref="M31" si="70">SUM(K31:L31)</f>
        <v>8745.5</v>
      </c>
      <c r="N31" s="316">
        <f t="shared" ref="N31" si="71">IF(K31/15&lt;=SMG,0,L31/2)</f>
        <v>0</v>
      </c>
      <c r="O31" s="316">
        <f t="shared" ref="O31:O32" si="72">K31+N31</f>
        <v>8745.5</v>
      </c>
      <c r="P31" s="316">
        <f t="shared" ref="P31" si="73">VLOOKUP(O31,Tarifa1,1)</f>
        <v>7641.91</v>
      </c>
      <c r="Q31" s="316">
        <f t="shared" ref="Q31:Q32" si="74">O31-P31</f>
        <v>1103.5900000000001</v>
      </c>
      <c r="R31" s="317">
        <f t="shared" ref="R31" si="75">VLOOKUP(O31,Tarifa1,3)</f>
        <v>0.21360000000000001</v>
      </c>
      <c r="S31" s="316">
        <f t="shared" ref="S31:S32" si="76">Q31*R31</f>
        <v>235.72682400000005</v>
      </c>
      <c r="T31" s="318">
        <f t="shared" ref="T31" si="77">VLOOKUP(O31,Tarifa1,2)</f>
        <v>809.25</v>
      </c>
      <c r="U31" s="316">
        <f t="shared" ref="U31:U32" si="78">S31+T31</f>
        <v>1044.9768240000001</v>
      </c>
      <c r="V31" s="316">
        <f t="shared" ref="V31" si="79">VLOOKUP(O31,Credito1,2)</f>
        <v>0</v>
      </c>
      <c r="W31" s="316">
        <f t="shared" ref="W31:W32" si="80">ROUND(U31-V31,2)</f>
        <v>1044.98</v>
      </c>
      <c r="X31" s="315">
        <f>-IF(W31&gt;0,0,0)</f>
        <v>0</v>
      </c>
      <c r="Y31" s="315">
        <f t="shared" ref="Y31" si="81">IF(K31/15&lt;=SMG,0,IF(W31&lt;0,0,W31))</f>
        <v>1044.98</v>
      </c>
      <c r="Z31" s="319">
        <v>0</v>
      </c>
      <c r="AA31" s="315">
        <f t="shared" ref="AA31" si="82">SUM(Y31:Z31)</f>
        <v>1044.98</v>
      </c>
      <c r="AB31" s="315">
        <f t="shared" ref="AB31" si="83">M31+X31-AA31</f>
        <v>7700.52</v>
      </c>
      <c r="AC31" s="94"/>
      <c r="AG31" s="67"/>
    </row>
    <row r="32" spans="1:33" s="53" customFormat="1" ht="144" customHeight="1" x14ac:dyDescent="0.3">
      <c r="A32" s="198"/>
      <c r="B32" s="282" t="s">
        <v>388</v>
      </c>
      <c r="C32" s="330" t="s">
        <v>121</v>
      </c>
      <c r="D32" s="207" t="s">
        <v>392</v>
      </c>
      <c r="E32" s="159" t="s">
        <v>393</v>
      </c>
      <c r="F32" s="159" t="s">
        <v>394</v>
      </c>
      <c r="G32" s="331">
        <v>45200</v>
      </c>
      <c r="H32" s="206" t="s">
        <v>395</v>
      </c>
      <c r="I32" s="311"/>
      <c r="J32" s="312"/>
      <c r="K32" s="313">
        <v>4005.5</v>
      </c>
      <c r="L32" s="314">
        <v>0</v>
      </c>
      <c r="M32" s="315">
        <f>SUM(K32:L32)</f>
        <v>4005.5</v>
      </c>
      <c r="N32" s="316">
        <f>IF(K32/15&lt;=SMG,0,L32/2)</f>
        <v>0</v>
      </c>
      <c r="O32" s="316">
        <f t="shared" si="72"/>
        <v>4005.5</v>
      </c>
      <c r="P32" s="316">
        <f>VLOOKUP(O32,Tarifa1,1)</f>
        <v>3124.36</v>
      </c>
      <c r="Q32" s="316">
        <f t="shared" si="74"/>
        <v>881.13999999999987</v>
      </c>
      <c r="R32" s="317">
        <f>VLOOKUP(O32,Tarifa1,3)</f>
        <v>0.10879999999999999</v>
      </c>
      <c r="S32" s="316">
        <f t="shared" si="76"/>
        <v>95.868031999999985</v>
      </c>
      <c r="T32" s="318">
        <f>VLOOKUP(O32,Tarifa1,2)</f>
        <v>183.45</v>
      </c>
      <c r="U32" s="316">
        <f t="shared" si="78"/>
        <v>279.31803199999996</v>
      </c>
      <c r="V32" s="316">
        <f>VLOOKUP(O32,Credito1,2)</f>
        <v>195</v>
      </c>
      <c r="W32" s="316">
        <f t="shared" si="80"/>
        <v>84.32</v>
      </c>
      <c r="X32" s="315">
        <f>-IF(W32&gt;0,0,0)</f>
        <v>0</v>
      </c>
      <c r="Y32" s="315">
        <f>IF(K32/15&lt;=SMG,0,IF(W32&lt;0,0,W32))</f>
        <v>84.32</v>
      </c>
      <c r="Z32" s="319">
        <v>0</v>
      </c>
      <c r="AA32" s="315">
        <f>SUM(Y32:Z32)</f>
        <v>84.32</v>
      </c>
      <c r="AB32" s="315">
        <f>M32+X32-AA32</f>
        <v>3921.18</v>
      </c>
      <c r="AC32" s="94"/>
      <c r="AG32" s="67"/>
    </row>
    <row r="33" spans="1:33" s="53" customFormat="1" ht="63" customHeight="1" x14ac:dyDescent="0.25">
      <c r="A33" s="198"/>
      <c r="B33" s="186" t="s">
        <v>100</v>
      </c>
      <c r="C33" s="186" t="s">
        <v>128</v>
      </c>
      <c r="D33" s="186" t="s">
        <v>545</v>
      </c>
      <c r="E33" s="233" t="s">
        <v>101</v>
      </c>
      <c r="F33" s="233" t="s">
        <v>247</v>
      </c>
      <c r="G33" s="186" t="s">
        <v>322</v>
      </c>
      <c r="H33" s="233" t="s">
        <v>61</v>
      </c>
      <c r="I33" s="233"/>
      <c r="J33" s="233"/>
      <c r="K33" s="234">
        <f>SUM(K34)</f>
        <v>6026.76</v>
      </c>
      <c r="L33" s="234">
        <f>SUM(L34)</f>
        <v>0</v>
      </c>
      <c r="M33" s="234">
        <f>SUM(M34)</f>
        <v>6026.76</v>
      </c>
      <c r="N33" s="233"/>
      <c r="O33" s="233"/>
      <c r="P33" s="233"/>
      <c r="Q33" s="233"/>
      <c r="R33" s="233"/>
      <c r="S33" s="233"/>
      <c r="T33" s="236"/>
      <c r="U33" s="233"/>
      <c r="V33" s="233"/>
      <c r="W33" s="233"/>
      <c r="X33" s="234">
        <f>SUM(X34)</f>
        <v>0</v>
      </c>
      <c r="Y33" s="234">
        <f>SUM(Y34)</f>
        <v>526.76</v>
      </c>
      <c r="Z33" s="234">
        <f>SUM(Z34)</f>
        <v>0</v>
      </c>
      <c r="AA33" s="234">
        <f>SUM(AA34)</f>
        <v>526.76</v>
      </c>
      <c r="AB33" s="234">
        <f>SUM(AB34)</f>
        <v>5500</v>
      </c>
      <c r="AC33" s="237"/>
      <c r="AG33" s="67"/>
    </row>
    <row r="34" spans="1:33" s="53" customFormat="1" ht="145.5" customHeight="1" x14ac:dyDescent="0.3">
      <c r="A34" s="198"/>
      <c r="B34" s="282" t="s">
        <v>546</v>
      </c>
      <c r="C34" s="330" t="s">
        <v>121</v>
      </c>
      <c r="D34" s="206" t="s">
        <v>547</v>
      </c>
      <c r="E34" s="143" t="s">
        <v>548</v>
      </c>
      <c r="F34" s="143" t="s">
        <v>549</v>
      </c>
      <c r="G34" s="324">
        <v>45566</v>
      </c>
      <c r="H34" s="206" t="s">
        <v>550</v>
      </c>
      <c r="I34" s="311">
        <v>15</v>
      </c>
      <c r="J34" s="312">
        <f t="shared" ref="J34" si="84">K34/I34</f>
        <v>401.78399999999999</v>
      </c>
      <c r="K34" s="313">
        <v>6026.76</v>
      </c>
      <c r="L34" s="314">
        <v>0</v>
      </c>
      <c r="M34" s="315">
        <f>SUM(K34:L34)</f>
        <v>6026.76</v>
      </c>
      <c r="N34" s="316">
        <f>IF(K34/15&lt;=SMG,0,L34/2)</f>
        <v>0</v>
      </c>
      <c r="O34" s="316">
        <f t="shared" ref="O34" si="85">K34+N34</f>
        <v>6026.76</v>
      </c>
      <c r="P34" s="316">
        <f>VLOOKUP(O34,Tarifa1,1)</f>
        <v>5490.76</v>
      </c>
      <c r="Q34" s="316">
        <f t="shared" ref="Q34" si="86">O34-P34</f>
        <v>536</v>
      </c>
      <c r="R34" s="317">
        <f>VLOOKUP(O34,Tarifa1,3)</f>
        <v>0.16</v>
      </c>
      <c r="S34" s="316">
        <f t="shared" ref="S34" si="87">Q34*R34</f>
        <v>85.76</v>
      </c>
      <c r="T34" s="318">
        <f>VLOOKUP(O34,Tarifa1,2)</f>
        <v>441</v>
      </c>
      <c r="U34" s="316">
        <f t="shared" ref="U34" si="88">S34+T34</f>
        <v>526.76</v>
      </c>
      <c r="V34" s="316">
        <f>VLOOKUP(O34,Credito1,2)</f>
        <v>0</v>
      </c>
      <c r="W34" s="316">
        <f t="shared" ref="W34" si="89">ROUND(U34-V34,2)</f>
        <v>526.76</v>
      </c>
      <c r="X34" s="315">
        <f>-IF(W34&gt;0,0,0)</f>
        <v>0</v>
      </c>
      <c r="Y34" s="315">
        <f>IF(K34/15&lt;=SMG,0,IF(W34&lt;0,0,W34))</f>
        <v>526.76</v>
      </c>
      <c r="Z34" s="319">
        <v>0</v>
      </c>
      <c r="AA34" s="315">
        <f>SUM(Y34:Z34)</f>
        <v>526.76</v>
      </c>
      <c r="AB34" s="315">
        <f>M34+X34-AA34</f>
        <v>5500</v>
      </c>
      <c r="AC34" s="113"/>
      <c r="AG34" s="67"/>
    </row>
    <row r="35" spans="1:33" s="53" customFormat="1" ht="69" customHeight="1" x14ac:dyDescent="0.3">
      <c r="A35" s="198"/>
      <c r="B35" s="199"/>
      <c r="C35" s="182"/>
      <c r="D35" s="288"/>
      <c r="E35" s="289"/>
      <c r="F35" s="289"/>
      <c r="G35" s="290"/>
      <c r="H35" s="191"/>
      <c r="I35" s="192"/>
      <c r="J35" s="193"/>
      <c r="K35" s="194"/>
      <c r="L35" s="195"/>
      <c r="M35" s="196"/>
      <c r="N35" s="273"/>
      <c r="O35" s="273"/>
      <c r="P35" s="273"/>
      <c r="Q35" s="273"/>
      <c r="R35" s="274"/>
      <c r="S35" s="273"/>
      <c r="T35" s="275"/>
      <c r="U35" s="273"/>
      <c r="V35" s="273"/>
      <c r="W35" s="273"/>
      <c r="X35" s="196"/>
      <c r="Y35" s="196"/>
      <c r="Z35" s="197"/>
      <c r="AA35" s="196"/>
      <c r="AB35" s="196"/>
      <c r="AC35" s="114"/>
      <c r="AG35" s="67"/>
    </row>
    <row r="36" spans="1:33" s="53" customFormat="1" ht="34.5" customHeight="1" x14ac:dyDescent="0.25">
      <c r="A36" s="198"/>
      <c r="B36" s="409" t="s">
        <v>78</v>
      </c>
      <c r="C36" s="409"/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409"/>
      <c r="P36" s="409"/>
      <c r="Q36" s="409"/>
      <c r="R36" s="409"/>
      <c r="S36" s="409"/>
      <c r="T36" s="409"/>
      <c r="U36" s="409"/>
      <c r="V36" s="409"/>
      <c r="W36" s="409"/>
      <c r="X36" s="409"/>
      <c r="Y36" s="409"/>
      <c r="Z36" s="409"/>
      <c r="AA36" s="409"/>
      <c r="AB36" s="409"/>
      <c r="AC36" s="409"/>
      <c r="AG36" s="67"/>
    </row>
    <row r="37" spans="1:33" s="53" customFormat="1" ht="27" customHeight="1" x14ac:dyDescent="0.25">
      <c r="A37" s="198"/>
      <c r="B37" s="409" t="s">
        <v>64</v>
      </c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09"/>
      <c r="O37" s="409"/>
      <c r="P37" s="409"/>
      <c r="Q37" s="409"/>
      <c r="R37" s="409"/>
      <c r="S37" s="409"/>
      <c r="T37" s="409"/>
      <c r="U37" s="409"/>
      <c r="V37" s="409"/>
      <c r="W37" s="409"/>
      <c r="X37" s="409"/>
      <c r="Y37" s="409"/>
      <c r="Z37" s="409"/>
      <c r="AA37" s="409"/>
      <c r="AB37" s="409"/>
      <c r="AC37" s="409"/>
      <c r="AG37" s="67"/>
    </row>
    <row r="38" spans="1:33" s="53" customFormat="1" ht="27" customHeight="1" x14ac:dyDescent="0.25">
      <c r="A38" s="198"/>
      <c r="B38" s="448" t="str">
        <f>PRESIDENCIA!A3</f>
        <v>SUELDO  DEL 16 AL 30 DE NOVIEMBRE DE 2024</v>
      </c>
      <c r="C38" s="410"/>
      <c r="D38" s="410"/>
      <c r="E38" s="410"/>
      <c r="F38" s="410"/>
      <c r="G38" s="410"/>
      <c r="H38" s="410"/>
      <c r="I38" s="410"/>
      <c r="J38" s="410"/>
      <c r="K38" s="410"/>
      <c r="L38" s="410"/>
      <c r="M38" s="410"/>
      <c r="N38" s="410"/>
      <c r="O38" s="410"/>
      <c r="P38" s="410"/>
      <c r="Q38" s="410"/>
      <c r="R38" s="410"/>
      <c r="S38" s="410"/>
      <c r="T38" s="410"/>
      <c r="U38" s="410"/>
      <c r="V38" s="410"/>
      <c r="W38" s="410"/>
      <c r="X38" s="410"/>
      <c r="Y38" s="410"/>
      <c r="Z38" s="410"/>
      <c r="AA38" s="410"/>
      <c r="AB38" s="410"/>
      <c r="AC38" s="410"/>
      <c r="AG38" s="67"/>
    </row>
    <row r="39" spans="1:33" s="53" customFormat="1" ht="21" customHeight="1" x14ac:dyDescent="0.3">
      <c r="A39" s="198"/>
      <c r="B39" s="199"/>
      <c r="C39" s="182"/>
      <c r="D39" s="288"/>
      <c r="E39" s="289"/>
      <c r="F39" s="289"/>
      <c r="G39" s="290"/>
      <c r="H39" s="191"/>
      <c r="I39" s="192"/>
      <c r="J39" s="193"/>
      <c r="K39" s="194"/>
      <c r="L39" s="195"/>
      <c r="M39" s="196"/>
      <c r="N39" s="273"/>
      <c r="O39" s="273"/>
      <c r="P39" s="273"/>
      <c r="Q39" s="273"/>
      <c r="R39" s="274"/>
      <c r="S39" s="273"/>
      <c r="T39" s="275"/>
      <c r="U39" s="273"/>
      <c r="V39" s="273"/>
      <c r="W39" s="273"/>
      <c r="X39" s="196"/>
      <c r="Y39" s="196"/>
      <c r="Z39" s="197"/>
      <c r="AA39" s="196"/>
      <c r="AB39" s="196"/>
      <c r="AC39" s="114"/>
      <c r="AG39" s="67"/>
    </row>
    <row r="40" spans="1:33" s="114" customFormat="1" ht="71.25" customHeight="1" x14ac:dyDescent="0.3">
      <c r="A40" s="142"/>
      <c r="B40" s="287" t="s">
        <v>100</v>
      </c>
      <c r="C40" s="287" t="s">
        <v>128</v>
      </c>
      <c r="D40" s="370" t="s">
        <v>132</v>
      </c>
      <c r="E40" s="371" t="s">
        <v>101</v>
      </c>
      <c r="F40" s="371" t="s">
        <v>247</v>
      </c>
      <c r="G40" s="370" t="s">
        <v>322</v>
      </c>
      <c r="H40" s="371" t="s">
        <v>61</v>
      </c>
      <c r="I40" s="371"/>
      <c r="J40" s="371"/>
      <c r="K40" s="372">
        <f>SUM(K41)</f>
        <v>6026.76</v>
      </c>
      <c r="L40" s="372">
        <f>SUM(L41)</f>
        <v>0</v>
      </c>
      <c r="M40" s="372">
        <f>SUM(M41)</f>
        <v>6026.76</v>
      </c>
      <c r="N40" s="371"/>
      <c r="O40" s="371"/>
      <c r="P40" s="371"/>
      <c r="Q40" s="371"/>
      <c r="R40" s="371"/>
      <c r="S40" s="371"/>
      <c r="T40" s="373"/>
      <c r="U40" s="371"/>
      <c r="V40" s="371"/>
      <c r="W40" s="371"/>
      <c r="X40" s="372">
        <f>SUM(X41)</f>
        <v>0</v>
      </c>
      <c r="Y40" s="372">
        <f>SUM(Y41)</f>
        <v>526.76</v>
      </c>
      <c r="Z40" s="372">
        <f>SUM(Z41)</f>
        <v>0</v>
      </c>
      <c r="AA40" s="372">
        <f>SUM(AA41)</f>
        <v>526.76</v>
      </c>
      <c r="AB40" s="372">
        <f>SUM(AB41)</f>
        <v>5500</v>
      </c>
      <c r="AC40" s="235"/>
      <c r="AG40" s="238"/>
    </row>
    <row r="41" spans="1:33" s="114" customFormat="1" ht="145.5" customHeight="1" x14ac:dyDescent="0.3">
      <c r="A41" s="142" t="s">
        <v>90</v>
      </c>
      <c r="B41" s="282" t="s">
        <v>537</v>
      </c>
      <c r="C41" s="330" t="s">
        <v>121</v>
      </c>
      <c r="D41" s="206" t="s">
        <v>534</v>
      </c>
      <c r="E41" s="143" t="s">
        <v>535</v>
      </c>
      <c r="F41" s="143" t="s">
        <v>536</v>
      </c>
      <c r="G41" s="324">
        <v>45566</v>
      </c>
      <c r="H41" s="206" t="s">
        <v>99</v>
      </c>
      <c r="I41" s="311">
        <v>15</v>
      </c>
      <c r="J41" s="312">
        <f t="shared" si="1"/>
        <v>401.78399999999999</v>
      </c>
      <c r="K41" s="313">
        <v>6026.76</v>
      </c>
      <c r="L41" s="314">
        <v>0</v>
      </c>
      <c r="M41" s="315">
        <f>SUM(K41:L41)</f>
        <v>6026.76</v>
      </c>
      <c r="N41" s="316">
        <f>IF(K41/15&lt;=SMG,0,L41/2)</f>
        <v>0</v>
      </c>
      <c r="O41" s="316">
        <f t="shared" ref="O41" si="90">K41+N41</f>
        <v>6026.76</v>
      </c>
      <c r="P41" s="316">
        <f>VLOOKUP(O41,Tarifa1,1)</f>
        <v>5490.76</v>
      </c>
      <c r="Q41" s="316">
        <f t="shared" ref="Q41" si="91">O41-P41</f>
        <v>536</v>
      </c>
      <c r="R41" s="317">
        <f>VLOOKUP(O41,Tarifa1,3)</f>
        <v>0.16</v>
      </c>
      <c r="S41" s="316">
        <f t="shared" ref="S41" si="92">Q41*R41</f>
        <v>85.76</v>
      </c>
      <c r="T41" s="318">
        <f>VLOOKUP(O41,Tarifa1,2)</f>
        <v>441</v>
      </c>
      <c r="U41" s="316">
        <f t="shared" ref="U41" si="93">S41+T41</f>
        <v>526.76</v>
      </c>
      <c r="V41" s="316">
        <f>VLOOKUP(O41,Credito1,2)</f>
        <v>0</v>
      </c>
      <c r="W41" s="316">
        <f t="shared" ref="W41" si="94">ROUND(U41-V41,2)</f>
        <v>526.76</v>
      </c>
      <c r="X41" s="315">
        <f>-IF(W41&gt;0,0,0)</f>
        <v>0</v>
      </c>
      <c r="Y41" s="315">
        <f>IF(K41/15&lt;=SMG,0,IF(W41&lt;0,0,W41))</f>
        <v>526.76</v>
      </c>
      <c r="Z41" s="319">
        <v>0</v>
      </c>
      <c r="AA41" s="315">
        <f>SUM(Y41:Z41)</f>
        <v>526.76</v>
      </c>
      <c r="AB41" s="315">
        <f>M41+X41-AA41</f>
        <v>5500</v>
      </c>
      <c r="AC41" s="113"/>
      <c r="AG41" s="238"/>
    </row>
    <row r="42" spans="1:33" s="114" customFormat="1" ht="57.75" customHeight="1" x14ac:dyDescent="0.3">
      <c r="A42" s="214"/>
      <c r="B42" s="186" t="s">
        <v>100</v>
      </c>
      <c r="C42" s="186" t="s">
        <v>128</v>
      </c>
      <c r="D42" s="366" t="s">
        <v>149</v>
      </c>
      <c r="E42" s="366" t="s">
        <v>101</v>
      </c>
      <c r="F42" s="366" t="s">
        <v>247</v>
      </c>
      <c r="G42" s="365" t="s">
        <v>322</v>
      </c>
      <c r="H42" s="366" t="s">
        <v>61</v>
      </c>
      <c r="I42" s="366"/>
      <c r="J42" s="366"/>
      <c r="K42" s="367">
        <f>SUM(K45)</f>
        <v>4958.5</v>
      </c>
      <c r="L42" s="367">
        <f>SUM(L45)</f>
        <v>0</v>
      </c>
      <c r="M42" s="367">
        <f>SUM(M45)</f>
        <v>4958.5</v>
      </c>
      <c r="N42" s="366"/>
      <c r="O42" s="366"/>
      <c r="P42" s="366"/>
      <c r="Q42" s="366"/>
      <c r="R42" s="366"/>
      <c r="S42" s="366"/>
      <c r="T42" s="368"/>
      <c r="U42" s="366"/>
      <c r="V42" s="366"/>
      <c r="W42" s="366"/>
      <c r="X42" s="367">
        <f>SUM(X45)</f>
        <v>0</v>
      </c>
      <c r="Y42" s="367">
        <f>SUM(Y45)</f>
        <v>383</v>
      </c>
      <c r="Z42" s="367">
        <f>SUM(Z45)</f>
        <v>0</v>
      </c>
      <c r="AA42" s="367">
        <f>SUM(AA45)</f>
        <v>383</v>
      </c>
      <c r="AB42" s="367">
        <f>SUM(AB45)</f>
        <v>4575.5</v>
      </c>
      <c r="AC42" s="237"/>
    </row>
    <row r="43" spans="1:33" s="114" customFormat="1" ht="145.5" customHeight="1" x14ac:dyDescent="0.3">
      <c r="A43" s="214"/>
      <c r="B43" s="282" t="s">
        <v>171</v>
      </c>
      <c r="C43" s="330" t="s">
        <v>121</v>
      </c>
      <c r="D43" s="206" t="s">
        <v>151</v>
      </c>
      <c r="E43" s="159" t="s">
        <v>165</v>
      </c>
      <c r="F43" s="159" t="s">
        <v>263</v>
      </c>
      <c r="G43" s="331">
        <v>43101</v>
      </c>
      <c r="H43" s="206" t="s">
        <v>532</v>
      </c>
      <c r="I43" s="311">
        <v>15</v>
      </c>
      <c r="J43" s="312">
        <f>K43/I43</f>
        <v>481.56666666666666</v>
      </c>
      <c r="K43" s="313">
        <v>7223.5</v>
      </c>
      <c r="L43" s="314">
        <v>0</v>
      </c>
      <c r="M43" s="315">
        <f>SUM(K43:L43)</f>
        <v>7223.5</v>
      </c>
      <c r="N43" s="316">
        <f>IF(K43/15&lt;=SMG,0,L43/2)</f>
        <v>0</v>
      </c>
      <c r="O43" s="316">
        <f t="shared" ref="O43:O44" si="95">K43+N43</f>
        <v>7223.5</v>
      </c>
      <c r="P43" s="316">
        <f>VLOOKUP(O43,Tarifa1,1)</f>
        <v>6382.81</v>
      </c>
      <c r="Q43" s="316">
        <f t="shared" ref="Q43:Q44" si="96">O43-P43</f>
        <v>840.6899999999996</v>
      </c>
      <c r="R43" s="317">
        <f>VLOOKUP(O43,Tarifa1,3)</f>
        <v>0.1792</v>
      </c>
      <c r="S43" s="316">
        <f t="shared" ref="S43:S44" si="97">Q43*R43</f>
        <v>150.65164799999994</v>
      </c>
      <c r="T43" s="318">
        <f>VLOOKUP(O43,Tarifa1,2)</f>
        <v>583.65</v>
      </c>
      <c r="U43" s="316">
        <f t="shared" ref="U43:U44" si="98">S43+T43</f>
        <v>734.30164799999989</v>
      </c>
      <c r="V43" s="316">
        <f>VLOOKUP(O43,Credito1,2)</f>
        <v>0</v>
      </c>
      <c r="W43" s="316">
        <f t="shared" ref="W43:W44" si="99">ROUND(U43-V43,2)</f>
        <v>734.3</v>
      </c>
      <c r="X43" s="315">
        <f>-IF(W43&gt;0,0,0)</f>
        <v>0</v>
      </c>
      <c r="Y43" s="315">
        <f>IF(K43/15&lt;=SMG,0,IF(W43&lt;0,0,W43))</f>
        <v>734.3</v>
      </c>
      <c r="Z43" s="319">
        <v>0</v>
      </c>
      <c r="AA43" s="315">
        <f>SUM(Y43:Z43)</f>
        <v>734.3</v>
      </c>
      <c r="AB43" s="315">
        <f>M43+X43-AA43</f>
        <v>6489.2</v>
      </c>
      <c r="AC43" s="184"/>
    </row>
    <row r="44" spans="1:33" s="114" customFormat="1" ht="145.5" customHeight="1" x14ac:dyDescent="0.3">
      <c r="A44" s="214"/>
      <c r="B44" s="282" t="s">
        <v>539</v>
      </c>
      <c r="C44" s="330" t="s">
        <v>121</v>
      </c>
      <c r="D44" s="206" t="s">
        <v>538</v>
      </c>
      <c r="E44" s="159" t="s">
        <v>540</v>
      </c>
      <c r="F44" s="159" t="s">
        <v>541</v>
      </c>
      <c r="G44" s="331">
        <v>45292</v>
      </c>
      <c r="H44" s="206" t="s">
        <v>152</v>
      </c>
      <c r="I44" s="311">
        <v>15</v>
      </c>
      <c r="J44" s="312">
        <f>K44/I44</f>
        <v>481.56666666666666</v>
      </c>
      <c r="K44" s="313">
        <v>7223.5</v>
      </c>
      <c r="L44" s="314">
        <v>0</v>
      </c>
      <c r="M44" s="315">
        <f>SUM(K44:L44)</f>
        <v>7223.5</v>
      </c>
      <c r="N44" s="316">
        <f>IF(K44/15&lt;=SMG,0,L44/2)</f>
        <v>0</v>
      </c>
      <c r="O44" s="316">
        <f t="shared" si="95"/>
        <v>7223.5</v>
      </c>
      <c r="P44" s="316">
        <f>VLOOKUP(O44,Tarifa1,1)</f>
        <v>6382.81</v>
      </c>
      <c r="Q44" s="316">
        <f t="shared" si="96"/>
        <v>840.6899999999996</v>
      </c>
      <c r="R44" s="317">
        <f>VLOOKUP(O44,Tarifa1,3)</f>
        <v>0.1792</v>
      </c>
      <c r="S44" s="316">
        <f t="shared" si="97"/>
        <v>150.65164799999994</v>
      </c>
      <c r="T44" s="318">
        <f>VLOOKUP(O44,Tarifa1,2)</f>
        <v>583.65</v>
      </c>
      <c r="U44" s="316">
        <f t="shared" si="98"/>
        <v>734.30164799999989</v>
      </c>
      <c r="V44" s="316">
        <f>VLOOKUP(O44,Credito1,2)</f>
        <v>0</v>
      </c>
      <c r="W44" s="316">
        <f t="shared" si="99"/>
        <v>734.3</v>
      </c>
      <c r="X44" s="315">
        <f>-IF(W44&gt;0,0,0)</f>
        <v>0</v>
      </c>
      <c r="Y44" s="315">
        <f>IF(K44/15&lt;=SMG,0,IF(W44&lt;0,0,W44))</f>
        <v>734.3</v>
      </c>
      <c r="Z44" s="319">
        <v>0</v>
      </c>
      <c r="AA44" s="315">
        <f>SUM(Y44:Z44)</f>
        <v>734.3</v>
      </c>
      <c r="AB44" s="315">
        <f>M44+X44-AA44</f>
        <v>6489.2</v>
      </c>
      <c r="AC44" s="153"/>
    </row>
    <row r="45" spans="1:33" s="114" customFormat="1" ht="145.5" customHeight="1" x14ac:dyDescent="0.3">
      <c r="A45" s="214"/>
      <c r="B45" s="282" t="s">
        <v>168</v>
      </c>
      <c r="C45" s="330" t="s">
        <v>121</v>
      </c>
      <c r="D45" s="251" t="s">
        <v>143</v>
      </c>
      <c r="E45" s="155" t="s">
        <v>162</v>
      </c>
      <c r="F45" s="187" t="s">
        <v>259</v>
      </c>
      <c r="G45" s="324">
        <v>43374</v>
      </c>
      <c r="H45" s="206" t="s">
        <v>533</v>
      </c>
      <c r="I45" s="311">
        <v>15</v>
      </c>
      <c r="J45" s="312">
        <v>341.11</v>
      </c>
      <c r="K45" s="313">
        <v>4958.5</v>
      </c>
      <c r="L45" s="314">
        <v>0</v>
      </c>
      <c r="M45" s="315">
        <f>SUM(K45:L45)</f>
        <v>4958.5</v>
      </c>
      <c r="N45" s="316">
        <f>IF(K45/15&lt;=SMG,0,L45/2)</f>
        <v>0</v>
      </c>
      <c r="O45" s="316">
        <f>K45+N45</f>
        <v>4958.5</v>
      </c>
      <c r="P45" s="316">
        <f>VLOOKUP(O45,Tarifa1,1)</f>
        <v>3124.36</v>
      </c>
      <c r="Q45" s="316">
        <f>O45-P45</f>
        <v>1834.1399999999999</v>
      </c>
      <c r="R45" s="317">
        <f>VLOOKUP(O45,Tarifa1,3)</f>
        <v>0.10879999999999999</v>
      </c>
      <c r="S45" s="316">
        <f>Q45*R45</f>
        <v>199.55443199999996</v>
      </c>
      <c r="T45" s="318">
        <f>VLOOKUP(O45,Tarifa1,2)</f>
        <v>183.45</v>
      </c>
      <c r="U45" s="316">
        <f>S45+T45</f>
        <v>383.00443199999995</v>
      </c>
      <c r="V45" s="316">
        <f>VLOOKUP(O45,Credito1,2)</f>
        <v>0</v>
      </c>
      <c r="W45" s="316">
        <f>ROUND(U45-V45,2)</f>
        <v>383</v>
      </c>
      <c r="X45" s="315">
        <f>-IF(W45&gt;0,0,0)</f>
        <v>0</v>
      </c>
      <c r="Y45" s="315">
        <f>IF(K45/15&lt;=SMG,0,IF(W45&lt;0,0,W45))</f>
        <v>383</v>
      </c>
      <c r="Z45" s="319">
        <v>0</v>
      </c>
      <c r="AA45" s="315">
        <f>SUM(Y45:Z45)</f>
        <v>383</v>
      </c>
      <c r="AB45" s="315">
        <f>M45+X45-AA45</f>
        <v>4575.5</v>
      </c>
      <c r="AC45" s="113"/>
    </row>
    <row r="46" spans="1:33" s="114" customFormat="1" ht="18" x14ac:dyDescent="0.25">
      <c r="A46" s="214"/>
      <c r="B46" s="214"/>
      <c r="C46" s="214"/>
      <c r="D46" s="214"/>
      <c r="E46" s="214"/>
      <c r="F46" s="214"/>
      <c r="G46" s="214"/>
      <c r="H46" s="214"/>
      <c r="I46" s="214"/>
      <c r="J46" s="214"/>
      <c r="K46" s="239"/>
      <c r="L46" s="239"/>
      <c r="M46" s="239"/>
      <c r="N46" s="240"/>
      <c r="O46" s="240"/>
      <c r="P46" s="240"/>
      <c r="Q46" s="240"/>
      <c r="R46" s="240"/>
      <c r="S46" s="240"/>
      <c r="T46" s="240"/>
      <c r="U46" s="240"/>
      <c r="V46" s="240"/>
      <c r="W46" s="240"/>
      <c r="X46" s="240"/>
      <c r="Y46" s="240"/>
      <c r="Z46" s="240"/>
      <c r="AA46" s="240"/>
      <c r="AB46" s="240"/>
      <c r="AC46" s="113"/>
    </row>
    <row r="47" spans="1:33" s="114" customFormat="1" ht="39" customHeight="1" x14ac:dyDescent="0.3">
      <c r="A47" s="444" t="s">
        <v>44</v>
      </c>
      <c r="B47" s="444"/>
      <c r="C47" s="444"/>
      <c r="D47" s="444"/>
      <c r="E47" s="444"/>
      <c r="F47" s="444"/>
      <c r="G47" s="444"/>
      <c r="H47" s="444"/>
      <c r="I47" s="444"/>
      <c r="J47" s="444"/>
      <c r="K47" s="374">
        <f>K8+K11+K15+K24+K29+K33+K40+K42</f>
        <v>105735.18</v>
      </c>
      <c r="L47" s="374">
        <f>L8+L11+L15+L24+L29+L33+L40+L42</f>
        <v>0</v>
      </c>
      <c r="M47" s="374">
        <f>M8+M11+M15+M24+M29+M33+M40+M42</f>
        <v>105735.18</v>
      </c>
      <c r="N47" s="375">
        <f t="shared" ref="N47:W47" si="100">SUM(N11:N46)</f>
        <v>0</v>
      </c>
      <c r="O47" s="375">
        <f t="shared" si="100"/>
        <v>135662.68</v>
      </c>
      <c r="P47" s="375">
        <f t="shared" si="100"/>
        <v>117973.56999999999</v>
      </c>
      <c r="Q47" s="375">
        <f t="shared" si="100"/>
        <v>17689.109999999993</v>
      </c>
      <c r="R47" s="375">
        <f t="shared" si="100"/>
        <v>3.4935999999999998</v>
      </c>
      <c r="S47" s="375">
        <f t="shared" si="100"/>
        <v>2528.6052719999998</v>
      </c>
      <c r="T47" s="375">
        <f t="shared" si="100"/>
        <v>10338.75</v>
      </c>
      <c r="U47" s="375">
        <f t="shared" si="100"/>
        <v>12867.355271999999</v>
      </c>
      <c r="V47" s="375">
        <f t="shared" si="100"/>
        <v>975</v>
      </c>
      <c r="W47" s="375">
        <f t="shared" si="100"/>
        <v>11892.339999999998</v>
      </c>
      <c r="X47" s="374">
        <f>X8+X11+X15+X24+X29+X33+X40+X42</f>
        <v>0</v>
      </c>
      <c r="Y47" s="374">
        <f>Y8+Y11+Y15+Y24+Y29+Y33+Y40+Y42</f>
        <v>8704.57</v>
      </c>
      <c r="Z47" s="374">
        <f>Z8+Z11+Z15+Z24+Z29+Z33+Z40+Z42</f>
        <v>0</v>
      </c>
      <c r="AA47" s="374">
        <f>AA8+AA11+AA15+AA24+AA29+AA33+AA40+AA42</f>
        <v>8704.57</v>
      </c>
      <c r="AB47" s="374">
        <f>AB8+AB11+AB15+AB24+AB29+AB33+AB40+AB42</f>
        <v>97030.610000000015</v>
      </c>
      <c r="AC47" s="113"/>
    </row>
    <row r="48" spans="1:33" s="53" customFormat="1" ht="12" x14ac:dyDescent="0.2"/>
    <row r="49" spans="4:28" s="53" customFormat="1" ht="12" x14ac:dyDescent="0.2"/>
    <row r="50" spans="4:28" s="53" customFormat="1" ht="12" x14ac:dyDescent="0.2"/>
    <row r="51" spans="4:28" s="53" customFormat="1" ht="12" x14ac:dyDescent="0.2"/>
    <row r="52" spans="4:28" s="53" customFormat="1" ht="12" x14ac:dyDescent="0.2"/>
    <row r="53" spans="4:28" s="53" customFormat="1" ht="12" x14ac:dyDescent="0.2"/>
    <row r="54" spans="4:28" s="53" customFormat="1" ht="12" x14ac:dyDescent="0.2"/>
    <row r="55" spans="4:28" s="53" customFormat="1" ht="17.25" customHeight="1" x14ac:dyDescent="0.2"/>
    <row r="56" spans="4:28" s="53" customFormat="1" ht="12" x14ac:dyDescent="0.2"/>
    <row r="57" spans="4:28" s="53" customFormat="1" ht="12" x14ac:dyDescent="0.2"/>
    <row r="58" spans="4:28" s="53" customFormat="1" ht="12" x14ac:dyDescent="0.2"/>
    <row r="59" spans="4:28" s="53" customFormat="1" ht="13.5" customHeight="1" x14ac:dyDescent="0.2"/>
    <row r="60" spans="4:28" s="53" customFormat="1" ht="12" x14ac:dyDescent="0.2"/>
    <row r="61" spans="4:28" s="53" customFormat="1" ht="12" x14ac:dyDescent="0.2"/>
    <row r="62" spans="4:28" s="53" customFormat="1" ht="12" x14ac:dyDescent="0.2"/>
    <row r="63" spans="4:28" s="53" customFormat="1" x14ac:dyDescent="0.2"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4:28" s="53" customFormat="1" ht="18" x14ac:dyDescent="0.25">
      <c r="D64" s="334" t="s">
        <v>598</v>
      </c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334" t="s">
        <v>155</v>
      </c>
      <c r="Z64" s="114"/>
      <c r="AA64" s="114"/>
      <c r="AB64" s="114"/>
    </row>
    <row r="65" spans="4:39" s="53" customFormat="1" ht="18" x14ac:dyDescent="0.25">
      <c r="D65" s="334" t="s">
        <v>624</v>
      </c>
      <c r="E65" s="334"/>
      <c r="F65" s="334"/>
      <c r="G65" s="334"/>
      <c r="H65" s="334"/>
      <c r="I65" s="334"/>
      <c r="J65" s="334"/>
      <c r="K65" s="334"/>
      <c r="L65" s="33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334" t="s">
        <v>236</v>
      </c>
      <c r="Z65" s="114"/>
      <c r="AA65" s="334"/>
      <c r="AB65" s="334"/>
      <c r="AC65" s="62"/>
      <c r="AD65" s="62"/>
      <c r="AE65" s="62"/>
      <c r="AF65" s="62"/>
      <c r="AG65" s="62"/>
      <c r="AH65" s="62"/>
      <c r="AI65" s="62"/>
      <c r="AL65" s="62"/>
      <c r="AM65" s="62"/>
    </row>
    <row r="66" spans="4:39" s="53" customFormat="1" ht="18" x14ac:dyDescent="0.25"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</row>
    <row r="67" spans="4:39" s="53" customFormat="1" ht="18" x14ac:dyDescent="0.25"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</row>
    <row r="68" spans="4:39" s="53" customFormat="1" ht="12" x14ac:dyDescent="0.2"/>
  </sheetData>
  <mergeCells count="14">
    <mergeCell ref="B22:AC22"/>
    <mergeCell ref="A47:J47"/>
    <mergeCell ref="A1:AC1"/>
    <mergeCell ref="A2:AC2"/>
    <mergeCell ref="A3:AC3"/>
    <mergeCell ref="K5:M5"/>
    <mergeCell ref="P5:U5"/>
    <mergeCell ref="Y5:AA5"/>
    <mergeCell ref="C5:C7"/>
    <mergeCell ref="B36:AC36"/>
    <mergeCell ref="B37:AC37"/>
    <mergeCell ref="B38:AC38"/>
    <mergeCell ref="B20:AC20"/>
    <mergeCell ref="B21:AC21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45:E45 D12:G14" xr:uid="{00000000-0002-0000-0500-000000000000}"/>
  </dataValidations>
  <pageMargins left="0.27559055118110237" right="0.19685039370078741" top="0.47244094488188981" bottom="0.15748031496062992" header="0.31496062992125984" footer="0.31496062992125984"/>
  <pageSetup scale="38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8"/>
  <sheetViews>
    <sheetView topLeftCell="B1" zoomScale="57" zoomScaleNormal="57" workbookViewId="0">
      <selection activeCell="B10" sqref="A10:XFD12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22.7109375" customWidth="1"/>
    <col min="8" max="8" width="23.42578125" customWidth="1"/>
    <col min="9" max="9" width="6.5703125" hidden="1" customWidth="1"/>
    <col min="10" max="10" width="10" hidden="1" customWidth="1"/>
    <col min="11" max="11" width="16.8554687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2.28515625" hidden="1" customWidth="1"/>
    <col min="18" max="19" width="13.140625" hidden="1" customWidth="1"/>
    <col min="20" max="20" width="12.85546875" hidden="1" customWidth="1"/>
    <col min="21" max="21" width="12.14062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5.85546875" customWidth="1"/>
    <col min="26" max="26" width="14.5703125" customWidth="1"/>
    <col min="27" max="27" width="14.28515625" customWidth="1"/>
    <col min="28" max="28" width="18.140625" customWidth="1"/>
    <col min="29" max="29" width="64.140625" customWidth="1"/>
  </cols>
  <sheetData>
    <row r="1" spans="1:29" ht="18" x14ac:dyDescent="0.25">
      <c r="A1" s="421" t="s">
        <v>78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1"/>
    </row>
    <row r="2" spans="1:29" ht="18" x14ac:dyDescent="0.25">
      <c r="A2" s="421" t="s">
        <v>64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X2" s="421"/>
      <c r="Y2" s="421"/>
      <c r="Z2" s="421"/>
      <c r="AA2" s="421"/>
      <c r="AB2" s="421"/>
      <c r="AC2" s="421"/>
    </row>
    <row r="3" spans="1:29" ht="19.5" x14ac:dyDescent="0.25">
      <c r="A3" s="410" t="str">
        <f>PRESIDENCIA!A3</f>
        <v>SUELDO  DEL 16 AL 30 DE NOVIEMBRE DE 2024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0"/>
      <c r="Z3" s="410"/>
      <c r="AA3" s="410"/>
      <c r="AB3" s="410"/>
      <c r="AC3" s="410"/>
    </row>
    <row r="4" spans="1:29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29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34" t="s">
        <v>1</v>
      </c>
      <c r="L6" s="435"/>
      <c r="M6" s="436"/>
      <c r="N6" s="51" t="s">
        <v>25</v>
      </c>
      <c r="O6" s="52"/>
      <c r="P6" s="437" t="s">
        <v>8</v>
      </c>
      <c r="Q6" s="438"/>
      <c r="R6" s="438"/>
      <c r="S6" s="438"/>
      <c r="T6" s="438"/>
      <c r="U6" s="439"/>
      <c r="V6" s="51" t="s">
        <v>29</v>
      </c>
      <c r="W6" s="51" t="s">
        <v>9</v>
      </c>
      <c r="X6" s="50" t="s">
        <v>52</v>
      </c>
      <c r="Y6" s="440" t="s">
        <v>2</v>
      </c>
      <c r="Z6" s="441"/>
      <c r="AA6" s="442"/>
      <c r="AB6" s="50" t="s">
        <v>0</v>
      </c>
      <c r="AC6" s="34"/>
    </row>
    <row r="7" spans="1:29" ht="24" x14ac:dyDescent="0.2">
      <c r="A7" s="26" t="s">
        <v>20</v>
      </c>
      <c r="B7" s="48" t="s">
        <v>100</v>
      </c>
      <c r="C7" s="48" t="s">
        <v>122</v>
      </c>
      <c r="D7" s="54" t="s">
        <v>21</v>
      </c>
      <c r="E7" s="26"/>
      <c r="F7" s="26"/>
      <c r="G7" s="26"/>
      <c r="H7" s="26"/>
      <c r="I7" s="27" t="s">
        <v>23</v>
      </c>
      <c r="J7" s="26" t="s">
        <v>24</v>
      </c>
      <c r="K7" s="50" t="s">
        <v>5</v>
      </c>
      <c r="L7" s="50" t="s">
        <v>58</v>
      </c>
      <c r="M7" s="50" t="s">
        <v>27</v>
      </c>
      <c r="N7" s="56" t="s">
        <v>26</v>
      </c>
      <c r="O7" s="52" t="s">
        <v>31</v>
      </c>
      <c r="P7" s="52" t="s">
        <v>11</v>
      </c>
      <c r="Q7" s="52" t="s">
        <v>33</v>
      </c>
      <c r="R7" s="52" t="s">
        <v>35</v>
      </c>
      <c r="S7" s="52" t="s">
        <v>36</v>
      </c>
      <c r="T7" s="52" t="s">
        <v>13</v>
      </c>
      <c r="U7" s="52" t="s">
        <v>9</v>
      </c>
      <c r="V7" s="56" t="s">
        <v>39</v>
      </c>
      <c r="W7" s="56" t="s">
        <v>40</v>
      </c>
      <c r="X7" s="54" t="s">
        <v>30</v>
      </c>
      <c r="Y7" s="50" t="s">
        <v>312</v>
      </c>
      <c r="Z7" s="50" t="s">
        <v>56</v>
      </c>
      <c r="AA7" s="50" t="s">
        <v>6</v>
      </c>
      <c r="AB7" s="54" t="s">
        <v>3</v>
      </c>
      <c r="AC7" s="36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3" t="s">
        <v>46</v>
      </c>
      <c r="L8" s="63" t="s">
        <v>59</v>
      </c>
      <c r="M8" s="63" t="s">
        <v>28</v>
      </c>
      <c r="N8" s="64" t="s">
        <v>42</v>
      </c>
      <c r="O8" s="51" t="s">
        <v>32</v>
      </c>
      <c r="P8" s="51" t="s">
        <v>12</v>
      </c>
      <c r="Q8" s="51" t="s">
        <v>34</v>
      </c>
      <c r="R8" s="51" t="s">
        <v>34</v>
      </c>
      <c r="S8" s="51" t="s">
        <v>37</v>
      </c>
      <c r="T8" s="51" t="s">
        <v>14</v>
      </c>
      <c r="U8" s="51" t="s">
        <v>38</v>
      </c>
      <c r="V8" s="56" t="s">
        <v>18</v>
      </c>
      <c r="W8" s="57" t="s">
        <v>129</v>
      </c>
      <c r="X8" s="63" t="s">
        <v>51</v>
      </c>
      <c r="Y8" s="63"/>
      <c r="Z8" s="63"/>
      <c r="AA8" s="63" t="s">
        <v>43</v>
      </c>
      <c r="AB8" s="63" t="s">
        <v>4</v>
      </c>
      <c r="AC8" s="35"/>
    </row>
    <row r="9" spans="1:29" s="4" customFormat="1" ht="54.75" customHeight="1" x14ac:dyDescent="0.25">
      <c r="A9" s="134"/>
      <c r="B9" s="134"/>
      <c r="C9" s="134"/>
      <c r="D9" s="133" t="s">
        <v>116</v>
      </c>
      <c r="E9" s="134" t="s">
        <v>101</v>
      </c>
      <c r="F9" s="134" t="s">
        <v>247</v>
      </c>
      <c r="G9" s="132" t="s">
        <v>322</v>
      </c>
      <c r="H9" s="134" t="s">
        <v>61</v>
      </c>
      <c r="I9" s="134"/>
      <c r="J9" s="134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383"/>
      <c r="X9" s="65"/>
      <c r="Y9" s="65"/>
      <c r="Z9" s="65"/>
      <c r="AA9" s="65"/>
      <c r="AB9" s="65"/>
      <c r="AC9" s="104"/>
    </row>
    <row r="10" spans="1:29" s="4" customFormat="1" ht="201" customHeight="1" x14ac:dyDescent="0.3">
      <c r="A10" s="112" t="s">
        <v>84</v>
      </c>
      <c r="B10" s="330" t="s">
        <v>111</v>
      </c>
      <c r="C10" s="330" t="s">
        <v>121</v>
      </c>
      <c r="D10" s="206" t="s">
        <v>98</v>
      </c>
      <c r="E10" s="143" t="s">
        <v>112</v>
      </c>
      <c r="F10" s="143" t="s">
        <v>253</v>
      </c>
      <c r="G10" s="384">
        <v>42278</v>
      </c>
      <c r="H10" s="206" t="s">
        <v>222</v>
      </c>
      <c r="I10" s="311">
        <v>15</v>
      </c>
      <c r="J10" s="312">
        <f>K10/I10</f>
        <v>1176.7</v>
      </c>
      <c r="K10" s="313">
        <v>17650.5</v>
      </c>
      <c r="L10" s="314">
        <v>0</v>
      </c>
      <c r="M10" s="315">
        <f>SUM(K10:L10)</f>
        <v>17650.5</v>
      </c>
      <c r="N10" s="316">
        <f>IF(K10/15&lt;=SMG,0,L10/2)</f>
        <v>0</v>
      </c>
      <c r="O10" s="316">
        <f>K10+N10</f>
        <v>17650.5</v>
      </c>
      <c r="P10" s="316">
        <f>VLOOKUP(O10,Tarifa1,1)</f>
        <v>15412.81</v>
      </c>
      <c r="Q10" s="316">
        <f>O10-P10</f>
        <v>2237.6900000000005</v>
      </c>
      <c r="R10" s="317">
        <f>VLOOKUP(O10,Tarifa1,3)</f>
        <v>0.23519999999999999</v>
      </c>
      <c r="S10" s="316">
        <f>Q10*R10</f>
        <v>526.30468800000006</v>
      </c>
      <c r="T10" s="318">
        <f>VLOOKUP(O10,Tarifa1,2)</f>
        <v>2469.15</v>
      </c>
      <c r="U10" s="316">
        <f>S10+T10</f>
        <v>2995.4546880000003</v>
      </c>
      <c r="V10" s="316">
        <f>VLOOKUP(O10,Credito1,2)</f>
        <v>0</v>
      </c>
      <c r="W10" s="316">
        <f>ROUND(U10-V10,2)</f>
        <v>2995.45</v>
      </c>
      <c r="X10" s="315">
        <f>-IF(W10&gt;0,0,0)</f>
        <v>0</v>
      </c>
      <c r="Y10" s="315">
        <f>IF(K10/15&lt;=SMG,0,IF(W10&lt;0,0,W10))</f>
        <v>2995.45</v>
      </c>
      <c r="Z10" s="319">
        <v>0</v>
      </c>
      <c r="AA10" s="315">
        <f>SUM(Y10:Z10)</f>
        <v>2995.45</v>
      </c>
      <c r="AB10" s="315">
        <f>M10+X10-AA10</f>
        <v>14655.05</v>
      </c>
      <c r="AC10" s="91"/>
    </row>
    <row r="11" spans="1:29" s="4" customFormat="1" ht="201" customHeight="1" x14ac:dyDescent="0.3">
      <c r="A11" s="112" t="s">
        <v>86</v>
      </c>
      <c r="B11" s="330" t="s">
        <v>104</v>
      </c>
      <c r="C11" s="330" t="s">
        <v>121</v>
      </c>
      <c r="D11" s="206" t="s">
        <v>73</v>
      </c>
      <c r="E11" s="143" t="s">
        <v>113</v>
      </c>
      <c r="F11" s="143" t="s">
        <v>248</v>
      </c>
      <c r="G11" s="384">
        <v>39462</v>
      </c>
      <c r="H11" s="206" t="s">
        <v>223</v>
      </c>
      <c r="I11" s="311">
        <v>15</v>
      </c>
      <c r="J11" s="312">
        <f>K11/I11</f>
        <v>753.86666666666667</v>
      </c>
      <c r="K11" s="313">
        <v>11308</v>
      </c>
      <c r="L11" s="314">
        <v>0</v>
      </c>
      <c r="M11" s="315">
        <f>K11</f>
        <v>11308</v>
      </c>
      <c r="N11" s="316">
        <f>IF(K11/15&lt;=SMG,0,L11/2)</f>
        <v>0</v>
      </c>
      <c r="O11" s="316">
        <f t="shared" ref="O11:O12" si="0">K11+N11</f>
        <v>11308</v>
      </c>
      <c r="P11" s="316">
        <f>VLOOKUP(O11,Tarifa1,1)</f>
        <v>7641.91</v>
      </c>
      <c r="Q11" s="316">
        <f t="shared" ref="Q11:Q12" si="1">O11-P11</f>
        <v>3666.09</v>
      </c>
      <c r="R11" s="317">
        <f>VLOOKUP(O11,Tarifa1,3)</f>
        <v>0.21360000000000001</v>
      </c>
      <c r="S11" s="316">
        <f t="shared" ref="S11:S12" si="2">Q11*R11</f>
        <v>783.0768240000001</v>
      </c>
      <c r="T11" s="318">
        <f>VLOOKUP(O11,Tarifa1,2)</f>
        <v>809.25</v>
      </c>
      <c r="U11" s="316">
        <f t="shared" ref="U11:U12" si="3">S11+T11</f>
        <v>1592.3268240000002</v>
      </c>
      <c r="V11" s="316">
        <f>VLOOKUP(O11,Credito1,2)</f>
        <v>0</v>
      </c>
      <c r="W11" s="316">
        <f t="shared" ref="W11:W12" si="4">ROUND(U11-V11,2)</f>
        <v>1592.33</v>
      </c>
      <c r="X11" s="315">
        <f>-IF(W11&gt;0,0,0)</f>
        <v>0</v>
      </c>
      <c r="Y11" s="315">
        <f>IF(K11/15&lt;=SMG,0,IF(W11&lt;0,0,W11))</f>
        <v>1592.33</v>
      </c>
      <c r="Z11" s="319">
        <v>0</v>
      </c>
      <c r="AA11" s="315">
        <f>SUM(Y11:Z11)</f>
        <v>1592.33</v>
      </c>
      <c r="AB11" s="315">
        <f>M11+X11-AA11</f>
        <v>9715.67</v>
      </c>
      <c r="AC11" s="91"/>
    </row>
    <row r="12" spans="1:29" s="4" customFormat="1" ht="201" customHeight="1" x14ac:dyDescent="0.3">
      <c r="A12" s="112" t="s">
        <v>87</v>
      </c>
      <c r="B12" s="330" t="s">
        <v>114</v>
      </c>
      <c r="C12" s="330" t="s">
        <v>121</v>
      </c>
      <c r="D12" s="206" t="s">
        <v>96</v>
      </c>
      <c r="E12" s="143" t="s">
        <v>115</v>
      </c>
      <c r="F12" s="143" t="s">
        <v>254</v>
      </c>
      <c r="G12" s="384">
        <v>42278</v>
      </c>
      <c r="H12" s="206" t="s">
        <v>223</v>
      </c>
      <c r="I12" s="311">
        <v>15</v>
      </c>
      <c r="J12" s="312">
        <f>K12/I12</f>
        <v>457.53333333333336</v>
      </c>
      <c r="K12" s="313">
        <v>6863</v>
      </c>
      <c r="L12" s="314">
        <v>0</v>
      </c>
      <c r="M12" s="315">
        <f>SUM(K12:L12)</f>
        <v>6863</v>
      </c>
      <c r="N12" s="316">
        <f>IF(K12/15&lt;=SMG,0,L12/2)</f>
        <v>0</v>
      </c>
      <c r="O12" s="316">
        <f t="shared" si="0"/>
        <v>6863</v>
      </c>
      <c r="P12" s="316">
        <f>VLOOKUP(O12,Tarifa1,1)</f>
        <v>6382.81</v>
      </c>
      <c r="Q12" s="316">
        <f t="shared" si="1"/>
        <v>480.1899999999996</v>
      </c>
      <c r="R12" s="317">
        <f>VLOOKUP(O12,Tarifa1,3)</f>
        <v>0.1792</v>
      </c>
      <c r="S12" s="316">
        <f t="shared" si="2"/>
        <v>86.050047999999933</v>
      </c>
      <c r="T12" s="318">
        <f>VLOOKUP(O12,Tarifa1,2)</f>
        <v>583.65</v>
      </c>
      <c r="U12" s="316">
        <f t="shared" si="3"/>
        <v>669.70004799999992</v>
      </c>
      <c r="V12" s="316">
        <f>VLOOKUP(O12,Credito1,2)</f>
        <v>0</v>
      </c>
      <c r="W12" s="316">
        <f t="shared" si="4"/>
        <v>669.7</v>
      </c>
      <c r="X12" s="315">
        <f>-IF(W12&gt;0,0,0)</f>
        <v>0</v>
      </c>
      <c r="Y12" s="315">
        <f>IF(K12/15&lt;=SMG,0,IF(W12&lt;0,0,W12))</f>
        <v>669.7</v>
      </c>
      <c r="Z12" s="319">
        <v>0</v>
      </c>
      <c r="AA12" s="315">
        <f>SUM(Y12:Z12)</f>
        <v>669.7</v>
      </c>
      <c r="AB12" s="315">
        <f>M12+X12-AA12</f>
        <v>6193.3</v>
      </c>
      <c r="AC12" s="91"/>
    </row>
    <row r="13" spans="1:29" s="4" customFormat="1" ht="36" customHeight="1" x14ac:dyDescent="0.25">
      <c r="A13" s="167"/>
      <c r="B13" s="167"/>
      <c r="C13" s="167"/>
      <c r="D13" s="167"/>
      <c r="E13" s="167"/>
      <c r="F13" s="167"/>
      <c r="G13" s="167"/>
      <c r="H13" s="167"/>
      <c r="I13" s="167"/>
      <c r="J13" s="167"/>
      <c r="K13" s="173"/>
      <c r="L13" s="173"/>
      <c r="M13" s="173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</row>
    <row r="14" spans="1:29" s="4" customFormat="1" ht="60" customHeight="1" thickBot="1" x14ac:dyDescent="0.35">
      <c r="A14" s="406" t="s">
        <v>44</v>
      </c>
      <c r="B14" s="407"/>
      <c r="C14" s="407"/>
      <c r="D14" s="407"/>
      <c r="E14" s="407"/>
      <c r="F14" s="407"/>
      <c r="G14" s="407"/>
      <c r="H14" s="407"/>
      <c r="I14" s="407"/>
      <c r="J14" s="408"/>
      <c r="K14" s="322">
        <f>SUM(K10:K13)</f>
        <v>35821.5</v>
      </c>
      <c r="L14" s="322">
        <f>SUM(L10:L13)</f>
        <v>0</v>
      </c>
      <c r="M14" s="322">
        <f>SUM(M10:M13)</f>
        <v>35821.5</v>
      </c>
      <c r="N14" s="323">
        <f t="shared" ref="N14:W14" si="5">SUM(N10:N13)</f>
        <v>0</v>
      </c>
      <c r="O14" s="323">
        <f t="shared" si="5"/>
        <v>35821.5</v>
      </c>
      <c r="P14" s="323">
        <f t="shared" si="5"/>
        <v>29437.530000000002</v>
      </c>
      <c r="Q14" s="323">
        <f t="shared" si="5"/>
        <v>6383.97</v>
      </c>
      <c r="R14" s="323">
        <f t="shared" si="5"/>
        <v>0.628</v>
      </c>
      <c r="S14" s="323">
        <f t="shared" si="5"/>
        <v>1395.43156</v>
      </c>
      <c r="T14" s="323">
        <f t="shared" si="5"/>
        <v>3862.05</v>
      </c>
      <c r="U14" s="323">
        <f t="shared" si="5"/>
        <v>5257.4815600000002</v>
      </c>
      <c r="V14" s="323">
        <f t="shared" si="5"/>
        <v>0</v>
      </c>
      <c r="W14" s="323">
        <f t="shared" si="5"/>
        <v>5257.48</v>
      </c>
      <c r="X14" s="322">
        <f>SUM(X10:X13)</f>
        <v>0</v>
      </c>
      <c r="Y14" s="322">
        <f>SUM(Y10:Y13)</f>
        <v>5257.48</v>
      </c>
      <c r="Z14" s="322">
        <f>SUM(Z10:Z13)</f>
        <v>0</v>
      </c>
      <c r="AA14" s="322">
        <f>SUM(AA10:AA13)</f>
        <v>5257.48</v>
      </c>
      <c r="AB14" s="322">
        <f>SUM(AB10:AB12)</f>
        <v>30564.02</v>
      </c>
    </row>
    <row r="15" spans="1:29" ht="35.1" customHeight="1" thickTop="1" x14ac:dyDescent="0.2"/>
    <row r="16" spans="1:29" ht="35.1" customHeight="1" x14ac:dyDescent="0.2"/>
    <row r="17" spans="4:41" ht="35.1" customHeight="1" x14ac:dyDescent="0.2"/>
    <row r="18" spans="4:41" ht="35.1" customHeight="1" x14ac:dyDescent="0.2"/>
    <row r="19" spans="4:41" ht="35.1" customHeight="1" x14ac:dyDescent="0.2"/>
    <row r="20" spans="4:41" ht="35.1" customHeight="1" x14ac:dyDescent="0.2"/>
    <row r="23" spans="4:41" x14ac:dyDescent="0.2">
      <c r="AC23" s="44"/>
    </row>
    <row r="25" spans="4:41" ht="18" x14ac:dyDescent="0.25"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</row>
    <row r="26" spans="4:41" ht="18" x14ac:dyDescent="0.25">
      <c r="D26" s="334" t="s">
        <v>598</v>
      </c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334" t="s">
        <v>157</v>
      </c>
      <c r="Z26" s="334"/>
      <c r="AA26" s="334"/>
      <c r="AB26" s="334"/>
      <c r="AC26" s="114"/>
    </row>
    <row r="27" spans="4:41" ht="18" x14ac:dyDescent="0.25">
      <c r="D27" s="334" t="s">
        <v>624</v>
      </c>
      <c r="E27" s="334"/>
      <c r="F27" s="334"/>
      <c r="G27" s="334"/>
      <c r="H27" s="334"/>
      <c r="I27" s="334"/>
      <c r="J27" s="334"/>
      <c r="K27" s="334"/>
      <c r="L27" s="33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334" t="s">
        <v>280</v>
      </c>
      <c r="Z27" s="334"/>
      <c r="AA27" s="334"/>
      <c r="AB27" s="334"/>
      <c r="AC27" s="334"/>
      <c r="AD27" s="43"/>
      <c r="AE27" s="43"/>
      <c r="AF27" s="43"/>
      <c r="AG27" s="43"/>
      <c r="AH27" s="43"/>
      <c r="AI27" s="43"/>
      <c r="AJ27" s="43"/>
      <c r="AK27" s="43"/>
      <c r="AN27" s="43"/>
      <c r="AO27" s="43"/>
    </row>
    <row r="28" spans="4:41" ht="18" x14ac:dyDescent="0.25"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</row>
  </sheetData>
  <mergeCells count="7">
    <mergeCell ref="A14:J14"/>
    <mergeCell ref="A1:AC1"/>
    <mergeCell ref="A3:AC3"/>
    <mergeCell ref="K6:M6"/>
    <mergeCell ref="P6:U6"/>
    <mergeCell ref="Y6:AA6"/>
    <mergeCell ref="A2:AC2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29"/>
  <sheetViews>
    <sheetView topLeftCell="B12" zoomScale="87" zoomScaleNormal="87" workbookViewId="0">
      <selection activeCell="H35" sqref="H35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6.5703125" customWidth="1"/>
    <col min="5" max="5" width="23.7109375" customWidth="1"/>
    <col min="6" max="6" width="33.42578125" customWidth="1"/>
    <col min="7" max="7" width="17.85546875" customWidth="1"/>
    <col min="8" max="8" width="19.28515625" customWidth="1"/>
    <col min="9" max="9" width="6.5703125" hidden="1" customWidth="1"/>
    <col min="10" max="10" width="8.5703125" hidden="1" customWidth="1"/>
    <col min="11" max="11" width="17.28515625" customWidth="1"/>
    <col min="12" max="12" width="17.7109375" customWidth="1"/>
    <col min="13" max="13" width="13.140625" hidden="1" customWidth="1"/>
    <col min="14" max="16" width="12.85546875" hidden="1" customWidth="1"/>
    <col min="17" max="18" width="13.140625" hidden="1" customWidth="1"/>
    <col min="19" max="19" width="10.5703125" hidden="1" customWidth="1"/>
    <col min="20" max="20" width="13" hidden="1" customWidth="1"/>
    <col min="21" max="21" width="13.140625" hidden="1" customWidth="1"/>
    <col min="22" max="22" width="13.85546875" hidden="1" customWidth="1"/>
    <col min="23" max="23" width="9.7109375" customWidth="1"/>
    <col min="24" max="24" width="18.140625" customWidth="1"/>
    <col min="25" max="25" width="14.7109375" customWidth="1"/>
    <col min="26" max="26" width="17" customWidth="1"/>
    <col min="27" max="27" width="17.42578125" customWidth="1"/>
    <col min="28" max="28" width="72.7109375" customWidth="1"/>
    <col min="29" max="29" width="0.85546875" customWidth="1"/>
  </cols>
  <sheetData>
    <row r="1" spans="1:29" ht="18" x14ac:dyDescent="0.25">
      <c r="A1" s="421" t="s">
        <v>78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</row>
    <row r="2" spans="1:29" ht="18" x14ac:dyDescent="0.25">
      <c r="A2" s="421" t="s">
        <v>64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X2" s="421"/>
      <c r="Y2" s="421"/>
      <c r="Z2" s="421"/>
      <c r="AA2" s="421"/>
      <c r="AB2" s="421"/>
    </row>
    <row r="3" spans="1:29" ht="19.5" x14ac:dyDescent="0.25">
      <c r="A3" s="410" t="str">
        <f>PRESIDENCIA!A3</f>
        <v>SUELDO  DEL 16 AL 30 DE NOVIEMBRE DE 2024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0"/>
      <c r="Z3" s="410"/>
      <c r="AA3" s="410"/>
      <c r="AB3" s="410"/>
      <c r="AC3" s="410"/>
    </row>
    <row r="4" spans="1:29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9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22" t="s">
        <v>1</v>
      </c>
      <c r="L5" s="424"/>
      <c r="M5" s="24" t="s">
        <v>25</v>
      </c>
      <c r="N5" s="25"/>
      <c r="O5" s="425" t="s">
        <v>8</v>
      </c>
      <c r="P5" s="426"/>
      <c r="Q5" s="426"/>
      <c r="R5" s="426"/>
      <c r="S5" s="426"/>
      <c r="T5" s="427"/>
      <c r="U5" s="24" t="s">
        <v>29</v>
      </c>
      <c r="V5" s="24" t="s">
        <v>9</v>
      </c>
      <c r="W5" s="23" t="s">
        <v>52</v>
      </c>
      <c r="X5" s="428" t="s">
        <v>2</v>
      </c>
      <c r="Y5" s="429"/>
      <c r="Z5" s="430"/>
      <c r="AA5" s="23" t="s">
        <v>0</v>
      </c>
      <c r="AB5" s="34"/>
    </row>
    <row r="6" spans="1:29" ht="33.75" customHeight="1" x14ac:dyDescent="0.2">
      <c r="A6" s="26" t="s">
        <v>20</v>
      </c>
      <c r="B6" s="46" t="s">
        <v>100</v>
      </c>
      <c r="C6" s="46" t="s">
        <v>122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312</v>
      </c>
      <c r="Y6" s="23" t="s">
        <v>56</v>
      </c>
      <c r="Z6" s="23" t="s">
        <v>6</v>
      </c>
      <c r="AA6" s="26" t="s">
        <v>3</v>
      </c>
      <c r="AB6" s="36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5"/>
    </row>
    <row r="8" spans="1:29" ht="30" x14ac:dyDescent="0.25">
      <c r="A8" s="39"/>
      <c r="B8" s="39"/>
      <c r="C8" s="39"/>
      <c r="D8" s="92" t="s">
        <v>60</v>
      </c>
      <c r="E8" s="38" t="s">
        <v>101</v>
      </c>
      <c r="F8" s="38" t="s">
        <v>247</v>
      </c>
      <c r="G8" s="265" t="s">
        <v>322</v>
      </c>
      <c r="H8" s="38" t="s">
        <v>61</v>
      </c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40"/>
      <c r="W8" s="39"/>
      <c r="X8" s="39"/>
      <c r="Y8" s="39"/>
      <c r="Z8" s="39"/>
      <c r="AA8" s="39"/>
      <c r="AB8" s="93"/>
    </row>
    <row r="9" spans="1:29" ht="112.5" customHeight="1" x14ac:dyDescent="0.3">
      <c r="A9" s="112" t="s">
        <v>84</v>
      </c>
      <c r="B9" s="282" t="s">
        <v>583</v>
      </c>
      <c r="C9" s="330" t="s">
        <v>121</v>
      </c>
      <c r="D9" s="206" t="s">
        <v>557</v>
      </c>
      <c r="E9" s="143" t="s">
        <v>584</v>
      </c>
      <c r="F9" s="284" t="s">
        <v>585</v>
      </c>
      <c r="G9" s="208">
        <v>45566</v>
      </c>
      <c r="H9" s="143" t="s">
        <v>75</v>
      </c>
      <c r="I9" s="145">
        <v>15</v>
      </c>
      <c r="J9" s="178">
        <f>K9/I9</f>
        <v>607.70000000000005</v>
      </c>
      <c r="K9" s="313">
        <v>9115.5</v>
      </c>
      <c r="L9" s="315">
        <f t="shared" ref="L9:L17" si="0">SUM(K9:K9)</f>
        <v>9115.5</v>
      </c>
      <c r="M9" s="316">
        <v>0</v>
      </c>
      <c r="N9" s="316">
        <f>L9+M9</f>
        <v>9115.5</v>
      </c>
      <c r="O9" s="316">
        <f t="shared" ref="O9:O17" si="1">VLOOKUP(N9,Tarifa1,1)</f>
        <v>7641.91</v>
      </c>
      <c r="P9" s="316">
        <f>N9-O9</f>
        <v>1473.5900000000001</v>
      </c>
      <c r="Q9" s="317">
        <f t="shared" ref="Q9" si="2">VLOOKUP(N9,Tarifa1,3)</f>
        <v>0.21360000000000001</v>
      </c>
      <c r="R9" s="316">
        <f>P9*Q9</f>
        <v>314.75882400000006</v>
      </c>
      <c r="S9" s="318">
        <f t="shared" ref="S9:S17" si="3">VLOOKUP(N9,Tarifa1,2)</f>
        <v>809.25</v>
      </c>
      <c r="T9" s="316">
        <f>R9+S9</f>
        <v>1124.008824</v>
      </c>
      <c r="U9" s="316">
        <f t="shared" ref="U9" si="4">VLOOKUP(N9,Credito1,2)</f>
        <v>0</v>
      </c>
      <c r="V9" s="316">
        <f>ROUND(T9-U9,2)</f>
        <v>1124.01</v>
      </c>
      <c r="W9" s="315">
        <f t="shared" ref="W9:W17" si="5">-IF(V9&gt;0,0,V9)</f>
        <v>0</v>
      </c>
      <c r="X9" s="315">
        <f t="shared" ref="X9:X17" si="6">IF(K9/15&lt;=SMG,0,IF(V9&lt;0,0,V9))</f>
        <v>1124.01</v>
      </c>
      <c r="Y9" s="319">
        <v>0</v>
      </c>
      <c r="Z9" s="315">
        <f t="shared" ref="Z9:Z16" si="7">SUM(X9:Y9)</f>
        <v>1124.01</v>
      </c>
      <c r="AA9" s="315">
        <f t="shared" ref="AA9:AA17" si="8">L9+W9-Z9</f>
        <v>7991.49</v>
      </c>
      <c r="AB9" s="33"/>
    </row>
    <row r="10" spans="1:29" ht="112.5" customHeight="1" x14ac:dyDescent="0.3">
      <c r="A10" s="112" t="s">
        <v>85</v>
      </c>
      <c r="B10" s="282" t="s">
        <v>581</v>
      </c>
      <c r="C10" s="330" t="s">
        <v>121</v>
      </c>
      <c r="D10" s="206" t="s">
        <v>558</v>
      </c>
      <c r="E10" s="143" t="s">
        <v>563</v>
      </c>
      <c r="F10" s="143" t="s">
        <v>564</v>
      </c>
      <c r="G10" s="208">
        <v>45566</v>
      </c>
      <c r="H10" s="143" t="s">
        <v>75</v>
      </c>
      <c r="I10" s="145">
        <v>15</v>
      </c>
      <c r="J10" s="178">
        <f t="shared" ref="J10:J17" si="9">K10/I10</f>
        <v>607.70000000000005</v>
      </c>
      <c r="K10" s="313">
        <v>9115.5</v>
      </c>
      <c r="L10" s="315">
        <f t="shared" si="0"/>
        <v>9115.5</v>
      </c>
      <c r="M10" s="316">
        <v>0</v>
      </c>
      <c r="N10" s="316">
        <f t="shared" ref="N10:N17" si="10">L10+M10</f>
        <v>9115.5</v>
      </c>
      <c r="O10" s="316">
        <f t="shared" si="1"/>
        <v>7641.91</v>
      </c>
      <c r="P10" s="316">
        <f t="shared" ref="P10" si="11">N10-O10</f>
        <v>1473.5900000000001</v>
      </c>
      <c r="Q10" s="317">
        <f t="shared" ref="Q10" si="12">VLOOKUP(N10,Tarifa1,3)</f>
        <v>0.21360000000000001</v>
      </c>
      <c r="R10" s="316">
        <f t="shared" ref="R10" si="13">P10*Q10</f>
        <v>314.75882400000006</v>
      </c>
      <c r="S10" s="318">
        <f t="shared" si="3"/>
        <v>809.25</v>
      </c>
      <c r="T10" s="316">
        <f t="shared" ref="T10:T17" si="14">R10+S10</f>
        <v>1124.008824</v>
      </c>
      <c r="U10" s="316">
        <f t="shared" ref="U10:U17" si="15">VLOOKUP(N10,Credito1,2)</f>
        <v>0</v>
      </c>
      <c r="V10" s="316">
        <f t="shared" ref="V10:V17" si="16">ROUND(T10-U10,2)</f>
        <v>1124.01</v>
      </c>
      <c r="W10" s="315">
        <f t="shared" si="5"/>
        <v>0</v>
      </c>
      <c r="X10" s="315">
        <f t="shared" si="6"/>
        <v>1124.01</v>
      </c>
      <c r="Y10" s="319">
        <v>0</v>
      </c>
      <c r="Z10" s="315">
        <f t="shared" si="7"/>
        <v>1124.01</v>
      </c>
      <c r="AA10" s="315">
        <f t="shared" si="8"/>
        <v>7991.49</v>
      </c>
      <c r="AB10" s="33"/>
    </row>
    <row r="11" spans="1:29" ht="112.5" customHeight="1" x14ac:dyDescent="0.3">
      <c r="A11" s="112" t="s">
        <v>86</v>
      </c>
      <c r="B11" s="282" t="s">
        <v>582</v>
      </c>
      <c r="C11" s="330" t="s">
        <v>121</v>
      </c>
      <c r="D11" s="206" t="s">
        <v>579</v>
      </c>
      <c r="E11" s="143" t="s">
        <v>594</v>
      </c>
      <c r="F11" s="143" t="s">
        <v>588</v>
      </c>
      <c r="G11" s="208">
        <v>45566</v>
      </c>
      <c r="H11" s="143" t="s">
        <v>75</v>
      </c>
      <c r="I11" s="145">
        <v>15</v>
      </c>
      <c r="J11" s="178">
        <f t="shared" si="9"/>
        <v>607.70000000000005</v>
      </c>
      <c r="K11" s="313">
        <v>9115.5</v>
      </c>
      <c r="L11" s="315">
        <f t="shared" si="0"/>
        <v>9115.5</v>
      </c>
      <c r="M11" s="316">
        <v>0</v>
      </c>
      <c r="N11" s="316">
        <f t="shared" si="10"/>
        <v>9115.5</v>
      </c>
      <c r="O11" s="316">
        <f t="shared" si="1"/>
        <v>7641.91</v>
      </c>
      <c r="P11" s="316">
        <f t="shared" ref="P11:P17" si="17">N11-O11</f>
        <v>1473.5900000000001</v>
      </c>
      <c r="Q11" s="317">
        <f t="shared" ref="Q11:Q17" si="18">VLOOKUP(N11,Tarifa1,3)</f>
        <v>0.21360000000000001</v>
      </c>
      <c r="R11" s="316">
        <f t="shared" ref="R11:R17" si="19">P11*Q11</f>
        <v>314.75882400000006</v>
      </c>
      <c r="S11" s="318">
        <f t="shared" si="3"/>
        <v>809.25</v>
      </c>
      <c r="T11" s="316">
        <f t="shared" si="14"/>
        <v>1124.008824</v>
      </c>
      <c r="U11" s="316">
        <f t="shared" si="15"/>
        <v>0</v>
      </c>
      <c r="V11" s="316">
        <f t="shared" si="16"/>
        <v>1124.01</v>
      </c>
      <c r="W11" s="315">
        <f t="shared" si="5"/>
        <v>0</v>
      </c>
      <c r="X11" s="315">
        <f t="shared" si="6"/>
        <v>1124.01</v>
      </c>
      <c r="Y11" s="319">
        <v>0</v>
      </c>
      <c r="Z11" s="315">
        <f t="shared" si="7"/>
        <v>1124.01</v>
      </c>
      <c r="AA11" s="315">
        <f t="shared" si="8"/>
        <v>7991.49</v>
      </c>
      <c r="AB11" s="292"/>
    </row>
    <row r="12" spans="1:29" ht="112.5" customHeight="1" x14ac:dyDescent="0.3">
      <c r="A12" s="112" t="s">
        <v>87</v>
      </c>
      <c r="B12" s="282" t="s">
        <v>580</v>
      </c>
      <c r="C12" s="330" t="s">
        <v>121</v>
      </c>
      <c r="D12" s="206" t="s">
        <v>559</v>
      </c>
      <c r="E12" s="143" t="s">
        <v>561</v>
      </c>
      <c r="F12" s="143" t="s">
        <v>562</v>
      </c>
      <c r="G12" s="208">
        <v>45566</v>
      </c>
      <c r="H12" s="143" t="s">
        <v>75</v>
      </c>
      <c r="I12" s="145">
        <v>10</v>
      </c>
      <c r="J12" s="178">
        <f t="shared" si="9"/>
        <v>911.55</v>
      </c>
      <c r="K12" s="313">
        <v>9115.5</v>
      </c>
      <c r="L12" s="315">
        <f t="shared" ref="L12" si="20">SUM(K12:K12)</f>
        <v>9115.5</v>
      </c>
      <c r="M12" s="316">
        <v>0</v>
      </c>
      <c r="N12" s="316">
        <f t="shared" ref="N12" si="21">L12+M12</f>
        <v>9115.5</v>
      </c>
      <c r="O12" s="316">
        <f t="shared" si="1"/>
        <v>7641.91</v>
      </c>
      <c r="P12" s="316">
        <f t="shared" si="17"/>
        <v>1473.5900000000001</v>
      </c>
      <c r="Q12" s="317">
        <f t="shared" si="18"/>
        <v>0.21360000000000001</v>
      </c>
      <c r="R12" s="316">
        <f t="shared" si="19"/>
        <v>314.75882400000006</v>
      </c>
      <c r="S12" s="318">
        <f t="shared" si="3"/>
        <v>809.25</v>
      </c>
      <c r="T12" s="316">
        <f t="shared" ref="T12" si="22">R12+S12</f>
        <v>1124.008824</v>
      </c>
      <c r="U12" s="316">
        <f t="shared" ref="U12" si="23">VLOOKUP(N12,Credito1,2)</f>
        <v>0</v>
      </c>
      <c r="V12" s="316">
        <f t="shared" ref="V12" si="24">ROUND(T12-U12,2)</f>
        <v>1124.01</v>
      </c>
      <c r="W12" s="315">
        <f t="shared" si="5"/>
        <v>0</v>
      </c>
      <c r="X12" s="315">
        <f t="shared" si="6"/>
        <v>1124.01</v>
      </c>
      <c r="Y12" s="319">
        <v>0</v>
      </c>
      <c r="Z12" s="315">
        <f t="shared" si="7"/>
        <v>1124.01</v>
      </c>
      <c r="AA12" s="315">
        <f t="shared" si="8"/>
        <v>7991.49</v>
      </c>
      <c r="AB12" s="33"/>
    </row>
    <row r="13" spans="1:29" ht="112.5" customHeight="1" x14ac:dyDescent="0.3">
      <c r="A13" s="112" t="s">
        <v>88</v>
      </c>
      <c r="B13" s="282" t="s">
        <v>586</v>
      </c>
      <c r="C13" s="330" t="s">
        <v>121</v>
      </c>
      <c r="D13" s="207" t="s">
        <v>560</v>
      </c>
      <c r="E13" s="159" t="s">
        <v>458</v>
      </c>
      <c r="F13" s="187" t="s">
        <v>459</v>
      </c>
      <c r="G13" s="208">
        <v>45566</v>
      </c>
      <c r="H13" s="159" t="s">
        <v>75</v>
      </c>
      <c r="I13" s="160">
        <v>15</v>
      </c>
      <c r="J13" s="179">
        <f t="shared" si="9"/>
        <v>607.70000000000005</v>
      </c>
      <c r="K13" s="313">
        <v>9115.5</v>
      </c>
      <c r="L13" s="315">
        <f t="shared" ref="L13" si="25">SUM(K13:K13)</f>
        <v>9115.5</v>
      </c>
      <c r="M13" s="316">
        <v>0</v>
      </c>
      <c r="N13" s="316">
        <f t="shared" si="10"/>
        <v>9115.5</v>
      </c>
      <c r="O13" s="316">
        <f t="shared" si="1"/>
        <v>7641.91</v>
      </c>
      <c r="P13" s="316">
        <f t="shared" si="17"/>
        <v>1473.5900000000001</v>
      </c>
      <c r="Q13" s="317">
        <f t="shared" si="18"/>
        <v>0.21360000000000001</v>
      </c>
      <c r="R13" s="316">
        <f t="shared" si="19"/>
        <v>314.75882400000006</v>
      </c>
      <c r="S13" s="318">
        <f t="shared" si="3"/>
        <v>809.25</v>
      </c>
      <c r="T13" s="316">
        <f t="shared" si="14"/>
        <v>1124.008824</v>
      </c>
      <c r="U13" s="316">
        <f t="shared" si="15"/>
        <v>0</v>
      </c>
      <c r="V13" s="316">
        <f t="shared" si="16"/>
        <v>1124.01</v>
      </c>
      <c r="W13" s="315">
        <f t="shared" ref="W13" si="26">-IF(V13&gt;0,0,V13)</f>
        <v>0</v>
      </c>
      <c r="X13" s="315">
        <f t="shared" si="6"/>
        <v>1124.01</v>
      </c>
      <c r="Y13" s="319">
        <v>0</v>
      </c>
      <c r="Z13" s="315">
        <f t="shared" ref="Z13" si="27">SUM(X13:Y13)</f>
        <v>1124.01</v>
      </c>
      <c r="AA13" s="315">
        <f t="shared" ref="AA13" si="28">L13+W13-Z13</f>
        <v>7991.49</v>
      </c>
      <c r="AB13" s="33"/>
    </row>
    <row r="14" spans="1:29" ht="112.5" customHeight="1" x14ac:dyDescent="0.3">
      <c r="A14" s="112" t="s">
        <v>89</v>
      </c>
      <c r="B14" s="282" t="s">
        <v>569</v>
      </c>
      <c r="C14" s="330" t="s">
        <v>121</v>
      </c>
      <c r="D14" s="206" t="s">
        <v>570</v>
      </c>
      <c r="E14" s="143" t="s">
        <v>577</v>
      </c>
      <c r="F14" s="143" t="s">
        <v>578</v>
      </c>
      <c r="G14" s="208">
        <v>45566</v>
      </c>
      <c r="H14" s="143" t="s">
        <v>75</v>
      </c>
      <c r="I14" s="145">
        <v>15</v>
      </c>
      <c r="J14" s="178">
        <f t="shared" si="9"/>
        <v>607.70000000000005</v>
      </c>
      <c r="K14" s="313">
        <v>9115.5</v>
      </c>
      <c r="L14" s="315">
        <f t="shared" si="0"/>
        <v>9115.5</v>
      </c>
      <c r="M14" s="316">
        <v>0</v>
      </c>
      <c r="N14" s="316">
        <f t="shared" si="10"/>
        <v>9115.5</v>
      </c>
      <c r="O14" s="316">
        <f t="shared" si="1"/>
        <v>7641.91</v>
      </c>
      <c r="P14" s="316">
        <f t="shared" si="17"/>
        <v>1473.5900000000001</v>
      </c>
      <c r="Q14" s="317">
        <f t="shared" si="18"/>
        <v>0.21360000000000001</v>
      </c>
      <c r="R14" s="316">
        <f t="shared" si="19"/>
        <v>314.75882400000006</v>
      </c>
      <c r="S14" s="318">
        <f t="shared" si="3"/>
        <v>809.25</v>
      </c>
      <c r="T14" s="316">
        <f t="shared" si="14"/>
        <v>1124.008824</v>
      </c>
      <c r="U14" s="316">
        <f t="shared" si="15"/>
        <v>0</v>
      </c>
      <c r="V14" s="316">
        <f t="shared" si="16"/>
        <v>1124.01</v>
      </c>
      <c r="W14" s="315">
        <f t="shared" si="5"/>
        <v>0</v>
      </c>
      <c r="X14" s="315">
        <f t="shared" si="6"/>
        <v>1124.01</v>
      </c>
      <c r="Y14" s="319">
        <v>0</v>
      </c>
      <c r="Z14" s="315">
        <f t="shared" si="7"/>
        <v>1124.01</v>
      </c>
      <c r="AA14" s="315">
        <f t="shared" si="8"/>
        <v>7991.49</v>
      </c>
      <c r="AB14" s="33"/>
    </row>
    <row r="15" spans="1:29" ht="112.5" customHeight="1" x14ac:dyDescent="0.3">
      <c r="A15" s="112" t="s">
        <v>90</v>
      </c>
      <c r="B15" s="282" t="s">
        <v>566</v>
      </c>
      <c r="C15" s="330" t="s">
        <v>121</v>
      </c>
      <c r="D15" s="206" t="s">
        <v>565</v>
      </c>
      <c r="E15" s="143" t="s">
        <v>567</v>
      </c>
      <c r="F15" s="143" t="s">
        <v>568</v>
      </c>
      <c r="G15" s="208">
        <v>45566</v>
      </c>
      <c r="H15" s="143" t="s">
        <v>75</v>
      </c>
      <c r="I15" s="145">
        <v>15</v>
      </c>
      <c r="J15" s="178">
        <f t="shared" si="9"/>
        <v>607.70000000000005</v>
      </c>
      <c r="K15" s="313">
        <v>9115.5</v>
      </c>
      <c r="L15" s="315">
        <f t="shared" si="0"/>
        <v>9115.5</v>
      </c>
      <c r="M15" s="316">
        <v>0</v>
      </c>
      <c r="N15" s="316">
        <f t="shared" si="10"/>
        <v>9115.5</v>
      </c>
      <c r="O15" s="316">
        <f t="shared" si="1"/>
        <v>7641.91</v>
      </c>
      <c r="P15" s="316">
        <f t="shared" si="17"/>
        <v>1473.5900000000001</v>
      </c>
      <c r="Q15" s="317">
        <f t="shared" si="18"/>
        <v>0.21360000000000001</v>
      </c>
      <c r="R15" s="316">
        <f t="shared" si="19"/>
        <v>314.75882400000006</v>
      </c>
      <c r="S15" s="318">
        <f t="shared" si="3"/>
        <v>809.25</v>
      </c>
      <c r="T15" s="316">
        <f t="shared" si="14"/>
        <v>1124.008824</v>
      </c>
      <c r="U15" s="316">
        <f t="shared" si="15"/>
        <v>0</v>
      </c>
      <c r="V15" s="316">
        <f t="shared" si="16"/>
        <v>1124.01</v>
      </c>
      <c r="W15" s="315">
        <f t="shared" si="5"/>
        <v>0</v>
      </c>
      <c r="X15" s="315">
        <f t="shared" si="6"/>
        <v>1124.01</v>
      </c>
      <c r="Y15" s="319">
        <v>0</v>
      </c>
      <c r="Z15" s="315">
        <f t="shared" si="7"/>
        <v>1124.01</v>
      </c>
      <c r="AA15" s="315">
        <f t="shared" si="8"/>
        <v>7991.49</v>
      </c>
      <c r="AB15" s="33"/>
    </row>
    <row r="16" spans="1:29" ht="112.5" customHeight="1" x14ac:dyDescent="0.3">
      <c r="A16" s="112" t="s">
        <v>91</v>
      </c>
      <c r="B16" s="282" t="s">
        <v>589</v>
      </c>
      <c r="C16" s="330" t="s">
        <v>121</v>
      </c>
      <c r="D16" s="206" t="s">
        <v>575</v>
      </c>
      <c r="E16" s="143" t="s">
        <v>653</v>
      </c>
      <c r="F16" s="143" t="s">
        <v>591</v>
      </c>
      <c r="G16" s="208">
        <v>45566</v>
      </c>
      <c r="H16" s="143" t="s">
        <v>75</v>
      </c>
      <c r="I16" s="145">
        <v>15</v>
      </c>
      <c r="J16" s="178">
        <f t="shared" si="9"/>
        <v>607.70000000000005</v>
      </c>
      <c r="K16" s="313">
        <v>9115.5</v>
      </c>
      <c r="L16" s="315">
        <f t="shared" si="0"/>
        <v>9115.5</v>
      </c>
      <c r="M16" s="316">
        <v>0</v>
      </c>
      <c r="N16" s="316">
        <f t="shared" si="10"/>
        <v>9115.5</v>
      </c>
      <c r="O16" s="316">
        <f t="shared" si="1"/>
        <v>7641.91</v>
      </c>
      <c r="P16" s="316">
        <f t="shared" si="17"/>
        <v>1473.5900000000001</v>
      </c>
      <c r="Q16" s="317">
        <f t="shared" si="18"/>
        <v>0.21360000000000001</v>
      </c>
      <c r="R16" s="316">
        <f t="shared" si="19"/>
        <v>314.75882400000006</v>
      </c>
      <c r="S16" s="318">
        <f t="shared" si="3"/>
        <v>809.25</v>
      </c>
      <c r="T16" s="316">
        <f t="shared" si="14"/>
        <v>1124.008824</v>
      </c>
      <c r="U16" s="316">
        <f t="shared" si="15"/>
        <v>0</v>
      </c>
      <c r="V16" s="316">
        <f t="shared" si="16"/>
        <v>1124.01</v>
      </c>
      <c r="W16" s="315">
        <f t="shared" si="5"/>
        <v>0</v>
      </c>
      <c r="X16" s="315">
        <f t="shared" si="6"/>
        <v>1124.01</v>
      </c>
      <c r="Y16" s="319">
        <v>0</v>
      </c>
      <c r="Z16" s="315">
        <f t="shared" si="7"/>
        <v>1124.01</v>
      </c>
      <c r="AA16" s="315">
        <f t="shared" si="8"/>
        <v>7991.49</v>
      </c>
      <c r="AB16" s="33"/>
    </row>
    <row r="17" spans="1:41" ht="112.5" customHeight="1" x14ac:dyDescent="0.3">
      <c r="A17" s="112" t="s">
        <v>92</v>
      </c>
      <c r="B17" s="282" t="s">
        <v>590</v>
      </c>
      <c r="C17" s="330" t="s">
        <v>121</v>
      </c>
      <c r="D17" s="206" t="s">
        <v>576</v>
      </c>
      <c r="E17" s="143" t="s">
        <v>592</v>
      </c>
      <c r="F17" s="143" t="s">
        <v>593</v>
      </c>
      <c r="G17" s="208">
        <v>45566</v>
      </c>
      <c r="H17" s="143" t="s">
        <v>75</v>
      </c>
      <c r="I17" s="145">
        <v>15</v>
      </c>
      <c r="J17" s="178">
        <f t="shared" si="9"/>
        <v>607.70000000000005</v>
      </c>
      <c r="K17" s="313">
        <v>9115.5</v>
      </c>
      <c r="L17" s="315">
        <f t="shared" si="0"/>
        <v>9115.5</v>
      </c>
      <c r="M17" s="316">
        <v>0</v>
      </c>
      <c r="N17" s="316">
        <f t="shared" si="10"/>
        <v>9115.5</v>
      </c>
      <c r="O17" s="316">
        <f t="shared" si="1"/>
        <v>7641.91</v>
      </c>
      <c r="P17" s="316">
        <f t="shared" si="17"/>
        <v>1473.5900000000001</v>
      </c>
      <c r="Q17" s="317">
        <f t="shared" si="18"/>
        <v>0.21360000000000001</v>
      </c>
      <c r="R17" s="316">
        <f t="shared" si="19"/>
        <v>314.75882400000006</v>
      </c>
      <c r="S17" s="318">
        <f t="shared" si="3"/>
        <v>809.25</v>
      </c>
      <c r="T17" s="316">
        <f t="shared" si="14"/>
        <v>1124.008824</v>
      </c>
      <c r="U17" s="316">
        <f t="shared" si="15"/>
        <v>0</v>
      </c>
      <c r="V17" s="316">
        <f t="shared" si="16"/>
        <v>1124.01</v>
      </c>
      <c r="W17" s="315">
        <f t="shared" si="5"/>
        <v>0</v>
      </c>
      <c r="X17" s="315">
        <f t="shared" si="6"/>
        <v>1124.01</v>
      </c>
      <c r="Y17" s="319">
        <v>0</v>
      </c>
      <c r="Z17" s="315">
        <f>SUM(X17:Y17)</f>
        <v>1124.01</v>
      </c>
      <c r="AA17" s="315">
        <f t="shared" si="8"/>
        <v>7991.49</v>
      </c>
      <c r="AB17" s="33"/>
    </row>
    <row r="18" spans="1:41" ht="21.75" customHeight="1" x14ac:dyDescent="0.25">
      <c r="A18" s="167"/>
      <c r="B18" s="167"/>
      <c r="C18" s="167"/>
      <c r="D18" s="167"/>
      <c r="E18" s="167"/>
      <c r="F18" s="167"/>
      <c r="G18" s="167"/>
      <c r="H18" s="167"/>
      <c r="I18" s="167"/>
      <c r="J18" s="167"/>
      <c r="K18" s="173"/>
      <c r="L18" s="173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</row>
    <row r="19" spans="1:41" ht="40.5" customHeight="1" thickBot="1" x14ac:dyDescent="0.35">
      <c r="A19" s="406" t="s">
        <v>44</v>
      </c>
      <c r="B19" s="407"/>
      <c r="C19" s="407"/>
      <c r="D19" s="407"/>
      <c r="E19" s="407"/>
      <c r="F19" s="407"/>
      <c r="G19" s="407"/>
      <c r="H19" s="407"/>
      <c r="I19" s="407"/>
      <c r="J19" s="408"/>
      <c r="K19" s="322">
        <f>SUM(K9:K18)</f>
        <v>82039.5</v>
      </c>
      <c r="L19" s="322">
        <f>SUM(L9:L18)</f>
        <v>82039.5</v>
      </c>
      <c r="M19" s="323">
        <f t="shared" ref="M19:V19" si="29">SUM(M9:M18)</f>
        <v>0</v>
      </c>
      <c r="N19" s="323">
        <f t="shared" si="29"/>
        <v>82039.5</v>
      </c>
      <c r="O19" s="323">
        <f t="shared" si="29"/>
        <v>68777.190000000017</v>
      </c>
      <c r="P19" s="323">
        <f t="shared" si="29"/>
        <v>13262.310000000001</v>
      </c>
      <c r="Q19" s="323">
        <f t="shared" si="29"/>
        <v>1.9224000000000001</v>
      </c>
      <c r="R19" s="323">
        <f t="shared" si="29"/>
        <v>2832.8294160000005</v>
      </c>
      <c r="S19" s="323">
        <f t="shared" si="29"/>
        <v>7283.25</v>
      </c>
      <c r="T19" s="323">
        <f t="shared" si="29"/>
        <v>10116.079416000002</v>
      </c>
      <c r="U19" s="323">
        <f t="shared" si="29"/>
        <v>0</v>
      </c>
      <c r="V19" s="323">
        <f t="shared" si="29"/>
        <v>10116.09</v>
      </c>
      <c r="W19" s="322">
        <f>SUM(W9:W18)</f>
        <v>0</v>
      </c>
      <c r="X19" s="322">
        <f>SUM(X9:X18)</f>
        <v>10116.09</v>
      </c>
      <c r="Y19" s="322">
        <f>SUM(Y9:Y18)</f>
        <v>0</v>
      </c>
      <c r="Z19" s="322">
        <f>SUM(Z9:Z18)</f>
        <v>10116.09</v>
      </c>
      <c r="AA19" s="322">
        <f>SUM(AA9:AA18)</f>
        <v>71923.409999999989</v>
      </c>
    </row>
    <row r="20" spans="1:41" ht="13.5" thickTop="1" x14ac:dyDescent="0.2"/>
    <row r="28" spans="1:41" ht="15" x14ac:dyDescent="0.25">
      <c r="D28" s="99" t="s">
        <v>598</v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9" t="s">
        <v>158</v>
      </c>
      <c r="Z28" s="95"/>
      <c r="AA28" s="95"/>
    </row>
    <row r="29" spans="1:41" ht="15" x14ac:dyDescent="0.25">
      <c r="D29" s="99" t="s">
        <v>624</v>
      </c>
      <c r="E29" s="99"/>
      <c r="F29" s="99"/>
      <c r="G29" s="99"/>
      <c r="H29" s="99"/>
      <c r="I29" s="99"/>
      <c r="J29" s="99"/>
      <c r="K29" s="99"/>
      <c r="L29" s="99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9" t="s">
        <v>242</v>
      </c>
      <c r="Z29" s="95"/>
      <c r="AA29" s="99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N29" s="43"/>
      <c r="AO29" s="43"/>
    </row>
  </sheetData>
  <sortState xmlns:xlrd2="http://schemas.microsoft.com/office/spreadsheetml/2017/richdata2" ref="D9:F17">
    <sortCondition ref="D9"/>
  </sortState>
  <mergeCells count="7">
    <mergeCell ref="A19:J19"/>
    <mergeCell ref="A1:AB1"/>
    <mergeCell ref="A2:AB2"/>
    <mergeCell ref="K5:L5"/>
    <mergeCell ref="O5:T5"/>
    <mergeCell ref="X5:Z5"/>
    <mergeCell ref="A3:AC3"/>
  </mergeCells>
  <pageMargins left="0.27559055118110237" right="7.874015748031496E-2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5"/>
  <sheetViews>
    <sheetView topLeftCell="A8" workbookViewId="0">
      <selection activeCell="D10" sqref="D10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9" width="0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21" t="s">
        <v>78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1"/>
    </row>
    <row r="2" spans="1:29" ht="18" x14ac:dyDescent="0.25">
      <c r="A2" s="421" t="s">
        <v>64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X2" s="421"/>
      <c r="Y2" s="421"/>
      <c r="Z2" s="421"/>
      <c r="AA2" s="421"/>
      <c r="AB2" s="421"/>
      <c r="AC2" s="421"/>
    </row>
    <row r="3" spans="1:29" ht="19.5" x14ac:dyDescent="0.25">
      <c r="A3" s="410" t="str">
        <f>PRESIDENCIA!A3</f>
        <v>SUELDO  DEL 16 AL 30 DE NOVIEMBRE DE 2024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0"/>
      <c r="Z3" s="410"/>
      <c r="AA3" s="410"/>
      <c r="AB3" s="410"/>
      <c r="AC3" s="410"/>
    </row>
    <row r="4" spans="1:29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22" t="s">
        <v>1</v>
      </c>
      <c r="K5" s="423"/>
      <c r="L5" s="424"/>
      <c r="M5" s="24" t="s">
        <v>25</v>
      </c>
      <c r="N5" s="25"/>
      <c r="O5" s="425" t="s">
        <v>8</v>
      </c>
      <c r="P5" s="426"/>
      <c r="Q5" s="426"/>
      <c r="R5" s="426"/>
      <c r="S5" s="426"/>
      <c r="T5" s="427"/>
      <c r="U5" s="24" t="s">
        <v>29</v>
      </c>
      <c r="V5" s="24" t="s">
        <v>9</v>
      </c>
      <c r="W5" s="23" t="s">
        <v>52</v>
      </c>
      <c r="X5" s="428" t="s">
        <v>2</v>
      </c>
      <c r="Y5" s="429"/>
      <c r="Z5" s="430"/>
      <c r="AA5" s="23" t="s">
        <v>0</v>
      </c>
      <c r="AB5" s="34"/>
    </row>
    <row r="6" spans="1:29" ht="22.5" x14ac:dyDescent="0.2">
      <c r="A6" s="46" t="s">
        <v>100</v>
      </c>
      <c r="B6" s="46" t="s">
        <v>122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312</v>
      </c>
      <c r="Y6" s="23" t="s">
        <v>56</v>
      </c>
      <c r="Z6" s="23" t="s">
        <v>6</v>
      </c>
      <c r="AA6" s="26" t="s">
        <v>3</v>
      </c>
      <c r="AB6" s="36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5"/>
    </row>
    <row r="8" spans="1:29" ht="40.5" x14ac:dyDescent="0.3">
      <c r="A8" s="39"/>
      <c r="B8" s="39"/>
      <c r="C8" s="385" t="s">
        <v>74</v>
      </c>
      <c r="D8" s="386" t="s">
        <v>101</v>
      </c>
      <c r="E8" s="386" t="s">
        <v>247</v>
      </c>
      <c r="F8" s="387" t="s">
        <v>322</v>
      </c>
      <c r="G8" s="386" t="s">
        <v>61</v>
      </c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40"/>
      <c r="W8" s="39"/>
      <c r="X8" s="39"/>
      <c r="Y8" s="39"/>
      <c r="Z8" s="39"/>
      <c r="AA8" s="39"/>
      <c r="AB8" s="93"/>
    </row>
    <row r="9" spans="1:29" ht="178.5" customHeight="1" x14ac:dyDescent="0.3">
      <c r="A9" s="282" t="s">
        <v>595</v>
      </c>
      <c r="B9" s="330" t="s">
        <v>121</v>
      </c>
      <c r="C9" s="206" t="s">
        <v>551</v>
      </c>
      <c r="D9" s="143" t="s">
        <v>552</v>
      </c>
      <c r="E9" s="285" t="s">
        <v>587</v>
      </c>
      <c r="F9" s="384">
        <v>45566</v>
      </c>
      <c r="G9" s="206" t="s">
        <v>245</v>
      </c>
      <c r="H9" s="311">
        <v>15</v>
      </c>
      <c r="I9" s="312">
        <f>J9/H9</f>
        <v>1020.3333333333334</v>
      </c>
      <c r="J9" s="313">
        <v>15305</v>
      </c>
      <c r="K9" s="314">
        <v>0</v>
      </c>
      <c r="L9" s="315">
        <f>SUM(J9:K9)</f>
        <v>15305</v>
      </c>
      <c r="M9" s="316">
        <f>K9/2</f>
        <v>0</v>
      </c>
      <c r="N9" s="316">
        <f>J9+M9</f>
        <v>15305</v>
      </c>
      <c r="O9" s="316">
        <f>VLOOKUP(N9,Tarifa1,1)</f>
        <v>7641.91</v>
      </c>
      <c r="P9" s="316">
        <f>N9-O9</f>
        <v>7663.09</v>
      </c>
      <c r="Q9" s="317">
        <f t="shared" ref="Q9:Q10" si="0">VLOOKUP(N9,Tarifa1,3)</f>
        <v>0.21360000000000001</v>
      </c>
      <c r="R9" s="316">
        <f>P9*Q9</f>
        <v>1636.8360240000002</v>
      </c>
      <c r="S9" s="318">
        <f>VLOOKUP(N9,Tarifa1,2)</f>
        <v>809.25</v>
      </c>
      <c r="T9" s="316">
        <f>R9+S9</f>
        <v>2446.0860240000002</v>
      </c>
      <c r="U9" s="316">
        <f t="shared" ref="U9:U10" si="1">VLOOKUP(N9,Credito1,2)</f>
        <v>0</v>
      </c>
      <c r="V9" s="316">
        <f>ROUND(T9-U9,2)</f>
        <v>2446.09</v>
      </c>
      <c r="W9" s="315">
        <f>-IF(V9&gt;0,0,0)</f>
        <v>0</v>
      </c>
      <c r="X9" s="315">
        <f>IF(J9/15&lt;=SMG,0,IF(V9&lt;0,0,V9))</f>
        <v>2446.09</v>
      </c>
      <c r="Y9" s="319">
        <v>0</v>
      </c>
      <c r="Z9" s="315">
        <f>SUM(X9:Y9)</f>
        <v>2446.09</v>
      </c>
      <c r="AA9" s="315">
        <f>L9+W9-Z9</f>
        <v>12858.91</v>
      </c>
      <c r="AB9" s="388"/>
    </row>
    <row r="10" spans="1:29" ht="178.5" customHeight="1" x14ac:dyDescent="0.3">
      <c r="A10" s="282" t="s">
        <v>626</v>
      </c>
      <c r="B10" s="330" t="s">
        <v>121</v>
      </c>
      <c r="C10" s="206" t="s">
        <v>627</v>
      </c>
      <c r="D10" s="143" t="s">
        <v>628</v>
      </c>
      <c r="E10" s="143" t="s">
        <v>629</v>
      </c>
      <c r="F10" s="324">
        <v>45601</v>
      </c>
      <c r="G10" s="206" t="s">
        <v>630</v>
      </c>
      <c r="H10" s="311">
        <v>13</v>
      </c>
      <c r="I10" s="312">
        <f t="shared" ref="I10" si="2">J10/H10</f>
        <v>619.80769230769226</v>
      </c>
      <c r="J10" s="313">
        <v>8057.5</v>
      </c>
      <c r="K10" s="314">
        <v>0</v>
      </c>
      <c r="L10" s="315">
        <f t="shared" ref="L10" si="3">SUM(J10:K10)</f>
        <v>8057.5</v>
      </c>
      <c r="M10" s="316">
        <f t="shared" ref="M10" si="4">IF(J10/15&lt;=SMG,0,K10/2)</f>
        <v>0</v>
      </c>
      <c r="N10" s="316">
        <f t="shared" ref="N10" si="5">J10+M10</f>
        <v>8057.5</v>
      </c>
      <c r="O10" s="316">
        <f t="shared" ref="O10" si="6">VLOOKUP(N10,Tarifa1,1)</f>
        <v>7641.91</v>
      </c>
      <c r="P10" s="316">
        <f t="shared" ref="P10" si="7">N10-O10</f>
        <v>415.59000000000015</v>
      </c>
      <c r="Q10" s="317">
        <f t="shared" si="0"/>
        <v>0.21360000000000001</v>
      </c>
      <c r="R10" s="316">
        <f t="shared" ref="R10" si="8">P10*Q10</f>
        <v>88.770024000000035</v>
      </c>
      <c r="S10" s="318">
        <f t="shared" ref="S10" si="9">VLOOKUP(N10,Tarifa1,2)</f>
        <v>809.25</v>
      </c>
      <c r="T10" s="316">
        <f t="shared" ref="T10" si="10">R10+S10</f>
        <v>898.02002400000003</v>
      </c>
      <c r="U10" s="316">
        <f t="shared" si="1"/>
        <v>0</v>
      </c>
      <c r="V10" s="316">
        <f t="shared" ref="V10" si="11">ROUND(T10-U10,2)</f>
        <v>898.02</v>
      </c>
      <c r="W10" s="315">
        <f>-IF(V10&gt;0,0,0)</f>
        <v>0</v>
      </c>
      <c r="X10" s="315">
        <f t="shared" ref="X10" si="12">IF(J10/15&lt;=SMG,0,IF(V10&lt;0,0,V10))</f>
        <v>898.02</v>
      </c>
      <c r="Y10" s="319">
        <v>0</v>
      </c>
      <c r="Z10" s="315">
        <f t="shared" ref="Z10" si="13">SUM(X10:Y10)</f>
        <v>898.02</v>
      </c>
      <c r="AA10" s="315">
        <f t="shared" ref="AA10" si="14">L10+W10-Z10</f>
        <v>7159.48</v>
      </c>
      <c r="AB10" s="388"/>
    </row>
    <row r="11" spans="1:29" ht="18" x14ac:dyDescent="0.25">
      <c r="A11" s="167"/>
      <c r="B11" s="167"/>
      <c r="C11" s="167"/>
      <c r="D11" s="167"/>
      <c r="E11" s="167"/>
      <c r="F11" s="167"/>
      <c r="G11" s="167"/>
      <c r="H11" s="168"/>
      <c r="I11" s="167"/>
      <c r="J11" s="169"/>
      <c r="K11" s="169"/>
      <c r="L11" s="169"/>
      <c r="M11" s="170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</row>
    <row r="12" spans="1:29" ht="41.25" customHeight="1" thickBot="1" x14ac:dyDescent="0.3">
      <c r="A12" s="407"/>
      <c r="B12" s="407"/>
      <c r="C12" s="407"/>
      <c r="D12" s="407"/>
      <c r="E12" s="407"/>
      <c r="F12" s="407"/>
      <c r="G12" s="407"/>
      <c r="H12" s="407"/>
      <c r="I12" s="408"/>
      <c r="J12" s="156">
        <f t="shared" ref="J12:AA12" si="15">SUM(J10:J11)</f>
        <v>8057.5</v>
      </c>
      <c r="K12" s="156">
        <f t="shared" si="15"/>
        <v>0</v>
      </c>
      <c r="L12" s="156">
        <f t="shared" si="15"/>
        <v>8057.5</v>
      </c>
      <c r="M12" s="157">
        <f t="shared" si="15"/>
        <v>0</v>
      </c>
      <c r="N12" s="157">
        <f t="shared" si="15"/>
        <v>8057.5</v>
      </c>
      <c r="O12" s="157">
        <f t="shared" si="15"/>
        <v>7641.91</v>
      </c>
      <c r="P12" s="157">
        <f t="shared" si="15"/>
        <v>415.59000000000015</v>
      </c>
      <c r="Q12" s="157">
        <f t="shared" si="15"/>
        <v>0.21360000000000001</v>
      </c>
      <c r="R12" s="157">
        <f t="shared" si="15"/>
        <v>88.770024000000035</v>
      </c>
      <c r="S12" s="157">
        <f t="shared" si="15"/>
        <v>809.25</v>
      </c>
      <c r="T12" s="157">
        <f t="shared" si="15"/>
        <v>898.02002400000003</v>
      </c>
      <c r="U12" s="157">
        <f t="shared" si="15"/>
        <v>0</v>
      </c>
      <c r="V12" s="157">
        <f t="shared" si="15"/>
        <v>898.02</v>
      </c>
      <c r="W12" s="156">
        <f t="shared" si="15"/>
        <v>0</v>
      </c>
      <c r="X12" s="156">
        <f t="shared" si="15"/>
        <v>898.02</v>
      </c>
      <c r="Y12" s="156">
        <f t="shared" si="15"/>
        <v>0</v>
      </c>
      <c r="Z12" s="156">
        <f t="shared" si="15"/>
        <v>898.02</v>
      </c>
      <c r="AA12" s="156">
        <f t="shared" si="15"/>
        <v>7159.48</v>
      </c>
    </row>
    <row r="13" spans="1:29" ht="13.5" thickTop="1" x14ac:dyDescent="0.2"/>
    <row r="23" spans="3:28" ht="14.25" x14ac:dyDescent="0.2"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</row>
    <row r="24" spans="3:28" ht="15" x14ac:dyDescent="0.25">
      <c r="C24" s="99" t="s">
        <v>598</v>
      </c>
      <c r="D24" s="53"/>
      <c r="E24" s="53"/>
      <c r="F24" s="53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9" t="s">
        <v>159</v>
      </c>
      <c r="Y24" s="95"/>
      <c r="Z24" s="95"/>
      <c r="AA24" s="95"/>
      <c r="AB24" s="95"/>
    </row>
    <row r="25" spans="3:28" ht="15" x14ac:dyDescent="0.25">
      <c r="C25" s="449" t="s">
        <v>624</v>
      </c>
      <c r="D25" s="450"/>
      <c r="E25" s="62"/>
      <c r="F25" s="62"/>
      <c r="G25" s="99"/>
      <c r="H25" s="99"/>
      <c r="I25" s="99"/>
      <c r="J25" s="99"/>
      <c r="K25" s="99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9" t="s">
        <v>237</v>
      </c>
      <c r="Y25" s="95"/>
      <c r="Z25" s="99"/>
      <c r="AA25" s="99"/>
      <c r="AB25" s="99"/>
    </row>
  </sheetData>
  <mergeCells count="8">
    <mergeCell ref="C25:D25"/>
    <mergeCell ref="A12:I12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3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SINDICO!Área_de_impresión</vt:lpstr>
      <vt:lpstr>Credito1</vt:lpstr>
      <vt:lpstr>SMG</vt:lpstr>
      <vt:lpstr>Tarifa1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Isi Pérez Castro</cp:lastModifiedBy>
  <cp:lastPrinted>2024-12-09T16:33:50Z</cp:lastPrinted>
  <dcterms:created xsi:type="dcterms:W3CDTF">2000-05-05T04:08:27Z</dcterms:created>
  <dcterms:modified xsi:type="dcterms:W3CDTF">2024-12-12T18:57:00Z</dcterms:modified>
</cp:coreProperties>
</file>