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931463DA-AEDF-4FFC-A107-AB777A39510D}" xr6:coauthVersionLast="47" xr6:coauthVersionMax="47" xr10:uidLastSave="{00000000-0000-0000-0000-000000000000}"/>
  <bookViews>
    <workbookView xWindow="-120" yWindow="-120" windowWidth="29040" windowHeight="15720" tabRatio="772" firstSheet="1" activeTab="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19" l="1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M13" i="135"/>
  <c r="N12" i="135"/>
  <c r="O12" i="135" s="1"/>
  <c r="M12" i="135"/>
  <c r="N11" i="135"/>
  <c r="O11" i="135" s="1"/>
  <c r="M11" i="135"/>
  <c r="N10" i="135"/>
  <c r="O10" i="135" s="1"/>
  <c r="M10" i="135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29" i="135" l="1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U16" i="135" s="1"/>
  <c r="W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S9" i="135" s="1"/>
  <c r="V34" i="135"/>
  <c r="T34" i="135"/>
  <c r="R34" i="135"/>
  <c r="P34" i="135"/>
  <c r="Q34" i="135" s="1"/>
  <c r="P35" i="135"/>
  <c r="Q35" i="135" s="1"/>
  <c r="V35" i="135"/>
  <c r="T35" i="135"/>
  <c r="R35" i="135"/>
  <c r="V27" i="121"/>
  <c r="T27" i="121"/>
  <c r="R27" i="121"/>
  <c r="P27" i="121"/>
  <c r="Q27" i="121" s="1"/>
  <c r="S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U12" i="132" s="1"/>
  <c r="W12" i="132" s="1"/>
  <c r="P13" i="123"/>
  <c r="Q13" i="123" s="1"/>
  <c r="V13" i="123"/>
  <c r="T13" i="123"/>
  <c r="R13" i="123"/>
  <c r="S13" i="135" l="1"/>
  <c r="U13" i="135" s="1"/>
  <c r="W13" i="135" s="1"/>
  <c r="S34" i="135"/>
  <c r="U34" i="135" s="1"/>
  <c r="Y29" i="135"/>
  <c r="AA29" i="135" s="1"/>
  <c r="X29" i="135"/>
  <c r="Y16" i="135"/>
  <c r="AA16" i="135" s="1"/>
  <c r="X16" i="135"/>
  <c r="U9" i="135"/>
  <c r="W9" i="135" s="1"/>
  <c r="U36" i="135"/>
  <c r="W36" i="135" s="1"/>
  <c r="X36" i="135" s="1"/>
  <c r="S13" i="123"/>
  <c r="U27" i="121"/>
  <c r="W27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Y9" i="135"/>
  <c r="AA9" i="135" s="1"/>
  <c r="X9" i="135"/>
  <c r="S21" i="132"/>
  <c r="U21" i="132" s="1"/>
  <c r="W21" i="132" s="1"/>
  <c r="Y21" i="132" s="1"/>
  <c r="AA21" i="132" s="1"/>
  <c r="W34" i="135"/>
  <c r="X34" i="135" s="1"/>
  <c r="S35" i="135"/>
  <c r="U35" i="135" s="1"/>
  <c r="W35" i="135" s="1"/>
  <c r="Y27" i="121"/>
  <c r="AA27" i="121" s="1"/>
  <c r="X27" i="121"/>
  <c r="Y33" i="121"/>
  <c r="X33" i="121"/>
  <c r="X12" i="132"/>
  <c r="Y12" i="132"/>
  <c r="AA12" i="132" s="1"/>
  <c r="U13" i="123"/>
  <c r="W13" i="123" s="1"/>
  <c r="X13" i="123" s="1"/>
  <c r="AB13" i="123" s="1"/>
  <c r="Y36" i="135" l="1"/>
  <c r="AA36" i="135" s="1"/>
  <c r="AB36" i="135" s="1"/>
  <c r="AB29" i="135"/>
  <c r="AB16" i="135"/>
  <c r="X12" i="135"/>
  <c r="AB12" i="135" s="1"/>
  <c r="AB27" i="121"/>
  <c r="AB13" i="135"/>
  <c r="Y11" i="135"/>
  <c r="AA11" i="135" s="1"/>
  <c r="X11" i="135"/>
  <c r="X10" i="135"/>
  <c r="Y10" i="135"/>
  <c r="AA10" i="135" s="1"/>
  <c r="X21" i="132"/>
  <c r="Y34" i="135"/>
  <c r="AA34" i="135" s="1"/>
  <c r="AB34" i="135" s="1"/>
  <c r="Y35" i="135"/>
  <c r="AA35" i="135" s="1"/>
  <c r="X35" i="135"/>
  <c r="X32" i="121"/>
  <c r="AA33" i="121"/>
  <c r="AA32" i="121" s="1"/>
  <c r="Y32" i="121"/>
  <c r="AB21" i="132"/>
  <c r="AB12" i="132"/>
  <c r="N9" i="132"/>
  <c r="O9" i="132" s="1"/>
  <c r="M9" i="132"/>
  <c r="AB11" i="135" l="1"/>
  <c r="AB10" i="135"/>
  <c r="AB35" i="135"/>
  <c r="AB33" i="121"/>
  <c r="AB32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6" i="121"/>
  <c r="J27" i="121"/>
  <c r="Z26" i="121"/>
  <c r="L26" i="121"/>
  <c r="K26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5" i="121"/>
  <c r="T25" i="121"/>
  <c r="R25" i="121"/>
  <c r="P25" i="121"/>
  <c r="Q25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5" i="121"/>
  <c r="U25" i="121" s="1"/>
  <c r="W25" i="121" s="1"/>
  <c r="X26" i="121"/>
  <c r="AA26" i="121"/>
  <c r="Y26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5" i="121"/>
  <c r="Y25" i="121"/>
  <c r="AA25" i="121" s="1"/>
  <c r="AB25" i="121" s="1"/>
  <c r="AB26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/>
  <c r="T22" i="119" s="1"/>
  <c r="M22" i="119"/>
  <c r="R22" i="119"/>
  <c r="V22" i="119"/>
  <c r="M21" i="119"/>
  <c r="Z21" i="119"/>
  <c r="L21" i="119"/>
  <c r="K21" i="119"/>
  <c r="N15" i="133"/>
  <c r="O15" i="133" s="1"/>
  <c r="M15" i="133"/>
  <c r="J15" i="133"/>
  <c r="Z8" i="121"/>
  <c r="L8" i="121"/>
  <c r="K8" i="121"/>
  <c r="K40" i="121" s="1"/>
  <c r="N24" i="121"/>
  <c r="O24" i="121" s="1"/>
  <c r="M24" i="121"/>
  <c r="J24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8" i="121"/>
  <c r="O38" i="121" s="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3" i="123"/>
  <c r="B20" i="123"/>
  <c r="Z34" i="121"/>
  <c r="L34" i="121"/>
  <c r="K34" i="121"/>
  <c r="B30" i="121"/>
  <c r="M35" i="121"/>
  <c r="B29" i="120"/>
  <c r="B18" i="120"/>
  <c r="K36" i="120"/>
  <c r="Z38" i="135"/>
  <c r="L38" i="135"/>
  <c r="Z24" i="132"/>
  <c r="L24" i="132"/>
  <c r="Y11" i="136"/>
  <c r="K11" i="136"/>
  <c r="Z25" i="131"/>
  <c r="Z23" i="123"/>
  <c r="L23" i="123"/>
  <c r="K23" i="123"/>
  <c r="Z14" i="123"/>
  <c r="L14" i="123"/>
  <c r="K14" i="123"/>
  <c r="Z8" i="123"/>
  <c r="L8" i="123"/>
  <c r="Z36" i="120"/>
  <c r="L36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M18" i="119"/>
  <c r="P11" i="136"/>
  <c r="Z9" i="136"/>
  <c r="X9" i="131"/>
  <c r="Y9" i="131"/>
  <c r="R11" i="136"/>
  <c r="T11" i="136"/>
  <c r="W11" i="136"/>
  <c r="V11" i="136"/>
  <c r="Z12" i="119"/>
  <c r="Z26" i="119" s="1"/>
  <c r="L12" i="119"/>
  <c r="L26" i="119" s="1"/>
  <c r="K12" i="119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38" i="121"/>
  <c r="M23" i="121"/>
  <c r="Y23" i="121"/>
  <c r="AA23" i="121" s="1"/>
  <c r="M14" i="135"/>
  <c r="A3" i="136"/>
  <c r="Y24" i="119"/>
  <c r="M24" i="119"/>
  <c r="AB24" i="119" s="1"/>
  <c r="AB23" i="119" s="1"/>
  <c r="M23" i="119"/>
  <c r="AA24" i="119"/>
  <c r="AA23" i="119"/>
  <c r="Y23" i="119"/>
  <c r="A3" i="132"/>
  <c r="A3" i="133" s="1"/>
  <c r="A3" i="131"/>
  <c r="A3" i="118"/>
  <c r="A3" i="123"/>
  <c r="A3" i="121"/>
  <c r="A3" i="120"/>
  <c r="B3" i="134"/>
  <c r="M25" i="123"/>
  <c r="M22" i="121"/>
  <c r="K8" i="123"/>
  <c r="Y25" i="123"/>
  <c r="AA25" i="123" s="1"/>
  <c r="M36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L40" i="121" s="1"/>
  <c r="S14" i="134"/>
  <c r="U14" i="134"/>
  <c r="K37" i="121"/>
  <c r="M11" i="118"/>
  <c r="Z13" i="118"/>
  <c r="L13" i="118"/>
  <c r="K8" i="119"/>
  <c r="K26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Z40" i="121" l="1"/>
  <c r="M24" i="132"/>
  <c r="N8" i="123"/>
  <c r="P11" i="118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2" i="133"/>
  <c r="Q12" i="133" s="1"/>
  <c r="R12" i="133"/>
  <c r="T10" i="119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V22" i="121"/>
  <c r="T38" i="121"/>
  <c r="P22" i="121"/>
  <c r="Q22" i="121" s="1"/>
  <c r="Q11" i="121"/>
  <c r="R22" i="121"/>
  <c r="V14" i="120"/>
  <c r="T14" i="120"/>
  <c r="R14" i="120"/>
  <c r="Q14" i="120"/>
  <c r="M36" i="120"/>
  <c r="R12" i="121"/>
  <c r="O40" i="121"/>
  <c r="V9" i="121"/>
  <c r="P9" i="121"/>
  <c r="T9" i="121"/>
  <c r="R9" i="121"/>
  <c r="N40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S10" i="120" l="1"/>
  <c r="U10" i="120" s="1"/>
  <c r="W10" i="120" s="1"/>
  <c r="U11" i="120"/>
  <c r="W11" i="120" s="1"/>
  <c r="S21" i="121"/>
  <c r="U21" i="121" s="1"/>
  <c r="W21" i="121" s="1"/>
  <c r="M40" i="121"/>
  <c r="S38" i="121"/>
  <c r="S15" i="133"/>
  <c r="S12" i="133"/>
  <c r="U12" i="133" s="1"/>
  <c r="W12" i="133" s="1"/>
  <c r="X12" i="133" s="1"/>
  <c r="S47" i="123"/>
  <c r="Y11" i="118"/>
  <c r="AA11" i="118" s="1"/>
  <c r="X11" i="118"/>
  <c r="Q10" i="118"/>
  <c r="V13" i="118"/>
  <c r="R13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1" i="120"/>
  <c r="U21" i="120" s="1"/>
  <c r="Y12" i="133"/>
  <c r="AA12" i="133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U38" i="121"/>
  <c r="W38" i="121" s="1"/>
  <c r="X38" i="121" s="1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Y21" i="121"/>
  <c r="AA21" i="121" s="1"/>
  <c r="X21" i="121"/>
  <c r="S35" i="121"/>
  <c r="U35" i="121" s="1"/>
  <c r="W35" i="121" s="1"/>
  <c r="R40" i="121"/>
  <c r="V40" i="121"/>
  <c r="P40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X11" i="133" l="1"/>
  <c r="S9" i="123"/>
  <c r="U9" i="123" s="1"/>
  <c r="W9" i="123" s="1"/>
  <c r="Q13" i="118"/>
  <c r="S10" i="118"/>
  <c r="AB11" i="118"/>
  <c r="Y13" i="120"/>
  <c r="AA13" i="120" s="1"/>
  <c r="AA19" i="119"/>
  <c r="AA18" i="119" s="1"/>
  <c r="Y18" i="119"/>
  <c r="Y11" i="119"/>
  <c r="AA11" i="119" s="1"/>
  <c r="X11" i="119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8" i="121"/>
  <c r="AA38" i="121" s="1"/>
  <c r="Y22" i="121"/>
  <c r="AA22" i="121" s="1"/>
  <c r="AB22" i="121" s="1"/>
  <c r="X20" i="121"/>
  <c r="AB20" i="121" s="1"/>
  <c r="AB12" i="133"/>
  <c r="Y15" i="133"/>
  <c r="AA15" i="133" s="1"/>
  <c r="AB15" i="133" s="1"/>
  <c r="AB11" i="133"/>
  <c r="X47" i="123"/>
  <c r="AB47" i="123" s="1"/>
  <c r="Y11" i="121"/>
  <c r="AA11" i="121" s="1"/>
  <c r="X11" i="121"/>
  <c r="X24" i="121"/>
  <c r="AB24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1" i="121" l="1"/>
  <c r="AA37" i="121"/>
  <c r="AB38" i="121"/>
  <c r="AB37" i="121" s="1"/>
  <c r="Y37" i="121"/>
  <c r="U10" i="118"/>
  <c r="S13" i="118"/>
  <c r="AB13" i="119"/>
  <c r="AB12" i="119" s="1"/>
  <c r="W9" i="119"/>
  <c r="U26" i="119"/>
  <c r="Q53" i="123"/>
  <c r="AB36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4" i="121"/>
  <c r="AA35" i="121"/>
  <c r="AA34" i="121" s="1"/>
  <c r="Y34" i="121"/>
  <c r="U9" i="121"/>
  <c r="S40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27" i="123" l="1"/>
  <c r="AB26" i="123" s="1"/>
  <c r="U13" i="118"/>
  <c r="W10" i="118"/>
  <c r="W26" i="119"/>
  <c r="X9" i="119"/>
  <c r="Y9" i="119"/>
  <c r="AB12" i="123"/>
  <c r="AB11" i="123" s="1"/>
  <c r="U24" i="132"/>
  <c r="U38" i="135"/>
  <c r="AB35" i="123"/>
  <c r="U17" i="133"/>
  <c r="W9" i="133"/>
  <c r="AB35" i="121"/>
  <c r="AB34" i="121" s="1"/>
  <c r="U40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W13" i="118" l="1"/>
  <c r="X10" i="118"/>
  <c r="Y10" i="118"/>
  <c r="AA9" i="119"/>
  <c r="AA8" i="119" s="1"/>
  <c r="AA26" i="119" s="1"/>
  <c r="Y8" i="119"/>
  <c r="Y26" i="119" s="1"/>
  <c r="AB9" i="119"/>
  <c r="AB8" i="119" s="1"/>
  <c r="AB26" i="119" s="1"/>
  <c r="X8" i="119"/>
  <c r="X26" i="119" s="1"/>
  <c r="W24" i="132"/>
  <c r="W38" i="135"/>
  <c r="X9" i="133"/>
  <c r="Y9" i="133"/>
  <c r="W17" i="133"/>
  <c r="Y9" i="121"/>
  <c r="W40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0" i="121" s="1"/>
  <c r="Y8" i="121"/>
  <c r="Y40" i="121" s="1"/>
  <c r="AA9" i="121"/>
  <c r="AA8" i="121" s="1"/>
  <c r="AA40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0" i="121" s="1"/>
  <c r="AB36" i="120"/>
</calcChain>
</file>

<file path=xl/sharedStrings.xml><?xml version="1.0" encoding="utf-8"?>
<sst xmlns="http://schemas.openxmlformats.org/spreadsheetml/2006/main" count="1568" uniqueCount="654">
  <si>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</si>
  <si>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</si>
  <si>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</si>
  <si>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</si>
  <si>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</si>
  <si>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</si>
  <si>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</si>
  <si>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</si>
  <si>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</si>
  <si>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</si>
  <si>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</si>
  <si>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</si>
  <si>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</si>
  <si>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</si>
  <si>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</si>
  <si>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</si>
  <si>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</si>
  <si>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</si>
  <si>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</si>
  <si>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</si>
  <si>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</si>
  <si>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</si>
  <si>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</si>
  <si>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</si>
  <si>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</si>
  <si>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</si>
  <si>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</si>
  <si>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</si>
  <si>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</si>
  <si>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</si>
  <si>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</si>
  <si>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</si>
  <si>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</si>
  <si>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</si>
  <si>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</si>
  <si>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</si>
  <si>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</si>
  <si>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</si>
  <si>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</si>
  <si>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</si>
  <si>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</si>
  <si>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</si>
  <si>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</si>
  <si>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</si>
  <si>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</si>
  <si>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</si>
  <si>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</si>
  <si>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</si>
  <si>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</si>
  <si>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</si>
  <si>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</si>
  <si>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</si>
  <si>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</si>
  <si>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</si>
  <si>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</si>
  <si>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</si>
  <si>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</si>
  <si>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</si>
  <si>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</si>
  <si>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</si>
  <si>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</si>
  <si>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</si>
  <si>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</si>
  <si>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</si>
  <si>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</si>
  <si>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</si>
  <si>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</si>
  <si>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</si>
  <si>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</si>
  <si>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</si>
  <si>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</si>
  <si>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</si>
  <si>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</si>
  <si>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</si>
  <si>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</si>
  <si>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</si>
  <si>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</si>
  <si>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</si>
  <si>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</si>
  <si>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</si>
  <si>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</si>
  <si>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</si>
  <si>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</si>
  <si>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</si>
  <si>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</si>
  <si>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</si>
  <si>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</si>
  <si>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</si>
  <si>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</si>
  <si>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</si>
  <si>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</si>
  <si>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</si>
  <si>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</si>
  <si>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</si>
  <si>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</si>
  <si>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</si>
  <si>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</si>
  <si>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</si>
  <si>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</si>
  <si>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</si>
  <si>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</si>
  <si>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</si>
  <si>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</si>
  <si>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</si>
  <si>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</si>
  <si>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</si>
  <si>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</si>
  <si>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</si>
  <si>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</si>
  <si>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</si>
  <si>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</si>
  <si>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</si>
  <si>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</si>
  <si>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</si>
  <si>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</si>
  <si>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</si>
  <si>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</si>
  <si>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</si>
  <si>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</si>
  <si>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</si>
  <si>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</si>
  <si>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</si>
  <si>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</si>
  <si>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</si>
  <si>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</si>
  <si>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</si>
  <si>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</si>
  <si>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</si>
  <si>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</si>
  <si>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</si>
  <si>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</si>
  <si>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</si>
  <si>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</si>
  <si>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</si>
  <si>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</si>
  <si>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</si>
  <si>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</si>
  <si>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</si>
  <si>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</si>
  <si>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</si>
  <si>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</si>
  <si>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</si>
  <si>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</si>
  <si>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</si>
  <si>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</si>
  <si>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</si>
  <si>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</si>
  <si>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</si>
  <si>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</si>
  <si>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</si>
  <si>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</si>
  <si>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</si>
  <si>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</si>
  <si>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</si>
  <si>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</si>
  <si>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</si>
  <si>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</si>
  <si>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</si>
  <si>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</si>
  <si>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</si>
  <si>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</si>
  <si>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</si>
  <si>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</si>
  <si>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</si>
  <si>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</si>
  <si>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</si>
  <si>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</si>
  <si>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</si>
  <si>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</si>
  <si>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</si>
  <si>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</si>
  <si>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</si>
  <si>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</si>
  <si>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</si>
  <si>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</si>
  <si>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</si>
  <si>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</si>
  <si>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</si>
  <si>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</si>
  <si>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</si>
  <si>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</si>
  <si>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</si>
  <si>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</si>
  <si>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</si>
  <si>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</si>
  <si>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</si>
  <si>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</si>
  <si>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</si>
  <si>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</si>
  <si>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</si>
  <si>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</si>
  <si>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</si>
  <si>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</si>
  <si>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</si>
  <si>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</si>
  <si>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</si>
  <si>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</si>
  <si>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</si>
  <si>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</si>
  <si>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</si>
  <si>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</si>
  <si>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</si>
  <si>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</si>
  <si>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</si>
  <si>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</si>
  <si>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</si>
  <si>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</si>
  <si>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</si>
  <si>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</si>
  <si>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</si>
  <si>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</si>
  <si>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</si>
  <si>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</si>
  <si>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</si>
  <si>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</si>
  <si>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</si>
  <si>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</si>
  <si>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</si>
  <si>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</si>
  <si>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</si>
  <si>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</si>
  <si>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</si>
  <si>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</si>
  <si>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</si>
  <si>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</si>
  <si>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</si>
  <si>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</si>
  <si>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</si>
  <si>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</si>
  <si>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</si>
  <si>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</si>
  <si>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</si>
  <si>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</si>
  <si>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</si>
  <si>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</si>
  <si>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</si>
  <si>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</si>
  <si>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</si>
  <si>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</si>
  <si>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</si>
  <si>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</si>
  <si>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</si>
  <si>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</si>
  <si>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</si>
  <si>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</si>
  <si>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</si>
  <si>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</si>
  <si>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</si>
  <si>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</si>
  <si>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</si>
  <si>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</si>
  <si>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</si>
  <si>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</si>
  <si>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</si>
  <si>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</si>
  <si>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</si>
  <si>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</si>
  <si>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</si>
  <si>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</si>
  <si>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</si>
  <si>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</si>
  <si>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</si>
  <si>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</si>
  <si>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</si>
  <si>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</si>
  <si>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</si>
  <si>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</si>
  <si>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</si>
  <si>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</si>
  <si>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</si>
  <si>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</si>
  <si>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</si>
  <si>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</si>
  <si>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</si>
  <si>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</si>
  <si>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</si>
  <si>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</si>
  <si>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</si>
  <si>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</si>
  <si>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</si>
  <si>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</si>
  <si>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</si>
  <si>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</si>
  <si>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</si>
  <si>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</si>
  <si>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</si>
  <si>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</si>
  <si>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</si>
  <si>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</si>
  <si>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</si>
  <si>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</si>
  <si>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</si>
  <si>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</si>
  <si>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</si>
  <si>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</si>
  <si>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</si>
  <si>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</si>
  <si>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</si>
  <si>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</si>
  <si>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</si>
  <si>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</si>
  <si>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</si>
  <si>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</si>
  <si>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</si>
  <si>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</si>
  <si>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</si>
  <si>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</si>
  <si>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</si>
  <si>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</si>
  <si>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</si>
  <si>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</si>
  <si>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</si>
  <si>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</si>
  <si>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</si>
  <si>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</si>
  <si>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</si>
  <si>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</si>
  <si>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</si>
  <si>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</si>
  <si>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</si>
  <si>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</si>
  <si>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</si>
  <si>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</si>
  <si>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</si>
  <si>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</si>
  <si>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</si>
  <si>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</si>
  <si>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</si>
  <si>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</si>
  <si>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</si>
  <si>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</si>
  <si>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</si>
  <si>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</si>
  <si>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</si>
  <si>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</si>
  <si>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</si>
  <si>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</si>
  <si>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</si>
  <si>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</si>
  <si>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</si>
  <si>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</si>
  <si>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</si>
  <si>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</si>
  <si>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</si>
  <si>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</si>
  <si>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</si>
  <si>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</si>
  <si>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</si>
  <si>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</si>
  <si>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</si>
  <si>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</si>
  <si>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</si>
  <si>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</si>
  <si>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</si>
  <si>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</si>
  <si>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</si>
  <si>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</si>
  <si>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</si>
  <si>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</si>
  <si>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</si>
  <si>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</si>
  <si>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</si>
  <si>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</si>
  <si>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</si>
  <si>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</si>
  <si>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</si>
  <si>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</si>
  <si>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</si>
  <si>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</si>
  <si>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</si>
  <si>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</si>
  <si>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</si>
  <si>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</si>
  <si>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</si>
  <si>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</si>
  <si>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</si>
  <si>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</si>
  <si>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</si>
  <si>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</si>
  <si>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</si>
  <si>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</si>
  <si>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</si>
  <si>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</si>
  <si>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</si>
  <si>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</si>
  <si>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</si>
  <si>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</si>
  <si>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</si>
  <si>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</si>
  <si>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</si>
  <si>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</si>
  <si>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</si>
  <si>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</si>
  <si>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</si>
  <si>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</si>
  <si>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</si>
  <si>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</si>
  <si>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</si>
  <si>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</si>
  <si>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</si>
  <si>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</si>
  <si>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</si>
  <si>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</si>
  <si>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</si>
  <si>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</si>
  <si>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</si>
  <si>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</si>
  <si>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</si>
  <si>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</si>
  <si>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</si>
  <si>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</si>
  <si>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</si>
  <si>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</si>
  <si>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</si>
  <si>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</si>
  <si>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</si>
  <si>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</si>
  <si>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</si>
  <si>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</si>
  <si>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</si>
  <si>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</si>
  <si>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</si>
  <si>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</si>
  <si>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</si>
  <si>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</si>
  <si>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</si>
  <si>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</si>
  <si>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</si>
  <si>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</si>
  <si>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</si>
  <si>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</si>
  <si>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</si>
  <si>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</si>
  <si>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</si>
  <si>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</si>
  <si>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</si>
  <si>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</si>
  <si>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</si>
  <si>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</si>
  <si>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</si>
  <si>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</si>
  <si>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</si>
  <si>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</si>
  <si>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</si>
  <si>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</si>
  <si>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</si>
  <si>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</si>
  <si>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</si>
  <si>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</si>
  <si>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</si>
  <si>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</si>
  <si>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</si>
  <si>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</si>
  <si>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</si>
  <si>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</si>
  <si>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</si>
  <si>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</si>
  <si>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</si>
  <si>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</si>
  <si>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</si>
  <si>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</si>
  <si>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</si>
  <si>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</si>
  <si>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</si>
  <si>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</si>
  <si>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</si>
  <si>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</si>
  <si>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</si>
  <si>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</si>
  <si>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</si>
  <si>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</si>
  <si>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</si>
  <si>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</si>
  <si>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</si>
  <si>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</si>
  <si>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</si>
  <si>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</si>
  <si>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</si>
  <si>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</si>
  <si>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</si>
  <si>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</si>
  <si>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</si>
  <si>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</si>
  <si>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</si>
  <si>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</si>
  <si>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</si>
  <si>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</si>
  <si>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</si>
  <si>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</si>
  <si>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</si>
  <si>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</si>
  <si>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</si>
  <si>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</si>
  <si>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</si>
  <si>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</si>
  <si>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</si>
  <si>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</si>
  <si>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</si>
  <si>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</si>
  <si>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</si>
  <si>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</si>
  <si>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</si>
  <si>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</si>
  <si>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</si>
  <si>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</si>
  <si>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</si>
  <si>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</si>
  <si>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</si>
  <si>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</si>
  <si>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</si>
  <si>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</si>
  <si>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</si>
  <si>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</si>
  <si>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</si>
  <si>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</si>
  <si>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</si>
  <si>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</si>
  <si>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</si>
  <si>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</si>
  <si>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</si>
  <si>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</si>
  <si>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</si>
  <si>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</si>
  <si>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</si>
  <si>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</si>
  <si>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</si>
  <si>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</si>
  <si>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</si>
  <si>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</si>
  <si>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</si>
  <si>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</si>
  <si>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</si>
  <si>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</si>
  <si>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</si>
  <si>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</si>
  <si>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</si>
  <si>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</si>
  <si>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</si>
  <si>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</si>
  <si>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</si>
  <si>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</si>
  <si>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</si>
  <si>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</si>
  <si>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</si>
  <si>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</si>
  <si>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</si>
  <si>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</si>
  <si>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</si>
  <si>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</si>
  <si>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</si>
  <si>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</si>
  <si>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</si>
  <si>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</si>
  <si>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</si>
  <si>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</si>
  <si>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</si>
  <si>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</si>
  <si>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</si>
  <si>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</si>
  <si>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</si>
  <si>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</si>
  <si>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</si>
  <si>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</si>
  <si>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</si>
  <si>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</si>
  <si>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</si>
  <si>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</si>
  <si>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</si>
  <si>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</si>
  <si>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</si>
  <si>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</si>
  <si>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</si>
  <si>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</si>
  <si>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</si>
  <si>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</si>
  <si>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</si>
  <si>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</si>
  <si>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</si>
  <si>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</si>
  <si>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</si>
  <si>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</si>
  <si>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</si>
  <si>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</si>
  <si>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</si>
  <si>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</si>
  <si>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</si>
  <si>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</si>
  <si>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</si>
  <si>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</si>
  <si>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</si>
  <si>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</si>
  <si>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</si>
  <si>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</si>
  <si>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</si>
  <si>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</si>
  <si>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</si>
  <si>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</si>
  <si>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</si>
  <si>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</si>
  <si>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</si>
  <si>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</si>
  <si>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</si>
  <si>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</si>
  <si>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</si>
  <si>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</si>
  <si>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</si>
  <si>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</si>
  <si>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</si>
  <si>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</si>
  <si>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</si>
  <si>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</si>
  <si>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</si>
  <si>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</si>
  <si>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</si>
  <si>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</si>
  <si>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</si>
  <si>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</si>
  <si>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</si>
  <si>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</si>
  <si>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</si>
  <si>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</si>
  <si>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</si>
  <si>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</si>
  <si>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</si>
  <si>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</si>
  <si>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</si>
  <si>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</si>
  <si>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</si>
  <si>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</si>
  <si>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</si>
  <si>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</si>
  <si>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</si>
  <si>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</si>
  <si>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</si>
  <si>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</si>
  <si>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</si>
  <si>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</si>
  <si>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</si>
  <si>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</si>
  <si>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</si>
  <si>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</si>
  <si>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</si>
  <si>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</si>
  <si>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</si>
  <si>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</si>
  <si>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</si>
  <si>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</si>
  <si>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</si>
  <si>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</si>
  <si>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SUELDO  DEL 16 AL 30 DE SEPTIEMBRE DE 2025</t>
  </si>
  <si>
    <t>432</t>
  </si>
  <si>
    <t>JANETH DEL CARMEN VALENZUELA MONTOYA</t>
  </si>
  <si>
    <t>VAMJ870716MJCLNN06</t>
  </si>
  <si>
    <t>VAMJ870716KV7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</si>
</sst>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188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5" t="s">
        <v>10</v>
      </c>
      <c r="C7" s="455"/>
      <c r="D7" s="455"/>
      <c r="E7" s="7"/>
      <c r="F7" s="448" t="s">
        <v>48</v>
      </c>
      <c r="G7" s="449"/>
      <c r="I7" s="110" t="s">
        <v>189</v>
      </c>
    </row>
    <row r="8" spans="1:9" ht="14.25" customHeight="1" x14ac:dyDescent="0.2">
      <c r="B8" s="452" t="s">
        <v>9</v>
      </c>
      <c r="C8" s="452"/>
      <c r="D8" s="452"/>
      <c r="E8" s="7"/>
      <c r="F8" s="453" t="s">
        <v>49</v>
      </c>
      <c r="G8" s="454"/>
      <c r="I8" s="109">
        <v>113.14</v>
      </c>
    </row>
    <row r="9" spans="1:9" ht="8.25" customHeight="1" x14ac:dyDescent="0.2">
      <c r="B9" s="456"/>
      <c r="C9" s="456"/>
      <c r="D9" s="456"/>
      <c r="E9" s="7"/>
      <c r="F9" s="450"/>
      <c r="G9" s="45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520</v>
      </c>
      <c r="C28" s="7"/>
      <c r="D28" s="7"/>
    </row>
    <row r="29" spans="1:8" x14ac:dyDescent="0.2">
      <c r="B29" s="32" t="s">
        <v>519</v>
      </c>
      <c r="C29" s="7"/>
      <c r="D29" s="7"/>
    </row>
    <row r="30" spans="1:8" x14ac:dyDescent="0.2">
      <c r="B30" s="198" t="s">
        <v>358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8" t="s">
        <v>53</v>
      </c>
      <c r="G32" s="449"/>
    </row>
    <row r="33" spans="2:7" x14ac:dyDescent="0.2">
      <c r="E33" s="7"/>
      <c r="F33" s="453" t="s">
        <v>54</v>
      </c>
      <c r="G33" s="454"/>
    </row>
    <row r="34" spans="2:7" ht="5.25" customHeight="1" x14ac:dyDescent="0.2">
      <c r="E34" s="7"/>
      <c r="F34" s="450"/>
      <c r="G34" s="451"/>
    </row>
    <row r="35" spans="2:7" x14ac:dyDescent="0.2">
      <c r="B35" s="455" t="s">
        <v>10</v>
      </c>
      <c r="C35" s="455"/>
      <c r="D35" s="455"/>
      <c r="E35" s="7"/>
      <c r="F35" s="9" t="s">
        <v>16</v>
      </c>
      <c r="G35" s="9" t="s">
        <v>17</v>
      </c>
    </row>
    <row r="36" spans="2:7" x14ac:dyDescent="0.2">
      <c r="B36" s="452" t="s">
        <v>9</v>
      </c>
      <c r="C36" s="452"/>
      <c r="D36" s="452"/>
      <c r="E36" s="7"/>
      <c r="F36" s="9"/>
      <c r="G36" s="9" t="s">
        <v>18</v>
      </c>
    </row>
    <row r="37" spans="2:7" x14ac:dyDescent="0.2">
      <c r="B37" s="456"/>
      <c r="C37" s="456"/>
      <c r="D37" s="45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3" zoomScale="73" zoomScaleNormal="73" workbookViewId="0">
      <selection activeCell="L12" sqref="L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8" t="s">
        <v>96</v>
      </c>
      <c r="C5" s="508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12.75" customHeight="1" x14ac:dyDescent="0.2">
      <c r="A6" s="26" t="s">
        <v>20</v>
      </c>
      <c r="B6" s="509"/>
      <c r="C6" s="509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10"/>
      <c r="C7" s="510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191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506</v>
      </c>
      <c r="E8" s="228" t="s">
        <v>97</v>
      </c>
      <c r="F8" s="228" t="s">
        <v>221</v>
      </c>
      <c r="G8" s="227" t="s">
        <v>273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85</v>
      </c>
      <c r="B9" s="289" t="s">
        <v>158</v>
      </c>
      <c r="C9" s="375" t="s">
        <v>115</v>
      </c>
      <c r="D9" s="263" t="s">
        <v>143</v>
      </c>
      <c r="E9" s="145" t="s">
        <v>154</v>
      </c>
      <c r="F9" s="145" t="s">
        <v>236</v>
      </c>
      <c r="G9" s="241">
        <v>43374</v>
      </c>
      <c r="H9" s="325" t="s">
        <v>117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9">
        <f t="shared" ref="O9" si="2">(K9+N9)/I9*30.4</f>
        <v>11345.279999999999</v>
      </c>
      <c r="P9" s="319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7"/>
      <c r="B10" s="282">
        <v>188</v>
      </c>
      <c r="C10" s="375" t="s">
        <v>115</v>
      </c>
      <c r="D10" s="284" t="s">
        <v>159</v>
      </c>
      <c r="E10" s="285" t="s">
        <v>160</v>
      </c>
      <c r="F10" s="285" t="s">
        <v>237</v>
      </c>
      <c r="G10" s="376">
        <v>43389</v>
      </c>
      <c r="H10" s="271" t="s">
        <v>220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9">
        <f>(K10+N10)/I10*30.4</f>
        <v>14666.317866666666</v>
      </c>
      <c r="P10" s="319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7"/>
      <c r="B11" s="283" t="s">
        <v>207</v>
      </c>
      <c r="C11" s="283" t="s">
        <v>115</v>
      </c>
      <c r="D11" s="333" t="s">
        <v>208</v>
      </c>
      <c r="E11" s="134" t="s">
        <v>209</v>
      </c>
      <c r="F11" s="134" t="s">
        <v>239</v>
      </c>
      <c r="G11" s="210">
        <v>43512</v>
      </c>
      <c r="H11" s="325" t="s">
        <v>117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7"/>
      <c r="B12" s="282">
        <v>317</v>
      </c>
      <c r="C12" s="283" t="s">
        <v>115</v>
      </c>
      <c r="D12" s="262" t="s">
        <v>282</v>
      </c>
      <c r="E12" s="145" t="s">
        <v>283</v>
      </c>
      <c r="F12" s="145" t="s">
        <v>284</v>
      </c>
      <c r="G12" s="241">
        <v>45078</v>
      </c>
      <c r="H12" s="325" t="s">
        <v>117</v>
      </c>
      <c r="I12" s="272">
        <v>15</v>
      </c>
      <c r="J12" s="273">
        <f>K12/I12</f>
        <v>373.2</v>
      </c>
      <c r="K12" s="274">
        <v>5598</v>
      </c>
      <c r="L12" s="275">
        <v>372.45</v>
      </c>
      <c r="M12" s="276">
        <f t="shared" ref="M12" si="17">SUM(K12:L12)</f>
        <v>5970.45</v>
      </c>
      <c r="N12" s="298">
        <f t="shared" ref="N12" si="18">IF(K12/15&lt;=SMG,0,L12/2)</f>
        <v>186.22499999999999</v>
      </c>
      <c r="O12" s="319">
        <f t="shared" ref="O12" si="19">(K12+N12)/I12*30.4</f>
        <v>11722.696</v>
      </c>
      <c r="P12" s="319">
        <f t="shared" ref="P12" si="20">VLOOKUP(O12,Tarifa,1)</f>
        <v>11128.02</v>
      </c>
      <c r="Q12" s="298">
        <f t="shared" ref="Q12" si="21">O12-P12</f>
        <v>594.67599999999948</v>
      </c>
      <c r="R12" s="299">
        <f t="shared" ref="R12" si="22">VLOOKUP(O12,Tarifa,3)</f>
        <v>0.16</v>
      </c>
      <c r="S12" s="298">
        <f t="shared" ref="S12" si="23">Q12*R12</f>
        <v>95.148159999999919</v>
      </c>
      <c r="T12" s="300">
        <f t="shared" ref="T12" si="24">VLOOKUP(O12,Tarifa,2)</f>
        <v>893.63</v>
      </c>
      <c r="U12" s="298">
        <f t="shared" ref="U12" si="25">S12+T12</f>
        <v>988.77815999999996</v>
      </c>
      <c r="V12" s="298">
        <f t="shared" ref="V12" si="26">VLOOKUP(O12,Credito,2)</f>
        <v>0</v>
      </c>
      <c r="W12" s="298">
        <f t="shared" ref="W12" si="27">ROUND((U12-V12)/30.4*I12,2)</f>
        <v>487.88</v>
      </c>
      <c r="X12" s="276">
        <f t="shared" ref="X12" si="28">-IF(W12&gt;0,0,0)</f>
        <v>0</v>
      </c>
      <c r="Y12" s="276">
        <f t="shared" si="15"/>
        <v>487.88</v>
      </c>
      <c r="Z12" s="277">
        <v>0</v>
      </c>
      <c r="AA12" s="276">
        <f t="shared" ref="AA12" si="29">SUM(Y12:Z12)</f>
        <v>487.88</v>
      </c>
      <c r="AB12" s="276">
        <f t="shared" ref="AB12" si="30">M12+X12-AA12</f>
        <v>5482.57</v>
      </c>
      <c r="AC12" s="288"/>
    </row>
    <row r="13" spans="1:30" s="280" customFormat="1" ht="230.25" customHeight="1" x14ac:dyDescent="0.2">
      <c r="A13" s="377"/>
      <c r="B13" s="324">
        <v>353</v>
      </c>
      <c r="C13" s="283" t="s">
        <v>115</v>
      </c>
      <c r="D13" s="264" t="s">
        <v>355</v>
      </c>
      <c r="E13" s="135" t="s">
        <v>356</v>
      </c>
      <c r="F13" s="135" t="s">
        <v>357</v>
      </c>
      <c r="G13" s="261">
        <v>45391</v>
      </c>
      <c r="H13" s="325" t="s">
        <v>117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0" s="91" customFormat="1" ht="26.25" customHeight="1" x14ac:dyDescent="0.25">
      <c r="A17" s="146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0" s="91" customFormat="1" ht="27.75" customHeight="1" x14ac:dyDescent="0.25">
      <c r="A18" s="146"/>
      <c r="B18" s="461" t="str">
        <f>A3</f>
        <v>SUELDO  DEL 16 AL 30 DE SEPTIEMBRE DE 2025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7"/>
      <c r="B20" s="324">
        <v>398</v>
      </c>
      <c r="C20" s="283" t="s">
        <v>115</v>
      </c>
      <c r="D20" s="264" t="s">
        <v>499</v>
      </c>
      <c r="E20" s="135" t="s">
        <v>500</v>
      </c>
      <c r="F20" s="135" t="s">
        <v>501</v>
      </c>
      <c r="G20" s="261">
        <v>45597</v>
      </c>
      <c r="H20" s="325" t="s">
        <v>117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7"/>
      <c r="B21" s="431">
        <v>422</v>
      </c>
      <c r="C21" s="432" t="s">
        <v>115</v>
      </c>
      <c r="D21" s="433" t="s">
        <v>603</v>
      </c>
      <c r="E21" s="435" t="s">
        <v>605</v>
      </c>
      <c r="F21" s="434" t="s">
        <v>604</v>
      </c>
      <c r="G21" s="261">
        <v>45809</v>
      </c>
      <c r="H21" s="325" t="s">
        <v>117</v>
      </c>
      <c r="I21" s="272">
        <v>15</v>
      </c>
      <c r="J21" s="273">
        <f>K21/I21</f>
        <v>373.2</v>
      </c>
      <c r="K21" s="274">
        <v>5598</v>
      </c>
      <c r="L21" s="275">
        <v>372.45</v>
      </c>
      <c r="M21" s="276">
        <f t="shared" ref="M21" si="34">SUM(K21:L21)</f>
        <v>5970.45</v>
      </c>
      <c r="N21" s="298">
        <f t="shared" ref="N21" si="35">IF(K21/15&lt;=SMG,0,L21/2)</f>
        <v>186.22499999999999</v>
      </c>
      <c r="O21" s="319">
        <f t="shared" ref="O21" si="36">(K21+N21)/I21*30.4</f>
        <v>11722.696</v>
      </c>
      <c r="P21" s="319">
        <f t="shared" ref="P21" si="37">VLOOKUP(O21,Tarifa,1)</f>
        <v>11128.02</v>
      </c>
      <c r="Q21" s="298">
        <f t="shared" ref="Q21" si="38">O21-P21</f>
        <v>594.67599999999948</v>
      </c>
      <c r="R21" s="299">
        <f t="shared" ref="R21" si="39">VLOOKUP(O21,Tarifa,3)</f>
        <v>0.16</v>
      </c>
      <c r="S21" s="298">
        <f t="shared" ref="S21" si="40">Q21*R21</f>
        <v>95.148159999999919</v>
      </c>
      <c r="T21" s="300">
        <f t="shared" ref="T21" si="41">VLOOKUP(O21,Tarifa,2)</f>
        <v>893.63</v>
      </c>
      <c r="U21" s="298">
        <f t="shared" ref="U21" si="42">S21+T21</f>
        <v>988.77815999999996</v>
      </c>
      <c r="V21" s="298">
        <f t="shared" ref="V21" si="43">VLOOKUP(O21,Credito,2)</f>
        <v>0</v>
      </c>
      <c r="W21" s="298">
        <f t="shared" ref="W21" si="44">ROUND((U21-V21)/30.4*I21,2)</f>
        <v>487.88</v>
      </c>
      <c r="X21" s="276">
        <f t="shared" si="31"/>
        <v>0</v>
      </c>
      <c r="Y21" s="276">
        <f t="shared" si="32"/>
        <v>487.88</v>
      </c>
      <c r="Z21" s="277">
        <v>0</v>
      </c>
      <c r="AA21" s="276">
        <f t="shared" ref="AA21" si="45">SUM(Y21:Z21)</f>
        <v>487.88</v>
      </c>
      <c r="AB21" s="276">
        <f t="shared" ref="AB21" si="46">M21+X21-AA21</f>
        <v>5482.57</v>
      </c>
      <c r="AC21" s="288"/>
    </row>
    <row r="22" spans="1:30" s="280" customFormat="1" ht="216.75" customHeight="1" x14ac:dyDescent="0.2">
      <c r="A22" s="377"/>
      <c r="B22" s="289" t="s">
        <v>181</v>
      </c>
      <c r="C22" s="283" t="s">
        <v>115</v>
      </c>
      <c r="D22" s="268" t="s">
        <v>80</v>
      </c>
      <c r="E22" s="269" t="s">
        <v>106</v>
      </c>
      <c r="F22" s="269" t="s">
        <v>224</v>
      </c>
      <c r="G22" s="270">
        <v>41410</v>
      </c>
      <c r="H22" s="271" t="s">
        <v>174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7" t="s">
        <v>44</v>
      </c>
      <c r="B24" s="458"/>
      <c r="C24" s="458"/>
      <c r="D24" s="458"/>
      <c r="E24" s="458"/>
      <c r="F24" s="458"/>
      <c r="G24" s="458"/>
      <c r="H24" s="458"/>
      <c r="I24" s="458"/>
      <c r="J24" s="459"/>
      <c r="K24" s="208">
        <f t="shared" ref="K24:AB24" si="47">SUM(K9:K23)</f>
        <v>41762.67</v>
      </c>
      <c r="L24" s="208">
        <f t="shared" si="47"/>
        <v>744.9</v>
      </c>
      <c r="M24" s="208">
        <f t="shared" si="47"/>
        <v>42507.57</v>
      </c>
      <c r="N24" s="209">
        <f t="shared" si="47"/>
        <v>372.45</v>
      </c>
      <c r="O24" s="209">
        <f t="shared" si="47"/>
        <v>85393.843199999974</v>
      </c>
      <c r="P24" s="209">
        <f t="shared" si="47"/>
        <v>71648.12999999999</v>
      </c>
      <c r="Q24" s="209">
        <f t="shared" si="47"/>
        <v>13745.713199999997</v>
      </c>
      <c r="R24" s="209">
        <f t="shared" si="47"/>
        <v>1.0944</v>
      </c>
      <c r="S24" s="209">
        <f t="shared" si="47"/>
        <v>1689.3784763733329</v>
      </c>
      <c r="T24" s="209">
        <f t="shared" si="47"/>
        <v>5351.09</v>
      </c>
      <c r="U24" s="209">
        <f t="shared" si="47"/>
        <v>7040.4684763733321</v>
      </c>
      <c r="V24" s="209">
        <f t="shared" si="47"/>
        <v>1900</v>
      </c>
      <c r="W24" s="209">
        <f t="shared" si="47"/>
        <v>2536.4100000000003</v>
      </c>
      <c r="X24" s="208">
        <f t="shared" si="47"/>
        <v>0</v>
      </c>
      <c r="Y24" s="208">
        <f t="shared" si="47"/>
        <v>2513.8100000000004</v>
      </c>
      <c r="Z24" s="208">
        <f t="shared" si="47"/>
        <v>0</v>
      </c>
      <c r="AA24" s="208">
        <f t="shared" si="47"/>
        <v>2513.8100000000004</v>
      </c>
      <c r="AB24" s="208">
        <f t="shared" si="47"/>
        <v>39993.759999999995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478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149</v>
      </c>
      <c r="Z40" s="108"/>
      <c r="AA40" s="108"/>
      <c r="AB40" s="108"/>
    </row>
    <row r="41" spans="4:29" ht="18" x14ac:dyDescent="0.25">
      <c r="D41" s="213" t="s">
        <v>493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218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27" zoomScale="68" zoomScaleNormal="68" workbookViewId="0">
      <selection activeCell="B22" sqref="A22:XFD2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71" t="s">
        <v>76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"/>
    </row>
    <row r="3" spans="1:30" ht="18" x14ac:dyDescent="0.25">
      <c r="A3" s="430"/>
      <c r="B3" s="471" t="str">
        <f>PRESIDENCIA!A3</f>
        <v>SUELDO  DEL 16 AL 30 DE SEPTIEMBRE DE 2025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8"/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6" t="s">
        <v>114</v>
      </c>
      <c r="C8" s="517"/>
      <c r="D8" s="518"/>
      <c r="E8" s="228" t="s">
        <v>97</v>
      </c>
      <c r="F8" s="228" t="s">
        <v>221</v>
      </c>
      <c r="G8" s="227" t="s">
        <v>273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2" customFormat="1" ht="197.25" customHeight="1" x14ac:dyDescent="0.2">
      <c r="A9" s="265" t="s">
        <v>83</v>
      </c>
      <c r="B9" s="283" t="s">
        <v>338</v>
      </c>
      <c r="C9" s="283" t="s">
        <v>115</v>
      </c>
      <c r="D9" s="380" t="s">
        <v>339</v>
      </c>
      <c r="E9" s="365" t="s">
        <v>340</v>
      </c>
      <c r="F9" s="365" t="s">
        <v>341</v>
      </c>
      <c r="G9" s="357">
        <v>45367</v>
      </c>
      <c r="H9" s="325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76">
        <f>M9+X9-Y9</f>
        <v>12000</v>
      </c>
      <c r="AC9" s="381"/>
      <c r="AD9" s="339"/>
    </row>
    <row r="10" spans="1:30" s="280" customFormat="1" ht="197.25" customHeight="1" x14ac:dyDescent="0.2">
      <c r="A10" s="377"/>
      <c r="B10" s="283" t="s">
        <v>173</v>
      </c>
      <c r="C10" s="283" t="s">
        <v>115</v>
      </c>
      <c r="D10" s="380" t="s">
        <v>171</v>
      </c>
      <c r="E10" s="365" t="s">
        <v>172</v>
      </c>
      <c r="F10" s="365" t="s">
        <v>242</v>
      </c>
      <c r="G10" s="357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0</v>
      </c>
      <c r="M10" s="276">
        <f t="shared" ref="M10" si="1">SUM(K10:L10)</f>
        <v>9762.18</v>
      </c>
      <c r="N10" s="406">
        <f t="shared" ref="N10" si="2">IF(K10/15&lt;=SMG,0,L10/2)</f>
        <v>0</v>
      </c>
      <c r="O10" s="406">
        <f t="shared" ref="O10" si="3">(K10+N10)/I10*30.4</f>
        <v>19784.684799999999</v>
      </c>
      <c r="P10" s="406">
        <f t="shared" ref="P10" si="4">VLOOKUP(O10,Tarifa,1)</f>
        <v>15487.72</v>
      </c>
      <c r="Q10" s="406">
        <f t="shared" ref="Q10" si="5">O10-P10</f>
        <v>4296.9647999999997</v>
      </c>
      <c r="R10" s="407">
        <f t="shared" ref="R10" si="6">VLOOKUP(O10,Tarifa,3)</f>
        <v>0.21360000000000001</v>
      </c>
      <c r="S10" s="406">
        <f t="shared" ref="S10" si="7">Q10*R10</f>
        <v>917.83168128</v>
      </c>
      <c r="T10" s="408">
        <f t="shared" ref="T10" si="8">VLOOKUP(O10,Tarifa,2)</f>
        <v>1640.18</v>
      </c>
      <c r="U10" s="406">
        <f t="shared" ref="U10" si="9">S10+T10</f>
        <v>2558.0116812800002</v>
      </c>
      <c r="V10" s="406">
        <f t="shared" ref="V10" si="10">VLOOKUP(O10,Credito,2)</f>
        <v>0</v>
      </c>
      <c r="W10" s="406">
        <f t="shared" ref="W10" si="11">ROUND((U10-V10)/30.4*I10,2)</f>
        <v>1262.18</v>
      </c>
      <c r="X10" s="276">
        <f>-IF(W10&gt;0,0,0)</f>
        <v>0</v>
      </c>
      <c r="Y10" s="276">
        <f t="shared" ref="Y10" si="12">IF(K10/15&lt;=SMG,0,IF(W10&lt;0,0,W10))</f>
        <v>1262.18</v>
      </c>
      <c r="Z10" s="277">
        <v>0</v>
      </c>
      <c r="AA10" s="276">
        <f t="shared" ref="AA10" si="13">SUM(Y10:Z10)</f>
        <v>1262.18</v>
      </c>
      <c r="AB10" s="276">
        <f t="shared" ref="AB10" si="14">M10+X10-AA10</f>
        <v>8500</v>
      </c>
      <c r="AC10" s="381"/>
      <c r="AD10" s="339"/>
    </row>
    <row r="11" spans="1:30" s="280" customFormat="1" ht="197.25" customHeight="1" x14ac:dyDescent="0.2">
      <c r="A11" s="377"/>
      <c r="B11" s="283" t="s">
        <v>342</v>
      </c>
      <c r="C11" s="283" t="s">
        <v>115</v>
      </c>
      <c r="D11" s="383" t="s">
        <v>343</v>
      </c>
      <c r="E11" s="365" t="s">
        <v>344</v>
      </c>
      <c r="F11" s="365" t="s">
        <v>345</v>
      </c>
      <c r="G11" s="357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0</v>
      </c>
      <c r="M11" s="276">
        <f t="shared" ref="M11" si="15">SUM(K11:L11)</f>
        <v>9762.18</v>
      </c>
      <c r="N11" s="406">
        <f t="shared" ref="N11" si="16">IF(K11/15&lt;=SMG,0,L11/2)</f>
        <v>0</v>
      </c>
      <c r="O11" s="406">
        <f t="shared" ref="O11" si="17">(K11+N11)/I11*30.4</f>
        <v>19784.684799999999</v>
      </c>
      <c r="P11" s="406">
        <f t="shared" ref="P11" si="18">VLOOKUP(O11,Tarifa,1)</f>
        <v>15487.72</v>
      </c>
      <c r="Q11" s="406">
        <f t="shared" ref="Q11" si="19">O11-P11</f>
        <v>4296.9647999999997</v>
      </c>
      <c r="R11" s="407">
        <f t="shared" ref="R11" si="20">VLOOKUP(O11,Tarifa,3)</f>
        <v>0.21360000000000001</v>
      </c>
      <c r="S11" s="406">
        <f t="shared" ref="S11" si="21">Q11*R11</f>
        <v>917.83168128</v>
      </c>
      <c r="T11" s="408">
        <f t="shared" ref="T11" si="22">VLOOKUP(O11,Tarifa,2)</f>
        <v>1640.18</v>
      </c>
      <c r="U11" s="406">
        <f t="shared" ref="U11" si="23">S11+T11</f>
        <v>2558.0116812800002</v>
      </c>
      <c r="V11" s="406">
        <f t="shared" ref="V11" si="24">VLOOKUP(O11,Credito,2)</f>
        <v>0</v>
      </c>
      <c r="W11" s="406">
        <f t="shared" ref="W11" si="25">ROUND((U11-V11)/30.4*I11,2)</f>
        <v>1262.18</v>
      </c>
      <c r="X11" s="276">
        <f>-IF(W11&gt;0,0,0)</f>
        <v>0</v>
      </c>
      <c r="Y11" s="276">
        <f t="shared" ref="Y11:Y12" si="26">IF(K11/15&lt;=SMG,0,IF(W11&lt;0,0,W11))</f>
        <v>1262.18</v>
      </c>
      <c r="Z11" s="277">
        <v>0</v>
      </c>
      <c r="AA11" s="276">
        <f t="shared" ref="AA11:AA12" si="27">SUM(Y11:Z11)</f>
        <v>1262.18</v>
      </c>
      <c r="AB11" s="276">
        <f t="shared" ref="AB11:AB12" si="28">M11+X11-AA11</f>
        <v>8500</v>
      </c>
      <c r="AC11" s="381"/>
      <c r="AD11" s="339"/>
    </row>
    <row r="12" spans="1:30" s="280" customFormat="1" ht="197.25" customHeight="1" x14ac:dyDescent="0.2">
      <c r="A12" s="377"/>
      <c r="B12" s="283" t="s">
        <v>346</v>
      </c>
      <c r="C12" s="283" t="s">
        <v>115</v>
      </c>
      <c r="D12" s="383" t="s">
        <v>490</v>
      </c>
      <c r="E12" s="365" t="s">
        <v>347</v>
      </c>
      <c r="F12" s="278" t="s">
        <v>348</v>
      </c>
      <c r="G12" s="329">
        <v>45367</v>
      </c>
      <c r="H12" s="271" t="s">
        <v>250</v>
      </c>
      <c r="I12" s="272">
        <v>15</v>
      </c>
      <c r="J12" s="272">
        <f t="shared" ref="J12" si="29">K12/I12</f>
        <v>608.42466666666667</v>
      </c>
      <c r="K12" s="274">
        <v>9126.3700000000008</v>
      </c>
      <c r="L12" s="274"/>
      <c r="M12" s="276">
        <f t="shared" ref="M12" si="30">SUM(K12:K12)</f>
        <v>9126.3700000000008</v>
      </c>
      <c r="N12" s="298">
        <f>IF(K12/15&lt;=SMG,0,L12/2)</f>
        <v>0</v>
      </c>
      <c r="O12" s="319">
        <f>(K12+N12)/I12*30.4</f>
        <v>18496.109866666666</v>
      </c>
      <c r="P12" s="319">
        <f>VLOOKUP(O12,Tarifa,1)</f>
        <v>15487.72</v>
      </c>
      <c r="Q12" s="298">
        <f>O12-P12</f>
        <v>3008.3898666666664</v>
      </c>
      <c r="R12" s="299">
        <f>VLOOKUP(O12,Tarifa,3)</f>
        <v>0.21360000000000001</v>
      </c>
      <c r="S12" s="298">
        <f>Q12*R12</f>
        <v>642.59207551999998</v>
      </c>
      <c r="T12" s="300">
        <f>VLOOKUP(O12,Tarifa,2)</f>
        <v>1640.18</v>
      </c>
      <c r="U12" s="298">
        <f>S12+T12</f>
        <v>2282.7720755199998</v>
      </c>
      <c r="V12" s="298">
        <f>VLOOKUP(O12,Credito,2)</f>
        <v>0</v>
      </c>
      <c r="W12" s="298">
        <f>ROUND((U12-V12)/30.4*I12,2)</f>
        <v>1126.3699999999999</v>
      </c>
      <c r="X12" s="276">
        <f t="shared" ref="X12" si="31">-IF(W12&gt;0,0,W12)</f>
        <v>0</v>
      </c>
      <c r="Y12" s="276">
        <f t="shared" si="26"/>
        <v>1126.3699999999999</v>
      </c>
      <c r="Z12" s="277">
        <v>0</v>
      </c>
      <c r="AA12" s="276">
        <f t="shared" si="27"/>
        <v>1126.3699999999999</v>
      </c>
      <c r="AB12" s="276">
        <f t="shared" si="28"/>
        <v>8000.0000000000009</v>
      </c>
      <c r="AC12" s="381"/>
      <c r="AD12" s="339"/>
    </row>
    <row r="13" spans="1:30" s="280" customFormat="1" ht="197.25" customHeight="1" x14ac:dyDescent="0.2">
      <c r="A13" s="377"/>
      <c r="B13" s="283" t="s">
        <v>352</v>
      </c>
      <c r="C13" s="283" t="s">
        <v>115</v>
      </c>
      <c r="D13" s="383" t="s">
        <v>489</v>
      </c>
      <c r="E13" s="365" t="s">
        <v>353</v>
      </c>
      <c r="F13" s="278" t="s">
        <v>354</v>
      </c>
      <c r="G13" s="329">
        <v>45367</v>
      </c>
      <c r="H13" s="271" t="s">
        <v>250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0</v>
      </c>
      <c r="M13" s="276">
        <f t="shared" ref="M13" si="32">SUM(K13:K13)</f>
        <v>9126.3700000000008</v>
      </c>
      <c r="N13" s="298">
        <f>IF(K13/15&lt;=SMG,0,L13/2)</f>
        <v>0</v>
      </c>
      <c r="O13" s="319">
        <f>(K13+N13)/I13*30.4</f>
        <v>18496.109866666666</v>
      </c>
      <c r="P13" s="319">
        <f>VLOOKUP(O13,Tarifa,1)</f>
        <v>15487.72</v>
      </c>
      <c r="Q13" s="298">
        <f>O13-P13</f>
        <v>3008.3898666666664</v>
      </c>
      <c r="R13" s="299">
        <f>VLOOKUP(O13,Tarifa,3)</f>
        <v>0.21360000000000001</v>
      </c>
      <c r="S13" s="298">
        <f>Q13*R13</f>
        <v>642.59207551999998</v>
      </c>
      <c r="T13" s="300">
        <f>VLOOKUP(O13,Tarifa,2)</f>
        <v>1640.18</v>
      </c>
      <c r="U13" s="298">
        <f>S13+T13</f>
        <v>2282.7720755199998</v>
      </c>
      <c r="V13" s="298">
        <f>VLOOKUP(O13,Credito,2)</f>
        <v>0</v>
      </c>
      <c r="W13" s="298">
        <f>ROUND((U13-V13)/30.4*I13,2)</f>
        <v>1126.3699999999999</v>
      </c>
      <c r="X13" s="276">
        <f t="shared" ref="X13" si="33">-IF(W13&gt;0,0,W13)</f>
        <v>0</v>
      </c>
      <c r="Y13" s="276">
        <f t="shared" ref="Y13" si="34">IF(K13/15&lt;=SMG,0,IF(W13&lt;0,0,W13))</f>
        <v>1126.3699999999999</v>
      </c>
      <c r="Z13" s="277">
        <v>0</v>
      </c>
      <c r="AA13" s="276">
        <f t="shared" ref="AA13" si="35">SUM(Y13:Z13)</f>
        <v>1126.3699999999999</v>
      </c>
      <c r="AB13" s="276">
        <f t="shared" ref="AB13" si="36">M13+X13-AA13</f>
        <v>8000.0000000000009</v>
      </c>
      <c r="AC13" s="381"/>
      <c r="AD13" s="339"/>
    </row>
    <row r="14" spans="1:30" s="280" customFormat="1" ht="197.25" customHeight="1" x14ac:dyDescent="0.2">
      <c r="A14" s="377"/>
      <c r="B14" s="283" t="s">
        <v>102</v>
      </c>
      <c r="C14" s="283" t="s">
        <v>115</v>
      </c>
      <c r="D14" s="380" t="s">
        <v>82</v>
      </c>
      <c r="E14" s="278" t="s">
        <v>113</v>
      </c>
      <c r="F14" s="278" t="s">
        <v>226</v>
      </c>
      <c r="G14" s="329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76">
        <f t="shared" ref="M14" si="37">SUM(K14:L14)</f>
        <v>8087</v>
      </c>
      <c r="N14" s="298">
        <f t="shared" ref="N14" si="38">IF(K14/15&lt;=SMG,0,L14/2)</f>
        <v>0</v>
      </c>
      <c r="O14" s="319">
        <f t="shared" ref="O14" si="39">(K14+N14)/I14*30.4</f>
        <v>16389.653333333332</v>
      </c>
      <c r="P14" s="319">
        <f t="shared" ref="P14" si="40">VLOOKUP(O14,Tarifa,1)</f>
        <v>15487.72</v>
      </c>
      <c r="Q14" s="298">
        <f t="shared" ref="Q14" si="41">O14-P14</f>
        <v>901.93333333333248</v>
      </c>
      <c r="R14" s="299">
        <f t="shared" ref="R14" si="42">VLOOKUP(O14,Tarifa,3)</f>
        <v>0.21360000000000001</v>
      </c>
      <c r="S14" s="298">
        <f t="shared" ref="S14" si="43">Q14*R14</f>
        <v>192.65295999999984</v>
      </c>
      <c r="T14" s="300">
        <f t="shared" ref="T14" si="44">VLOOKUP(O14,Tarifa,2)</f>
        <v>1640.18</v>
      </c>
      <c r="U14" s="298">
        <f t="shared" ref="U14" si="45">S14+T14</f>
        <v>1832.83296</v>
      </c>
      <c r="V14" s="298">
        <f t="shared" ref="V14" si="46">VLOOKUP(O14,Credito,2)</f>
        <v>0</v>
      </c>
      <c r="W14" s="298">
        <f t="shared" ref="W14" si="47">ROUND((U14-V14)/30.4*I14,2)</f>
        <v>904.36</v>
      </c>
      <c r="X14" s="276">
        <f t="shared" ref="X14" si="48">-IF(W14&gt;0,0,0)</f>
        <v>0</v>
      </c>
      <c r="Y14" s="276">
        <f t="shared" ref="Y14" si="49">IF(K14/15&lt;=SMG,0,IF(W14&lt;0,0,W14))</f>
        <v>904.36</v>
      </c>
      <c r="Z14" s="277">
        <v>0</v>
      </c>
      <c r="AA14" s="276">
        <f t="shared" ref="AA14:AA16" si="50">SUM(Y14:Z14)</f>
        <v>904.36</v>
      </c>
      <c r="AB14" s="276">
        <f t="shared" ref="AB14" si="51">M14+X14-AA14</f>
        <v>7182.64</v>
      </c>
      <c r="AC14" s="381"/>
      <c r="AD14" s="339"/>
    </row>
    <row r="15" spans="1:30" s="280" customFormat="1" ht="197.25" customHeight="1" x14ac:dyDescent="0.2">
      <c r="A15" s="377"/>
      <c r="B15" s="283" t="s">
        <v>289</v>
      </c>
      <c r="C15" s="283" t="s">
        <v>115</v>
      </c>
      <c r="D15" s="383" t="s">
        <v>290</v>
      </c>
      <c r="E15" s="365" t="s">
        <v>291</v>
      </c>
      <c r="F15" s="278" t="s">
        <v>292</v>
      </c>
      <c r="G15" s="329">
        <v>45092</v>
      </c>
      <c r="H15" s="271" t="s">
        <v>79</v>
      </c>
      <c r="I15" s="272">
        <v>15</v>
      </c>
      <c r="J15" s="272">
        <f t="shared" ref="J15:J16" si="52">K15/I15</f>
        <v>539.13333333333333</v>
      </c>
      <c r="K15" s="274">
        <v>8087</v>
      </c>
      <c r="L15" s="275">
        <v>0</v>
      </c>
      <c r="M15" s="276">
        <f t="shared" ref="M15:M16" si="53">SUM(K15:L15)</f>
        <v>8087</v>
      </c>
      <c r="N15" s="298">
        <f t="shared" ref="N15:N16" si="54">IF(K15/15&lt;=SMG,0,L15/2)</f>
        <v>0</v>
      </c>
      <c r="O15" s="319">
        <f t="shared" ref="O15:O16" si="55">(K15+N15)/I15*30.4</f>
        <v>16389.653333333332</v>
      </c>
      <c r="P15" s="319">
        <f t="shared" ref="P15:P16" si="56">VLOOKUP(O15,Tarifa,1)</f>
        <v>15487.72</v>
      </c>
      <c r="Q15" s="298">
        <f t="shared" ref="Q15:Q16" si="57">O15-P15</f>
        <v>901.93333333333248</v>
      </c>
      <c r="R15" s="299">
        <f t="shared" ref="R15:R16" si="58">VLOOKUP(O15,Tarifa,3)</f>
        <v>0.21360000000000001</v>
      </c>
      <c r="S15" s="298">
        <f t="shared" ref="S15:S16" si="59">Q15*R15</f>
        <v>192.65295999999984</v>
      </c>
      <c r="T15" s="300">
        <f t="shared" ref="T15:T16" si="60">VLOOKUP(O15,Tarifa,2)</f>
        <v>1640.18</v>
      </c>
      <c r="U15" s="298">
        <f t="shared" ref="U15:U16" si="61">S15+T15</f>
        <v>1832.83296</v>
      </c>
      <c r="V15" s="298">
        <f t="shared" ref="V15:V16" si="62">VLOOKUP(O15,Credito,2)</f>
        <v>0</v>
      </c>
      <c r="W15" s="298">
        <f t="shared" ref="W15:W16" si="63">ROUND((U15-V15)/30.4*I15,2)</f>
        <v>904.36</v>
      </c>
      <c r="X15" s="276">
        <f t="shared" ref="X15:X16" si="64">-IF(W15&gt;0,0,0)</f>
        <v>0</v>
      </c>
      <c r="Y15" s="276">
        <f t="shared" ref="Y15:Y16" si="65">IF(K15/15&lt;=SMG,0,IF(W15&lt;0,0,W15))</f>
        <v>904.36</v>
      </c>
      <c r="Z15" s="277">
        <v>0</v>
      </c>
      <c r="AA15" s="276">
        <f t="shared" si="50"/>
        <v>904.36</v>
      </c>
      <c r="AB15" s="276">
        <f t="shared" ref="AB15:AB16" si="66">M15+X15-AA15</f>
        <v>7182.64</v>
      </c>
      <c r="AC15" s="381"/>
      <c r="AD15" s="339"/>
    </row>
    <row r="16" spans="1:30" ht="197.25" customHeight="1" x14ac:dyDescent="0.25">
      <c r="A16" s="146"/>
      <c r="B16" s="283" t="s">
        <v>349</v>
      </c>
      <c r="C16" s="283" t="s">
        <v>115</v>
      </c>
      <c r="D16" s="383" t="s">
        <v>491</v>
      </c>
      <c r="E16" s="365" t="s">
        <v>350</v>
      </c>
      <c r="F16" s="278" t="s">
        <v>351</v>
      </c>
      <c r="G16" s="329">
        <v>45367</v>
      </c>
      <c r="H16" s="271" t="s">
        <v>79</v>
      </c>
      <c r="I16" s="272">
        <v>15</v>
      </c>
      <c r="J16" s="272">
        <f t="shared" si="52"/>
        <v>539.13333333333333</v>
      </c>
      <c r="K16" s="274">
        <v>8087</v>
      </c>
      <c r="L16" s="275">
        <v>0</v>
      </c>
      <c r="M16" s="276">
        <f t="shared" si="53"/>
        <v>8087</v>
      </c>
      <c r="N16" s="298">
        <f t="shared" si="54"/>
        <v>0</v>
      </c>
      <c r="O16" s="319">
        <f t="shared" si="55"/>
        <v>16389.653333333332</v>
      </c>
      <c r="P16" s="319">
        <f t="shared" si="56"/>
        <v>15487.72</v>
      </c>
      <c r="Q16" s="298">
        <f t="shared" si="57"/>
        <v>901.93333333333248</v>
      </c>
      <c r="R16" s="299">
        <f t="shared" si="58"/>
        <v>0.21360000000000001</v>
      </c>
      <c r="S16" s="298">
        <f t="shared" si="59"/>
        <v>192.65295999999984</v>
      </c>
      <c r="T16" s="300">
        <f t="shared" si="60"/>
        <v>1640.18</v>
      </c>
      <c r="U16" s="298">
        <f t="shared" si="61"/>
        <v>1832.83296</v>
      </c>
      <c r="V16" s="298">
        <f t="shared" si="62"/>
        <v>0</v>
      </c>
      <c r="W16" s="298">
        <f t="shared" si="63"/>
        <v>904.36</v>
      </c>
      <c r="X16" s="276">
        <f t="shared" si="64"/>
        <v>0</v>
      </c>
      <c r="Y16" s="276">
        <f t="shared" si="65"/>
        <v>904.36</v>
      </c>
      <c r="Z16" s="277">
        <v>0</v>
      </c>
      <c r="AA16" s="276">
        <f t="shared" si="50"/>
        <v>904.36</v>
      </c>
      <c r="AB16" s="276">
        <f t="shared" si="66"/>
        <v>7182.64</v>
      </c>
      <c r="AC16" s="338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512" t="s">
        <v>363</v>
      </c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4"/>
    </row>
    <row r="19" spans="1:30" ht="23.25" customHeight="1" x14ac:dyDescent="0.25">
      <c r="A19" s="146"/>
      <c r="B19" s="512" t="s">
        <v>364</v>
      </c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4"/>
    </row>
    <row r="20" spans="1:30" ht="23.25" customHeight="1" x14ac:dyDescent="0.25">
      <c r="A20" s="146"/>
      <c r="B20" s="511" t="str">
        <f>PRESIDENCIA!A3</f>
        <v>SUELDO  DEL 16 AL 30 DE SEPTIEMBRE DE 2025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4"/>
    </row>
    <row r="21" spans="1:30" ht="20.25" customHeight="1" x14ac:dyDescent="0.25">
      <c r="A21" s="146"/>
      <c r="B21" s="514"/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4"/>
    </row>
    <row r="22" spans="1:30" s="382" customFormat="1" ht="210" customHeight="1" x14ac:dyDescent="0.2">
      <c r="A22" s="377"/>
      <c r="B22" s="283" t="s">
        <v>319</v>
      </c>
      <c r="C22" s="283" t="s">
        <v>115</v>
      </c>
      <c r="D22" s="383" t="s">
        <v>320</v>
      </c>
      <c r="E22" s="365" t="s">
        <v>328</v>
      </c>
      <c r="F22" s="278" t="s">
        <v>321</v>
      </c>
      <c r="G22" s="329">
        <v>45200</v>
      </c>
      <c r="H22" s="271" t="s">
        <v>79</v>
      </c>
      <c r="I22" s="272">
        <v>15</v>
      </c>
      <c r="J22" s="272">
        <f t="shared" ref="J22:J25" si="67">K22/I22</f>
        <v>539.13333333333333</v>
      </c>
      <c r="K22" s="274">
        <v>8087</v>
      </c>
      <c r="L22" s="275">
        <v>0</v>
      </c>
      <c r="M22" s="276">
        <f t="shared" ref="M22:M25" si="68">SUM(K22:L22)</f>
        <v>8087</v>
      </c>
      <c r="N22" s="298">
        <f t="shared" ref="N22:N25" si="69">IF(K22/15&lt;=SMG,0,L22/2)</f>
        <v>0</v>
      </c>
      <c r="O22" s="319">
        <f t="shared" ref="O22:O25" si="70">(K22+N22)/I22*30.4</f>
        <v>16389.653333333332</v>
      </c>
      <c r="P22" s="319">
        <f t="shared" ref="P22:P25" si="71">VLOOKUP(O22,Tarifa,1)</f>
        <v>15487.72</v>
      </c>
      <c r="Q22" s="298">
        <f t="shared" ref="Q22:Q25" si="72">O22-P22</f>
        <v>901.93333333333248</v>
      </c>
      <c r="R22" s="299">
        <f t="shared" ref="R22:R25" si="73">VLOOKUP(O22,Tarifa,3)</f>
        <v>0.21360000000000001</v>
      </c>
      <c r="S22" s="298">
        <f t="shared" ref="S22:S25" si="74">Q22*R22</f>
        <v>192.65295999999984</v>
      </c>
      <c r="T22" s="300">
        <f t="shared" ref="T22:T25" si="75">VLOOKUP(O22,Tarifa,2)</f>
        <v>1640.18</v>
      </c>
      <c r="U22" s="298">
        <f t="shared" ref="U22:U25" si="76">S22+T22</f>
        <v>1832.83296</v>
      </c>
      <c r="V22" s="298">
        <f t="shared" ref="V22:V25" si="77">VLOOKUP(O22,Credito,2)</f>
        <v>0</v>
      </c>
      <c r="W22" s="298">
        <f t="shared" ref="W22:W25" si="78">ROUND((U22-V22)/30.4*I22,2)</f>
        <v>904.36</v>
      </c>
      <c r="X22" s="276">
        <f t="shared" ref="X22:X25" si="79">-IF(W22&gt;0,0,0)</f>
        <v>0</v>
      </c>
      <c r="Y22" s="276">
        <f t="shared" ref="Y22:Y25" si="80">IF(K22/15&lt;=SMG,0,IF(W22&lt;0,0,W22))</f>
        <v>904.36</v>
      </c>
      <c r="Z22" s="277">
        <v>0</v>
      </c>
      <c r="AA22" s="276">
        <f t="shared" ref="AA22:AA25" si="81">SUM(Y22:Z22)</f>
        <v>904.36</v>
      </c>
      <c r="AB22" s="276">
        <f t="shared" ref="AB22:AB25" si="82">M22+X22-AA22</f>
        <v>7182.64</v>
      </c>
      <c r="AC22" s="338"/>
      <c r="AD22" s="339"/>
    </row>
    <row r="23" spans="1:30" s="382" customFormat="1" ht="210" customHeight="1" x14ac:dyDescent="0.2">
      <c r="A23" s="377"/>
      <c r="B23" s="283" t="s">
        <v>333</v>
      </c>
      <c r="C23" s="283" t="s">
        <v>115</v>
      </c>
      <c r="D23" s="383" t="s">
        <v>336</v>
      </c>
      <c r="E23" s="365" t="s">
        <v>334</v>
      </c>
      <c r="F23" s="278" t="s">
        <v>335</v>
      </c>
      <c r="G23" s="329">
        <v>45292</v>
      </c>
      <c r="H23" s="271" t="s">
        <v>79</v>
      </c>
      <c r="I23" s="272">
        <v>15</v>
      </c>
      <c r="J23" s="272">
        <f t="shared" si="67"/>
        <v>539.13333333333333</v>
      </c>
      <c r="K23" s="274">
        <v>8087</v>
      </c>
      <c r="L23" s="275">
        <v>0</v>
      </c>
      <c r="M23" s="276">
        <f t="shared" si="68"/>
        <v>8087</v>
      </c>
      <c r="N23" s="298">
        <f t="shared" si="69"/>
        <v>0</v>
      </c>
      <c r="O23" s="319">
        <f t="shared" si="70"/>
        <v>16389.653333333332</v>
      </c>
      <c r="P23" s="319">
        <f t="shared" si="71"/>
        <v>15487.72</v>
      </c>
      <c r="Q23" s="298">
        <f t="shared" si="72"/>
        <v>901.93333333333248</v>
      </c>
      <c r="R23" s="299">
        <f t="shared" si="73"/>
        <v>0.21360000000000001</v>
      </c>
      <c r="S23" s="298">
        <f t="shared" si="74"/>
        <v>192.65295999999984</v>
      </c>
      <c r="T23" s="300">
        <f t="shared" si="75"/>
        <v>1640.18</v>
      </c>
      <c r="U23" s="298">
        <f t="shared" si="76"/>
        <v>1832.83296</v>
      </c>
      <c r="V23" s="298">
        <f t="shared" si="77"/>
        <v>0</v>
      </c>
      <c r="W23" s="298">
        <f t="shared" si="78"/>
        <v>904.36</v>
      </c>
      <c r="X23" s="276">
        <f t="shared" si="79"/>
        <v>0</v>
      </c>
      <c r="Y23" s="276">
        <f t="shared" si="80"/>
        <v>904.36</v>
      </c>
      <c r="Z23" s="277">
        <v>0</v>
      </c>
      <c r="AA23" s="276">
        <f t="shared" si="81"/>
        <v>904.36</v>
      </c>
      <c r="AB23" s="276">
        <f t="shared" si="82"/>
        <v>7182.64</v>
      </c>
      <c r="AC23" s="338"/>
      <c r="AD23" s="339"/>
    </row>
    <row r="24" spans="1:30" s="382" customFormat="1" ht="210" customHeight="1" x14ac:dyDescent="0.2">
      <c r="A24" s="377"/>
      <c r="B24" s="283" t="s">
        <v>359</v>
      </c>
      <c r="C24" s="283" t="s">
        <v>115</v>
      </c>
      <c r="D24" s="383" t="s">
        <v>360</v>
      </c>
      <c r="E24" s="365" t="s">
        <v>361</v>
      </c>
      <c r="F24" s="278" t="s">
        <v>362</v>
      </c>
      <c r="G24" s="329">
        <v>45413</v>
      </c>
      <c r="H24" s="271" t="s">
        <v>79</v>
      </c>
      <c r="I24" s="272">
        <v>15</v>
      </c>
      <c r="J24" s="272">
        <f t="shared" si="67"/>
        <v>539.13333333333333</v>
      </c>
      <c r="K24" s="274">
        <v>8087</v>
      </c>
      <c r="L24" s="275">
        <v>0</v>
      </c>
      <c r="M24" s="276">
        <f t="shared" si="68"/>
        <v>8087</v>
      </c>
      <c r="N24" s="298">
        <f t="shared" si="69"/>
        <v>0</v>
      </c>
      <c r="O24" s="319">
        <f t="shared" si="70"/>
        <v>16389.653333333332</v>
      </c>
      <c r="P24" s="319">
        <f t="shared" si="71"/>
        <v>15487.72</v>
      </c>
      <c r="Q24" s="298">
        <f t="shared" si="72"/>
        <v>901.93333333333248</v>
      </c>
      <c r="R24" s="299">
        <f t="shared" si="73"/>
        <v>0.21360000000000001</v>
      </c>
      <c r="S24" s="298">
        <f t="shared" si="74"/>
        <v>192.65295999999984</v>
      </c>
      <c r="T24" s="300">
        <f t="shared" si="75"/>
        <v>1640.18</v>
      </c>
      <c r="U24" s="298">
        <f t="shared" si="76"/>
        <v>1832.83296</v>
      </c>
      <c r="V24" s="298">
        <f t="shared" si="77"/>
        <v>0</v>
      </c>
      <c r="W24" s="298">
        <f t="shared" si="78"/>
        <v>904.36</v>
      </c>
      <c r="X24" s="276">
        <f t="shared" si="79"/>
        <v>0</v>
      </c>
      <c r="Y24" s="276">
        <f t="shared" si="80"/>
        <v>904.36</v>
      </c>
      <c r="Z24" s="277">
        <v>0</v>
      </c>
      <c r="AA24" s="276">
        <f t="shared" si="81"/>
        <v>904.36</v>
      </c>
      <c r="AB24" s="276">
        <f t="shared" si="82"/>
        <v>7182.64</v>
      </c>
      <c r="AC24" s="338"/>
      <c r="AD24" s="339"/>
    </row>
    <row r="25" spans="1:30" s="382" customFormat="1" ht="210" customHeight="1" x14ac:dyDescent="0.2">
      <c r="A25" s="377"/>
      <c r="B25" s="283" t="s">
        <v>365</v>
      </c>
      <c r="C25" s="283" t="s">
        <v>115</v>
      </c>
      <c r="D25" s="383" t="s">
        <v>366</v>
      </c>
      <c r="E25" s="365" t="s">
        <v>372</v>
      </c>
      <c r="F25" s="278" t="s">
        <v>367</v>
      </c>
      <c r="G25" s="329">
        <v>45444</v>
      </c>
      <c r="H25" s="271" t="s">
        <v>79</v>
      </c>
      <c r="I25" s="272">
        <v>15</v>
      </c>
      <c r="J25" s="272">
        <f t="shared" si="67"/>
        <v>539.13333333333333</v>
      </c>
      <c r="K25" s="274">
        <v>8087</v>
      </c>
      <c r="L25" s="275">
        <v>0</v>
      </c>
      <c r="M25" s="276">
        <f t="shared" si="68"/>
        <v>8087</v>
      </c>
      <c r="N25" s="298">
        <f t="shared" si="69"/>
        <v>0</v>
      </c>
      <c r="O25" s="319">
        <f t="shared" si="70"/>
        <v>16389.653333333332</v>
      </c>
      <c r="P25" s="319">
        <f t="shared" si="71"/>
        <v>15487.72</v>
      </c>
      <c r="Q25" s="298">
        <f t="shared" si="72"/>
        <v>901.93333333333248</v>
      </c>
      <c r="R25" s="299">
        <f t="shared" si="73"/>
        <v>0.21360000000000001</v>
      </c>
      <c r="S25" s="298">
        <f t="shared" si="74"/>
        <v>192.65295999999984</v>
      </c>
      <c r="T25" s="300">
        <f t="shared" si="75"/>
        <v>1640.18</v>
      </c>
      <c r="U25" s="298">
        <f t="shared" si="76"/>
        <v>1832.83296</v>
      </c>
      <c r="V25" s="298">
        <f t="shared" si="77"/>
        <v>0</v>
      </c>
      <c r="W25" s="298">
        <f t="shared" si="78"/>
        <v>904.36</v>
      </c>
      <c r="X25" s="276">
        <f t="shared" si="79"/>
        <v>0</v>
      </c>
      <c r="Y25" s="276">
        <f t="shared" si="80"/>
        <v>904.36</v>
      </c>
      <c r="Z25" s="277">
        <v>0</v>
      </c>
      <c r="AA25" s="276">
        <f t="shared" si="81"/>
        <v>904.36</v>
      </c>
      <c r="AB25" s="276">
        <f t="shared" si="82"/>
        <v>7182.64</v>
      </c>
      <c r="AC25" s="338"/>
      <c r="AD25" s="339"/>
    </row>
    <row r="26" spans="1:30" s="382" customFormat="1" ht="210" customHeight="1" x14ac:dyDescent="0.2">
      <c r="A26" s="377"/>
      <c r="B26" s="283" t="s">
        <v>389</v>
      </c>
      <c r="C26" s="283" t="s">
        <v>115</v>
      </c>
      <c r="D26" s="383" t="s">
        <v>390</v>
      </c>
      <c r="E26" s="365" t="s">
        <v>391</v>
      </c>
      <c r="F26" s="278" t="s">
        <v>392</v>
      </c>
      <c r="G26" s="329">
        <v>45520</v>
      </c>
      <c r="H26" s="271" t="s">
        <v>79</v>
      </c>
      <c r="I26" s="272">
        <v>15</v>
      </c>
      <c r="J26" s="272">
        <f t="shared" ref="J26:J36" si="83">K26/I26</f>
        <v>539.13333333333333</v>
      </c>
      <c r="K26" s="274">
        <v>8087</v>
      </c>
      <c r="L26" s="275">
        <v>0</v>
      </c>
      <c r="M26" s="276">
        <f t="shared" ref="M26:M36" si="84">SUM(K26:L26)</f>
        <v>8087</v>
      </c>
      <c r="N26" s="298">
        <f t="shared" ref="N26:N36" si="85">IF(K26/15&lt;=SMG,0,L26/2)</f>
        <v>0</v>
      </c>
      <c r="O26" s="319">
        <f t="shared" ref="O26:O36" si="86">(K26+N26)/I26*30.4</f>
        <v>16389.653333333332</v>
      </c>
      <c r="P26" s="319">
        <f t="shared" ref="P26:P36" si="87">VLOOKUP(O26,Tarifa,1)</f>
        <v>15487.72</v>
      </c>
      <c r="Q26" s="298">
        <f t="shared" ref="Q26:Q36" si="88">O26-P26</f>
        <v>901.93333333333248</v>
      </c>
      <c r="R26" s="299">
        <f t="shared" ref="R26:R36" si="89">VLOOKUP(O26,Tarifa,3)</f>
        <v>0.21360000000000001</v>
      </c>
      <c r="S26" s="298">
        <f t="shared" ref="S26:S36" si="90">Q26*R26</f>
        <v>192.65295999999984</v>
      </c>
      <c r="T26" s="300">
        <f t="shared" ref="T26:T36" si="91">VLOOKUP(O26,Tarifa,2)</f>
        <v>1640.18</v>
      </c>
      <c r="U26" s="298">
        <f t="shared" ref="U26:U36" si="92">S26+T26</f>
        <v>1832.83296</v>
      </c>
      <c r="V26" s="298">
        <f t="shared" ref="V26:V36" si="93">VLOOKUP(O26,Credito,2)</f>
        <v>0</v>
      </c>
      <c r="W26" s="298">
        <f t="shared" ref="W26:W36" si="94">ROUND((U26-V26)/30.4*I26,2)</f>
        <v>904.36</v>
      </c>
      <c r="X26" s="276">
        <f t="shared" ref="X26:X36" si="95">-IF(W26&gt;0,0,0)</f>
        <v>0</v>
      </c>
      <c r="Y26" s="276">
        <f t="shared" ref="Y26:Y36" si="96">IF(K26/15&lt;=SMG,0,IF(W26&lt;0,0,W26))</f>
        <v>904.36</v>
      </c>
      <c r="Z26" s="277">
        <v>0</v>
      </c>
      <c r="AA26" s="276">
        <f t="shared" ref="AA26:AA36" si="97">SUM(Y26:Z26)</f>
        <v>904.36</v>
      </c>
      <c r="AB26" s="276">
        <f t="shared" ref="AB26:AB36" si="98">M26+X26-AA26</f>
        <v>7182.64</v>
      </c>
      <c r="AC26" s="338"/>
      <c r="AD26" s="339"/>
    </row>
    <row r="27" spans="1:30" s="382" customFormat="1" ht="210" customHeight="1" x14ac:dyDescent="0.2">
      <c r="A27" s="377"/>
      <c r="B27" s="283" t="s">
        <v>553</v>
      </c>
      <c r="C27" s="283" t="s">
        <v>115</v>
      </c>
      <c r="D27" s="383" t="s">
        <v>546</v>
      </c>
      <c r="E27" s="365" t="s">
        <v>560</v>
      </c>
      <c r="F27" s="278" t="s">
        <v>547</v>
      </c>
      <c r="G27" s="329">
        <v>45704</v>
      </c>
      <c r="H27" s="271" t="s">
        <v>79</v>
      </c>
      <c r="I27" s="272">
        <v>15</v>
      </c>
      <c r="J27" s="272">
        <f t="shared" si="83"/>
        <v>539.13333333333333</v>
      </c>
      <c r="K27" s="274">
        <v>8087</v>
      </c>
      <c r="L27" s="275">
        <v>0</v>
      </c>
      <c r="M27" s="276">
        <f t="shared" si="84"/>
        <v>8087</v>
      </c>
      <c r="N27" s="298">
        <f t="shared" si="85"/>
        <v>0</v>
      </c>
      <c r="O27" s="319">
        <f t="shared" si="86"/>
        <v>16389.653333333332</v>
      </c>
      <c r="P27" s="319">
        <f t="shared" si="87"/>
        <v>15487.72</v>
      </c>
      <c r="Q27" s="298">
        <f t="shared" si="88"/>
        <v>901.93333333333248</v>
      </c>
      <c r="R27" s="299">
        <f t="shared" si="89"/>
        <v>0.21360000000000001</v>
      </c>
      <c r="S27" s="298">
        <f t="shared" si="90"/>
        <v>192.65295999999984</v>
      </c>
      <c r="T27" s="300">
        <f t="shared" si="91"/>
        <v>1640.18</v>
      </c>
      <c r="U27" s="298">
        <f t="shared" si="92"/>
        <v>1832.83296</v>
      </c>
      <c r="V27" s="298">
        <f t="shared" si="93"/>
        <v>0</v>
      </c>
      <c r="W27" s="298">
        <f t="shared" si="94"/>
        <v>904.36</v>
      </c>
      <c r="X27" s="276">
        <f t="shared" si="95"/>
        <v>0</v>
      </c>
      <c r="Y27" s="276">
        <f t="shared" si="96"/>
        <v>904.36</v>
      </c>
      <c r="Z27" s="277">
        <v>0</v>
      </c>
      <c r="AA27" s="276">
        <f t="shared" si="97"/>
        <v>904.36</v>
      </c>
      <c r="AB27" s="276">
        <f t="shared" si="98"/>
        <v>7182.64</v>
      </c>
      <c r="AC27" s="338"/>
      <c r="AD27" s="339"/>
    </row>
    <row r="28" spans="1:30" s="382" customFormat="1" ht="210" customHeight="1" x14ac:dyDescent="0.2">
      <c r="A28" s="377"/>
      <c r="B28" s="283" t="s">
        <v>554</v>
      </c>
      <c r="C28" s="283" t="s">
        <v>115</v>
      </c>
      <c r="D28" s="383" t="s">
        <v>548</v>
      </c>
      <c r="E28" s="365" t="s">
        <v>549</v>
      </c>
      <c r="F28" s="278" t="s">
        <v>550</v>
      </c>
      <c r="G28" s="329">
        <v>45704</v>
      </c>
      <c r="H28" s="271" t="s">
        <v>79</v>
      </c>
      <c r="I28" s="272">
        <v>15</v>
      </c>
      <c r="J28" s="272">
        <f t="shared" si="83"/>
        <v>539.13333333333333</v>
      </c>
      <c r="K28" s="274">
        <v>8087</v>
      </c>
      <c r="L28" s="275">
        <v>0</v>
      </c>
      <c r="M28" s="276">
        <f t="shared" si="84"/>
        <v>8087</v>
      </c>
      <c r="N28" s="298">
        <f t="shared" si="85"/>
        <v>0</v>
      </c>
      <c r="O28" s="319">
        <f t="shared" si="86"/>
        <v>16389.653333333332</v>
      </c>
      <c r="P28" s="319">
        <f t="shared" si="87"/>
        <v>15487.72</v>
      </c>
      <c r="Q28" s="298">
        <f t="shared" si="88"/>
        <v>901.93333333333248</v>
      </c>
      <c r="R28" s="299">
        <f t="shared" si="89"/>
        <v>0.21360000000000001</v>
      </c>
      <c r="S28" s="298">
        <f t="shared" si="90"/>
        <v>192.65295999999984</v>
      </c>
      <c r="T28" s="300">
        <f t="shared" si="91"/>
        <v>1640.18</v>
      </c>
      <c r="U28" s="298">
        <f t="shared" si="92"/>
        <v>1832.83296</v>
      </c>
      <c r="V28" s="298">
        <f t="shared" si="93"/>
        <v>0</v>
      </c>
      <c r="W28" s="298">
        <f t="shared" si="94"/>
        <v>904.36</v>
      </c>
      <c r="X28" s="276">
        <f t="shared" si="95"/>
        <v>0</v>
      </c>
      <c r="Y28" s="276">
        <f t="shared" si="96"/>
        <v>904.36</v>
      </c>
      <c r="Z28" s="277">
        <v>0</v>
      </c>
      <c r="AA28" s="276">
        <f t="shared" si="97"/>
        <v>904.36</v>
      </c>
      <c r="AB28" s="276">
        <f t="shared" si="98"/>
        <v>7182.64</v>
      </c>
      <c r="AC28" s="338"/>
      <c r="AD28" s="339"/>
    </row>
    <row r="29" spans="1:30" s="382" customFormat="1" ht="210" customHeight="1" x14ac:dyDescent="0.2">
      <c r="A29" s="377"/>
      <c r="B29" s="283" t="s">
        <v>558</v>
      </c>
      <c r="C29" s="283" t="s">
        <v>115</v>
      </c>
      <c r="D29" s="383" t="s">
        <v>559</v>
      </c>
      <c r="E29" s="365" t="s">
        <v>556</v>
      </c>
      <c r="F29" s="278" t="s">
        <v>557</v>
      </c>
      <c r="G29" s="329">
        <v>45717</v>
      </c>
      <c r="H29" s="271" t="s">
        <v>79</v>
      </c>
      <c r="I29" s="272">
        <v>15</v>
      </c>
      <c r="J29" s="272">
        <f t="shared" si="83"/>
        <v>539.13333333333333</v>
      </c>
      <c r="K29" s="274">
        <v>8087</v>
      </c>
      <c r="L29" s="275">
        <v>0</v>
      </c>
      <c r="M29" s="276">
        <f t="shared" si="84"/>
        <v>8087</v>
      </c>
      <c r="N29" s="298">
        <f t="shared" si="85"/>
        <v>0</v>
      </c>
      <c r="O29" s="319">
        <f t="shared" si="86"/>
        <v>16389.653333333332</v>
      </c>
      <c r="P29" s="319">
        <f t="shared" si="87"/>
        <v>15487.72</v>
      </c>
      <c r="Q29" s="298">
        <f t="shared" si="88"/>
        <v>901.93333333333248</v>
      </c>
      <c r="R29" s="299">
        <f t="shared" si="89"/>
        <v>0.21360000000000001</v>
      </c>
      <c r="S29" s="298">
        <f t="shared" si="90"/>
        <v>192.65295999999984</v>
      </c>
      <c r="T29" s="300">
        <f t="shared" si="91"/>
        <v>1640.18</v>
      </c>
      <c r="U29" s="298">
        <f t="shared" si="92"/>
        <v>1832.83296</v>
      </c>
      <c r="V29" s="298">
        <f t="shared" si="93"/>
        <v>0</v>
      </c>
      <c r="W29" s="298">
        <f t="shared" si="94"/>
        <v>904.36</v>
      </c>
      <c r="X29" s="276">
        <f t="shared" si="95"/>
        <v>0</v>
      </c>
      <c r="Y29" s="276">
        <f t="shared" si="96"/>
        <v>904.36</v>
      </c>
      <c r="Z29" s="277">
        <v>0</v>
      </c>
      <c r="AA29" s="276">
        <f t="shared" si="97"/>
        <v>904.36</v>
      </c>
      <c r="AB29" s="276">
        <f t="shared" si="98"/>
        <v>7182.64</v>
      </c>
      <c r="AC29" s="338"/>
      <c r="AD29" s="339"/>
    </row>
    <row r="30" spans="1:30" s="382" customFormat="1" ht="32.25" customHeight="1" x14ac:dyDescent="0.25">
      <c r="A30" s="377"/>
      <c r="B30" s="512" t="s">
        <v>363</v>
      </c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513"/>
      <c r="AB30" s="513"/>
      <c r="AC30" s="513"/>
      <c r="AD30" s="339"/>
    </row>
    <row r="31" spans="1:30" s="382" customFormat="1" ht="32.25" customHeight="1" x14ac:dyDescent="0.25">
      <c r="A31" s="377"/>
      <c r="B31" s="512" t="s">
        <v>364</v>
      </c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339"/>
    </row>
    <row r="32" spans="1:30" s="446" customFormat="1" ht="32.25" customHeight="1" x14ac:dyDescent="0.2">
      <c r="A32" s="445"/>
      <c r="B32" s="519" t="str">
        <f>B20</f>
        <v>SUELDO  DEL 16 AL 30 DE SEPTIEMBRE DE 2025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</row>
    <row r="33" spans="1:30" s="446" customFormat="1" ht="32.25" customHeight="1" x14ac:dyDescent="0.2">
      <c r="A33" s="445"/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</row>
    <row r="34" spans="1:30" s="382" customFormat="1" ht="195" customHeight="1" x14ac:dyDescent="0.2">
      <c r="A34" s="377"/>
      <c r="B34" s="341" t="s">
        <v>625</v>
      </c>
      <c r="C34" s="341" t="s">
        <v>115</v>
      </c>
      <c r="D34" s="436" t="s">
        <v>626</v>
      </c>
      <c r="E34" s="437" t="s">
        <v>627</v>
      </c>
      <c r="F34" s="438" t="s">
        <v>628</v>
      </c>
      <c r="G34" s="439">
        <v>45884</v>
      </c>
      <c r="H34" s="345" t="s">
        <v>79</v>
      </c>
      <c r="I34" s="440">
        <v>15</v>
      </c>
      <c r="J34" s="440">
        <f t="shared" ref="J34" si="99">K34/I34</f>
        <v>539.13333333333333</v>
      </c>
      <c r="K34" s="346">
        <v>8087</v>
      </c>
      <c r="L34" s="347">
        <v>0</v>
      </c>
      <c r="M34" s="348">
        <f t="shared" ref="M34" si="100">SUM(K34:L34)</f>
        <v>8087</v>
      </c>
      <c r="N34" s="441">
        <f t="shared" ref="N34" si="101">IF(K34/15&lt;=SMG,0,L34/2)</f>
        <v>0</v>
      </c>
      <c r="O34" s="442">
        <f t="shared" ref="O34" si="102">(K34+N34)/I34*30.4</f>
        <v>16389.653333333332</v>
      </c>
      <c r="P34" s="442">
        <f t="shared" ref="P34" si="103">VLOOKUP(O34,Tarifa,1)</f>
        <v>15487.72</v>
      </c>
      <c r="Q34" s="441">
        <f t="shared" ref="Q34" si="104">O34-P34</f>
        <v>901.93333333333248</v>
      </c>
      <c r="R34" s="443">
        <f t="shared" ref="R34" si="105">VLOOKUP(O34,Tarifa,3)</f>
        <v>0.21360000000000001</v>
      </c>
      <c r="S34" s="441">
        <f t="shared" ref="S34" si="106">Q34*R34</f>
        <v>192.65295999999984</v>
      </c>
      <c r="T34" s="444">
        <f t="shared" ref="T34" si="107">VLOOKUP(O34,Tarifa,2)</f>
        <v>1640.18</v>
      </c>
      <c r="U34" s="441">
        <f t="shared" ref="U34" si="108">S34+T34</f>
        <v>1832.83296</v>
      </c>
      <c r="V34" s="441">
        <f t="shared" ref="V34" si="109">VLOOKUP(O34,Credito,2)</f>
        <v>0</v>
      </c>
      <c r="W34" s="441">
        <f t="shared" ref="W34" si="110">ROUND((U34-V34)/30.4*I34,2)</f>
        <v>904.36</v>
      </c>
      <c r="X34" s="348">
        <f t="shared" ref="X34" si="111">-IF(W34&gt;0,0,0)</f>
        <v>0</v>
      </c>
      <c r="Y34" s="348">
        <f t="shared" ref="Y34" si="112">IF(K34/15&lt;=SMG,0,IF(W34&lt;0,0,W34))</f>
        <v>904.36</v>
      </c>
      <c r="Z34" s="349">
        <v>0</v>
      </c>
      <c r="AA34" s="348">
        <f t="shared" ref="AA34" si="113">SUM(Y34:Z34)</f>
        <v>904.36</v>
      </c>
      <c r="AB34" s="348">
        <f t="shared" ref="AB34" si="114">M34+X34-AA34</f>
        <v>7182.64</v>
      </c>
      <c r="AC34" s="350"/>
      <c r="AD34" s="339"/>
    </row>
    <row r="35" spans="1:30" s="382" customFormat="1" ht="195" customHeight="1" x14ac:dyDescent="0.2">
      <c r="A35" s="377"/>
      <c r="B35" s="283" t="s">
        <v>633</v>
      </c>
      <c r="C35" s="283" t="s">
        <v>115</v>
      </c>
      <c r="D35" s="383" t="s">
        <v>643</v>
      </c>
      <c r="E35" s="365" t="s">
        <v>634</v>
      </c>
      <c r="F35" s="278" t="s">
        <v>635</v>
      </c>
      <c r="G35" s="329">
        <v>45884</v>
      </c>
      <c r="H35" s="271" t="s">
        <v>79</v>
      </c>
      <c r="I35" s="272">
        <v>15</v>
      </c>
      <c r="J35" s="272">
        <f t="shared" si="83"/>
        <v>539.13333333333333</v>
      </c>
      <c r="K35" s="274">
        <v>8087</v>
      </c>
      <c r="L35" s="275">
        <v>0</v>
      </c>
      <c r="M35" s="276">
        <f t="shared" si="84"/>
        <v>8087</v>
      </c>
      <c r="N35" s="298">
        <f t="shared" si="85"/>
        <v>0</v>
      </c>
      <c r="O35" s="319">
        <f t="shared" si="86"/>
        <v>16389.653333333332</v>
      </c>
      <c r="P35" s="319">
        <f t="shared" si="87"/>
        <v>15487.72</v>
      </c>
      <c r="Q35" s="298">
        <f t="shared" si="88"/>
        <v>901.93333333333248</v>
      </c>
      <c r="R35" s="299">
        <f t="shared" si="89"/>
        <v>0.21360000000000001</v>
      </c>
      <c r="S35" s="298">
        <f t="shared" si="90"/>
        <v>192.65295999999984</v>
      </c>
      <c r="T35" s="300">
        <f t="shared" si="91"/>
        <v>1640.18</v>
      </c>
      <c r="U35" s="298">
        <f t="shared" si="92"/>
        <v>1832.83296</v>
      </c>
      <c r="V35" s="298">
        <f t="shared" si="93"/>
        <v>0</v>
      </c>
      <c r="W35" s="298">
        <f t="shared" si="94"/>
        <v>904.36</v>
      </c>
      <c r="X35" s="276">
        <f t="shared" si="95"/>
        <v>0</v>
      </c>
      <c r="Y35" s="276">
        <f t="shared" si="96"/>
        <v>904.36</v>
      </c>
      <c r="Z35" s="277">
        <v>0</v>
      </c>
      <c r="AA35" s="276">
        <f t="shared" si="97"/>
        <v>904.36</v>
      </c>
      <c r="AB35" s="276">
        <f t="shared" si="98"/>
        <v>7182.64</v>
      </c>
      <c r="AC35" s="338"/>
      <c r="AD35" s="339"/>
    </row>
    <row r="36" spans="1:30" s="382" customFormat="1" ht="195" customHeight="1" x14ac:dyDescent="0.2">
      <c r="A36" s="377"/>
      <c r="B36" s="283" t="s">
        <v>645</v>
      </c>
      <c r="C36" s="283" t="s">
        <v>115</v>
      </c>
      <c r="D36" s="383" t="s">
        <v>646</v>
      </c>
      <c r="E36" s="365" t="s">
        <v>647</v>
      </c>
      <c r="F36" s="278" t="s">
        <v>648</v>
      </c>
      <c r="G36" s="329">
        <v>45901</v>
      </c>
      <c r="H36" s="271" t="s">
        <v>79</v>
      </c>
      <c r="I36" s="272">
        <v>15</v>
      </c>
      <c r="J36" s="272">
        <f t="shared" si="83"/>
        <v>539.13333333333333</v>
      </c>
      <c r="K36" s="274">
        <v>8087</v>
      </c>
      <c r="L36" s="275">
        <v>0</v>
      </c>
      <c r="M36" s="276">
        <f t="shared" si="84"/>
        <v>8087</v>
      </c>
      <c r="N36" s="298">
        <f t="shared" si="85"/>
        <v>0</v>
      </c>
      <c r="O36" s="319">
        <f t="shared" si="86"/>
        <v>16389.653333333332</v>
      </c>
      <c r="P36" s="319">
        <f t="shared" si="87"/>
        <v>15487.72</v>
      </c>
      <c r="Q36" s="298">
        <f t="shared" si="88"/>
        <v>901.93333333333248</v>
      </c>
      <c r="R36" s="299">
        <f t="shared" si="89"/>
        <v>0.21360000000000001</v>
      </c>
      <c r="S36" s="298">
        <f t="shared" si="90"/>
        <v>192.65295999999984</v>
      </c>
      <c r="T36" s="300">
        <f t="shared" si="91"/>
        <v>1640.18</v>
      </c>
      <c r="U36" s="298">
        <f t="shared" si="92"/>
        <v>1832.83296</v>
      </c>
      <c r="V36" s="298">
        <f t="shared" si="93"/>
        <v>0</v>
      </c>
      <c r="W36" s="298">
        <f t="shared" si="94"/>
        <v>904.36</v>
      </c>
      <c r="X36" s="276">
        <f t="shared" si="95"/>
        <v>0</v>
      </c>
      <c r="Y36" s="276">
        <f t="shared" si="96"/>
        <v>904.36</v>
      </c>
      <c r="Z36" s="277">
        <v>0</v>
      </c>
      <c r="AA36" s="276">
        <f t="shared" si="97"/>
        <v>904.36</v>
      </c>
      <c r="AB36" s="276">
        <f t="shared" si="98"/>
        <v>7182.64</v>
      </c>
      <c r="AC36" s="338"/>
      <c r="AD36" s="339"/>
    </row>
    <row r="37" spans="1:30" s="382" customFormat="1" ht="195" customHeight="1" x14ac:dyDescent="0.2">
      <c r="A37" s="377"/>
      <c r="B37" s="283" t="s">
        <v>650</v>
      </c>
      <c r="C37" s="283" t="s">
        <v>115</v>
      </c>
      <c r="D37" s="383" t="s">
        <v>651</v>
      </c>
      <c r="E37" s="365" t="s">
        <v>653</v>
      </c>
      <c r="F37" s="278" t="s">
        <v>652</v>
      </c>
      <c r="G37" s="329">
        <v>45916</v>
      </c>
      <c r="H37" s="271" t="s">
        <v>79</v>
      </c>
      <c r="I37" s="272">
        <v>15</v>
      </c>
      <c r="J37" s="272">
        <f t="shared" ref="J37" si="115">K37/I37</f>
        <v>539.13333333333333</v>
      </c>
      <c r="K37" s="274">
        <v>8087</v>
      </c>
      <c r="L37" s="275">
        <v>0</v>
      </c>
      <c r="M37" s="276">
        <f t="shared" ref="M37" si="116">SUM(K37:L37)</f>
        <v>8087</v>
      </c>
      <c r="N37" s="298">
        <f t="shared" ref="N37" si="117">IF(K37/15&lt;=SMG,0,L37/2)</f>
        <v>0</v>
      </c>
      <c r="O37" s="319">
        <f t="shared" ref="O37" si="118">(K37+N37)/I37*30.4</f>
        <v>16389.653333333332</v>
      </c>
      <c r="P37" s="319">
        <f t="shared" ref="P37" si="119">VLOOKUP(O37,Tarifa,1)</f>
        <v>15487.72</v>
      </c>
      <c r="Q37" s="298">
        <f t="shared" ref="Q37" si="120">O37-P37</f>
        <v>901.93333333333248</v>
      </c>
      <c r="R37" s="299">
        <f t="shared" ref="R37" si="121">VLOOKUP(O37,Tarifa,3)</f>
        <v>0.21360000000000001</v>
      </c>
      <c r="S37" s="298">
        <f t="shared" ref="S37" si="122">Q37*R37</f>
        <v>192.65295999999984</v>
      </c>
      <c r="T37" s="300">
        <f t="shared" ref="T37" si="123">VLOOKUP(O37,Tarifa,2)</f>
        <v>1640.18</v>
      </c>
      <c r="U37" s="298">
        <f t="shared" ref="U37" si="124">S37+T37</f>
        <v>1832.83296</v>
      </c>
      <c r="V37" s="298">
        <f t="shared" ref="V37" si="125">VLOOKUP(O37,Credito,2)</f>
        <v>0</v>
      </c>
      <c r="W37" s="298">
        <f t="shared" ref="W37" si="126">ROUND((U37-V37)/30.4*I37,2)</f>
        <v>904.36</v>
      </c>
      <c r="X37" s="276">
        <f t="shared" ref="X37" si="127">-IF(W37&gt;0,0,0)</f>
        <v>0</v>
      </c>
      <c r="Y37" s="276">
        <f t="shared" ref="Y37" si="128">IF(K37/15&lt;=SMG,0,IF(W37&lt;0,0,W37))</f>
        <v>904.36</v>
      </c>
      <c r="Z37" s="277">
        <v>0</v>
      </c>
      <c r="AA37" s="276">
        <f t="shared" ref="AA37" si="129">SUM(Y37:Z37)</f>
        <v>904.36</v>
      </c>
      <c r="AB37" s="276">
        <f t="shared" ref="AB37" si="130">M37+X37-AA37</f>
        <v>7182.64</v>
      </c>
      <c r="AC37" s="338"/>
      <c r="AD37" s="339"/>
    </row>
    <row r="38" spans="1:30" ht="29.25" customHeight="1" thickBot="1" x14ac:dyDescent="0.35">
      <c r="A38" s="457" t="s">
        <v>44</v>
      </c>
      <c r="B38" s="458"/>
      <c r="C38" s="458"/>
      <c r="D38" s="458"/>
      <c r="E38" s="458"/>
      <c r="F38" s="458"/>
      <c r="G38" s="458"/>
      <c r="H38" s="458"/>
      <c r="I38" s="458"/>
      <c r="J38" s="379"/>
      <c r="K38" s="208">
        <f>SUM(K9:K37)</f>
        <v>173294.94</v>
      </c>
      <c r="L38" s="208">
        <f>SUM(L9:L37)</f>
        <v>0</v>
      </c>
      <c r="M38" s="208">
        <f>SUM(M9:M37)</f>
        <v>173294.94</v>
      </c>
      <c r="N38" s="209">
        <f t="shared" ref="N38:W38" si="131">SUM(N9:N15)</f>
        <v>0</v>
      </c>
      <c r="O38" s="209">
        <f t="shared" si="131"/>
        <v>138145.58506666665</v>
      </c>
      <c r="P38" s="209">
        <f t="shared" si="131"/>
        <v>108414.04</v>
      </c>
      <c r="Q38" s="209">
        <f t="shared" si="131"/>
        <v>29731.545066666658</v>
      </c>
      <c r="R38" s="209">
        <f t="shared" si="131"/>
        <v>1.4952000000000001</v>
      </c>
      <c r="S38" s="209">
        <f t="shared" si="131"/>
        <v>6350.6580262399984</v>
      </c>
      <c r="T38" s="209">
        <f t="shared" si="131"/>
        <v>11481.26</v>
      </c>
      <c r="U38" s="209">
        <f t="shared" si="131"/>
        <v>17831.918026239997</v>
      </c>
      <c r="V38" s="209">
        <f t="shared" si="131"/>
        <v>0</v>
      </c>
      <c r="W38" s="209">
        <f t="shared" si="131"/>
        <v>8798.66</v>
      </c>
      <c r="X38" s="208">
        <f>SUM(X9:X37)</f>
        <v>0</v>
      </c>
      <c r="Y38" s="208">
        <f>SUM(Y9:Y37)</f>
        <v>20555.340000000007</v>
      </c>
      <c r="Z38" s="208">
        <f>SUM(Z9:Z37)</f>
        <v>0</v>
      </c>
      <c r="AA38" s="208">
        <f>SUM(AA9:AA37)</f>
        <v>20555.340000000007</v>
      </c>
      <c r="AB38" s="208">
        <f>SUM(AB9:AB37)</f>
        <v>152739.60000000003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478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150</v>
      </c>
      <c r="AA58" s="108"/>
      <c r="AB58" s="108"/>
      <c r="AC58" s="108"/>
    </row>
    <row r="59" spans="4:42" ht="18" x14ac:dyDescent="0.25">
      <c r="D59" s="213" t="s">
        <v>493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215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E7" sqref="E6:E7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71" t="s">
        <v>76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CHOFERES!A3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20" t="s">
        <v>1</v>
      </c>
      <c r="L5" s="521"/>
      <c r="M5" s="522"/>
      <c r="N5" s="70" t="s">
        <v>25</v>
      </c>
      <c r="O5" s="71"/>
      <c r="P5" s="523" t="s">
        <v>8</v>
      </c>
      <c r="Q5" s="524"/>
      <c r="R5" s="524"/>
      <c r="S5" s="524"/>
      <c r="T5" s="524"/>
      <c r="U5" s="525"/>
      <c r="V5" s="70" t="s">
        <v>29</v>
      </c>
      <c r="W5" s="70" t="s">
        <v>9</v>
      </c>
      <c r="X5" s="69" t="s">
        <v>52</v>
      </c>
      <c r="Y5" s="526" t="s">
        <v>2</v>
      </c>
      <c r="Z5" s="527"/>
      <c r="AA5" s="528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221</v>
      </c>
      <c r="G8" s="98" t="s">
        <v>272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525</v>
      </c>
      <c r="C9" s="267" t="s">
        <v>115</v>
      </c>
      <c r="D9" s="380" t="s">
        <v>521</v>
      </c>
      <c r="E9" s="365" t="s">
        <v>522</v>
      </c>
      <c r="F9" s="365" t="s">
        <v>523</v>
      </c>
      <c r="G9" s="385">
        <v>45658</v>
      </c>
      <c r="H9" s="384" t="s">
        <v>484</v>
      </c>
      <c r="I9" s="356">
        <v>15</v>
      </c>
      <c r="J9" s="356">
        <f t="shared" ref="J9:J16" si="0">K9/I9</f>
        <v>774.58933333333334</v>
      </c>
      <c r="K9" s="274">
        <v>11618.84</v>
      </c>
      <c r="L9" s="275">
        <v>0</v>
      </c>
      <c r="M9" s="276">
        <f t="shared" ref="M9:M10" si="1">SUM(K9:L9)</f>
        <v>11618.84</v>
      </c>
      <c r="N9" s="406">
        <f t="shared" ref="N9:N16" si="2">IF(K9/15&lt;=SMG,0,L9/2)</f>
        <v>0</v>
      </c>
      <c r="O9" s="406">
        <f t="shared" ref="O9:O16" si="3">(K9+N9)/I9*30.4</f>
        <v>23547.515733333334</v>
      </c>
      <c r="P9" s="406">
        <f t="shared" ref="P9:P16" si="4">VLOOKUP(O9,Tarifa,1)</f>
        <v>15487.72</v>
      </c>
      <c r="Q9" s="406">
        <f t="shared" ref="Q9:Q16" si="5">O9-P9</f>
        <v>8059.7957333333343</v>
      </c>
      <c r="R9" s="407">
        <f t="shared" ref="R9:R16" si="6">VLOOKUP(O9,Tarifa,3)</f>
        <v>0.21360000000000001</v>
      </c>
      <c r="S9" s="406">
        <f t="shared" ref="S9:S16" si="7">Q9*R9</f>
        <v>1721.5723686400004</v>
      </c>
      <c r="T9" s="408">
        <f t="shared" ref="T9:T16" si="8">VLOOKUP(O9,Tarifa,2)</f>
        <v>1640.18</v>
      </c>
      <c r="U9" s="406">
        <f t="shared" ref="U9:U16" si="9">S9+T9</f>
        <v>3361.7523686400004</v>
      </c>
      <c r="V9" s="406">
        <f t="shared" ref="V9:V16" si="10">VLOOKUP(O9,Credito,2)</f>
        <v>0</v>
      </c>
      <c r="W9" s="406">
        <f t="shared" ref="W9:W16" si="11">ROUND((U9-V9)/30.4*I9,2)</f>
        <v>1658.76</v>
      </c>
      <c r="X9" s="276">
        <f>-IF(W9&gt;0,0,0)</f>
        <v>0</v>
      </c>
      <c r="Y9" s="276">
        <f t="shared" ref="Y9:Y10" si="12">IF(K9/15&lt;=SMG,0,IF(W9&lt;0,0,W9))</f>
        <v>1658.76</v>
      </c>
      <c r="Z9" s="277">
        <v>0</v>
      </c>
      <c r="AA9" s="276">
        <f t="shared" ref="AA9:AA10" si="13">SUM(Y9:Z9)</f>
        <v>1658.76</v>
      </c>
      <c r="AB9" s="276">
        <f t="shared" ref="AB9:AB10" si="14">M9+X9-AA9</f>
        <v>9960.08</v>
      </c>
      <c r="AC9" s="278"/>
    </row>
    <row r="10" spans="1:29" s="280" customFormat="1" ht="117" customHeight="1" x14ac:dyDescent="0.2">
      <c r="A10" s="265"/>
      <c r="B10" s="267" t="s">
        <v>629</v>
      </c>
      <c r="C10" s="267" t="s">
        <v>115</v>
      </c>
      <c r="D10" s="380" t="s">
        <v>630</v>
      </c>
      <c r="E10" s="365" t="s">
        <v>631</v>
      </c>
      <c r="F10" s="365" t="s">
        <v>632</v>
      </c>
      <c r="G10" s="385">
        <v>45885</v>
      </c>
      <c r="H10" s="384" t="s">
        <v>484</v>
      </c>
      <c r="I10" s="356">
        <v>15</v>
      </c>
      <c r="J10" s="356">
        <f t="shared" ref="J10" si="15">K10/I10</f>
        <v>675.23333333333335</v>
      </c>
      <c r="K10" s="274">
        <v>10128.5</v>
      </c>
      <c r="L10" s="275">
        <v>655.93</v>
      </c>
      <c r="M10" s="276">
        <f t="shared" si="1"/>
        <v>10784.43</v>
      </c>
      <c r="N10" s="406">
        <f t="shared" ref="N10" si="16">IF(K10/15&lt;=SMG,0,L10/2)</f>
        <v>327.96499999999997</v>
      </c>
      <c r="O10" s="406">
        <f t="shared" ref="O10" si="17">(K10+N10)/I10*30.4</f>
        <v>21191.769066666664</v>
      </c>
      <c r="P10" s="406">
        <f t="shared" ref="P10" si="18">VLOOKUP(O10,Tarifa,1)</f>
        <v>15487.72</v>
      </c>
      <c r="Q10" s="406">
        <f t="shared" ref="Q10" si="19">O10-P10</f>
        <v>5704.0490666666647</v>
      </c>
      <c r="R10" s="407">
        <f t="shared" ref="R10" si="20">VLOOKUP(O10,Tarifa,3)</f>
        <v>0.21360000000000001</v>
      </c>
      <c r="S10" s="406">
        <f t="shared" ref="S10" si="21">Q10*R10</f>
        <v>1218.3848806399997</v>
      </c>
      <c r="T10" s="408">
        <f t="shared" ref="T10" si="22">VLOOKUP(O10,Tarifa,2)</f>
        <v>1640.18</v>
      </c>
      <c r="U10" s="406">
        <f t="shared" ref="U10" si="23">S10+T10</f>
        <v>2858.5648806399995</v>
      </c>
      <c r="V10" s="406">
        <f t="shared" ref="V10" si="24">VLOOKUP(O10,Credito,2)</f>
        <v>0</v>
      </c>
      <c r="W10" s="406">
        <f t="shared" ref="W10" si="25">ROUND((U10-V10)/30.4*I10,2)</f>
        <v>1410.48</v>
      </c>
      <c r="X10" s="276">
        <f>-IF(W10&gt;0,0,0)</f>
        <v>0</v>
      </c>
      <c r="Y10" s="276">
        <f t="shared" si="12"/>
        <v>1410.48</v>
      </c>
      <c r="Z10" s="277">
        <v>0</v>
      </c>
      <c r="AA10" s="276">
        <f t="shared" si="13"/>
        <v>1410.48</v>
      </c>
      <c r="AB10" s="276">
        <f t="shared" si="14"/>
        <v>9373.9500000000007</v>
      </c>
      <c r="AC10" s="278"/>
    </row>
    <row r="11" spans="1:29" s="280" customFormat="1" ht="117" customHeight="1" x14ac:dyDescent="0.2">
      <c r="A11" s="265"/>
      <c r="B11" s="267" t="s">
        <v>187</v>
      </c>
      <c r="C11" s="267" t="s">
        <v>115</v>
      </c>
      <c r="D11" s="380" t="s">
        <v>185</v>
      </c>
      <c r="E11" s="365" t="s">
        <v>186</v>
      </c>
      <c r="F11" s="365" t="s">
        <v>246</v>
      </c>
      <c r="G11" s="385">
        <v>43998</v>
      </c>
      <c r="H11" s="269" t="s">
        <v>130</v>
      </c>
      <c r="I11" s="356">
        <v>15</v>
      </c>
      <c r="J11" s="356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406">
        <f t="shared" si="2"/>
        <v>0</v>
      </c>
      <c r="O11" s="406">
        <f t="shared" si="3"/>
        <v>12400.159999999998</v>
      </c>
      <c r="P11" s="406">
        <f t="shared" si="4"/>
        <v>11128.02</v>
      </c>
      <c r="Q11" s="406">
        <f t="shared" si="5"/>
        <v>1272.1399999999976</v>
      </c>
      <c r="R11" s="407">
        <f t="shared" si="6"/>
        <v>0.16</v>
      </c>
      <c r="S11" s="406">
        <f t="shared" si="7"/>
        <v>203.54239999999962</v>
      </c>
      <c r="T11" s="408">
        <f t="shared" si="8"/>
        <v>893.63</v>
      </c>
      <c r="U11" s="406">
        <f t="shared" si="9"/>
        <v>1097.1723999999997</v>
      </c>
      <c r="V11" s="406">
        <f t="shared" si="10"/>
        <v>0</v>
      </c>
      <c r="W11" s="406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382</v>
      </c>
      <c r="C12" s="267" t="s">
        <v>115</v>
      </c>
      <c r="D12" s="380" t="s">
        <v>383</v>
      </c>
      <c r="E12" s="365" t="s">
        <v>384</v>
      </c>
      <c r="F12" s="365" t="s">
        <v>385</v>
      </c>
      <c r="G12" s="385">
        <v>45481</v>
      </c>
      <c r="H12" s="269" t="s">
        <v>130</v>
      </c>
      <c r="I12" s="356">
        <v>15</v>
      </c>
      <c r="J12" s="356">
        <f t="shared" si="0"/>
        <v>407.9</v>
      </c>
      <c r="K12" s="274">
        <v>6118.5</v>
      </c>
      <c r="L12" s="275">
        <v>0</v>
      </c>
      <c r="M12" s="276">
        <f t="shared" ref="M12:M14" si="31">SUM(K12:L12)</f>
        <v>6118.5</v>
      </c>
      <c r="N12" s="406">
        <f t="shared" si="2"/>
        <v>0</v>
      </c>
      <c r="O12" s="406">
        <f t="shared" si="3"/>
        <v>12400.159999999998</v>
      </c>
      <c r="P12" s="406">
        <f t="shared" si="4"/>
        <v>11128.02</v>
      </c>
      <c r="Q12" s="406">
        <f t="shared" si="5"/>
        <v>1272.1399999999976</v>
      </c>
      <c r="R12" s="407">
        <f t="shared" si="6"/>
        <v>0.16</v>
      </c>
      <c r="S12" s="406">
        <f t="shared" si="7"/>
        <v>203.54239999999962</v>
      </c>
      <c r="T12" s="408">
        <f t="shared" si="8"/>
        <v>893.63</v>
      </c>
      <c r="U12" s="406">
        <f t="shared" si="9"/>
        <v>1097.1723999999997</v>
      </c>
      <c r="V12" s="406">
        <f t="shared" si="10"/>
        <v>0</v>
      </c>
      <c r="W12" s="406">
        <f t="shared" si="11"/>
        <v>541.37</v>
      </c>
      <c r="X12" s="276">
        <f t="shared" ref="X12:X14" si="32">-IF(W12&gt;0,0,0)</f>
        <v>0</v>
      </c>
      <c r="Y12" s="276">
        <f t="shared" ref="Y12:Y14" si="33">IF(K12/15&lt;=SMG,0,IF(W12&lt;0,0,W12))</f>
        <v>541.37</v>
      </c>
      <c r="Z12" s="277">
        <v>0</v>
      </c>
      <c r="AA12" s="276">
        <f t="shared" ref="AA12:AA14" si="34">SUM(Y12:Z12)</f>
        <v>541.37</v>
      </c>
      <c r="AB12" s="276">
        <f t="shared" ref="AB12:AB14" si="35">M12+X12-AA12</f>
        <v>5577.13</v>
      </c>
      <c r="AC12" s="288"/>
    </row>
    <row r="13" spans="1:29" s="280" customFormat="1" ht="117" customHeight="1" x14ac:dyDescent="0.2">
      <c r="A13" s="265"/>
      <c r="B13" s="267" t="s">
        <v>610</v>
      </c>
      <c r="C13" s="267" t="s">
        <v>115</v>
      </c>
      <c r="D13" s="380" t="s">
        <v>611</v>
      </c>
      <c r="E13" s="365" t="s">
        <v>612</v>
      </c>
      <c r="F13" s="365" t="s">
        <v>613</v>
      </c>
      <c r="G13" s="385">
        <v>45854</v>
      </c>
      <c r="H13" s="269" t="s">
        <v>130</v>
      </c>
      <c r="I13" s="356">
        <v>15</v>
      </c>
      <c r="J13" s="356">
        <f t="shared" ref="J13" si="36">K13/I13</f>
        <v>407.9</v>
      </c>
      <c r="K13" s="274">
        <v>6118.5</v>
      </c>
      <c r="L13" s="275">
        <v>404.13</v>
      </c>
      <c r="M13" s="276">
        <f t="shared" ref="M13" si="37">SUM(K13:L13)</f>
        <v>6522.63</v>
      </c>
      <c r="N13" s="406">
        <f t="shared" ref="N13" si="38">IF(K13/15&lt;=SMG,0,L13/2)</f>
        <v>202.065</v>
      </c>
      <c r="O13" s="406">
        <f t="shared" ref="O13" si="39">(K13+N13)/I13*30.4</f>
        <v>12809.678399999999</v>
      </c>
      <c r="P13" s="406">
        <f t="shared" ref="P13" si="40">VLOOKUP(O13,Tarifa,1)</f>
        <v>11128.02</v>
      </c>
      <c r="Q13" s="406">
        <f t="shared" ref="Q13" si="41">O13-P13</f>
        <v>1681.6583999999984</v>
      </c>
      <c r="R13" s="407">
        <f t="shared" ref="R13" si="42">VLOOKUP(O13,Tarifa,3)</f>
        <v>0.16</v>
      </c>
      <c r="S13" s="406">
        <f t="shared" ref="S13" si="43">Q13*R13</f>
        <v>269.06534399999975</v>
      </c>
      <c r="T13" s="408">
        <f t="shared" ref="T13" si="44">VLOOKUP(O13,Tarifa,2)</f>
        <v>893.63</v>
      </c>
      <c r="U13" s="406">
        <f t="shared" ref="U13" si="45">S13+T13</f>
        <v>1162.6953439999997</v>
      </c>
      <c r="V13" s="406">
        <f t="shared" ref="V13" si="46">VLOOKUP(O13,Credito,2)</f>
        <v>0</v>
      </c>
      <c r="W13" s="406">
        <f t="shared" ref="W13" si="47">ROUND((U13-V13)/30.4*I13,2)</f>
        <v>573.70000000000005</v>
      </c>
      <c r="X13" s="276">
        <f t="shared" ref="X13" si="48">-IF(W13&gt;0,0,0)</f>
        <v>0</v>
      </c>
      <c r="Y13" s="276">
        <f t="shared" ref="Y13" si="49">IF(K13/15&lt;=SMG,0,IF(W13&lt;0,0,W13))</f>
        <v>573.70000000000005</v>
      </c>
      <c r="Z13" s="277">
        <v>0</v>
      </c>
      <c r="AA13" s="276">
        <f t="shared" ref="AA13" si="50">SUM(Y13:Z13)</f>
        <v>573.70000000000005</v>
      </c>
      <c r="AB13" s="276">
        <f t="shared" ref="AB13" si="51">M13+X13-AA13</f>
        <v>5948.93</v>
      </c>
      <c r="AC13" s="288"/>
    </row>
    <row r="14" spans="1:29" s="280" customFormat="1" ht="117" customHeight="1" x14ac:dyDescent="0.2">
      <c r="A14" s="265"/>
      <c r="B14" s="267" t="s">
        <v>133</v>
      </c>
      <c r="C14" s="267" t="s">
        <v>115</v>
      </c>
      <c r="D14" s="380" t="s">
        <v>129</v>
      </c>
      <c r="E14" s="365" t="s">
        <v>134</v>
      </c>
      <c r="F14" s="365" t="s">
        <v>231</v>
      </c>
      <c r="G14" s="385">
        <v>43101</v>
      </c>
      <c r="H14" s="286" t="s">
        <v>131</v>
      </c>
      <c r="I14" s="356">
        <v>15</v>
      </c>
      <c r="J14" s="356">
        <f t="shared" si="0"/>
        <v>366.73333333333335</v>
      </c>
      <c r="K14" s="274">
        <v>5501</v>
      </c>
      <c r="L14" s="275">
        <v>366.54</v>
      </c>
      <c r="M14" s="276">
        <f t="shared" si="31"/>
        <v>5867.54</v>
      </c>
      <c r="N14" s="406">
        <f t="shared" si="2"/>
        <v>183.27</v>
      </c>
      <c r="O14" s="406">
        <f t="shared" si="3"/>
        <v>11520.120533333335</v>
      </c>
      <c r="P14" s="406">
        <f t="shared" si="4"/>
        <v>11128.02</v>
      </c>
      <c r="Q14" s="406">
        <f t="shared" si="5"/>
        <v>392.10053333333417</v>
      </c>
      <c r="R14" s="407">
        <f t="shared" si="6"/>
        <v>0.16</v>
      </c>
      <c r="S14" s="406">
        <f t="shared" si="7"/>
        <v>62.73608533333347</v>
      </c>
      <c r="T14" s="408">
        <f t="shared" si="8"/>
        <v>893.63</v>
      </c>
      <c r="U14" s="406">
        <f t="shared" si="9"/>
        <v>956.36608533333344</v>
      </c>
      <c r="V14" s="406">
        <f t="shared" si="10"/>
        <v>0</v>
      </c>
      <c r="W14" s="406">
        <f t="shared" si="11"/>
        <v>471.89</v>
      </c>
      <c r="X14" s="276">
        <f t="shared" si="32"/>
        <v>0</v>
      </c>
      <c r="Y14" s="276">
        <f t="shared" si="33"/>
        <v>471.89</v>
      </c>
      <c r="Z14" s="277">
        <v>0</v>
      </c>
      <c r="AA14" s="276">
        <f t="shared" si="34"/>
        <v>471.89</v>
      </c>
      <c r="AB14" s="276">
        <f t="shared" si="35"/>
        <v>5395.65</v>
      </c>
      <c r="AC14" s="288"/>
    </row>
    <row r="15" spans="1:29" s="280" customFormat="1" ht="117" customHeight="1" x14ac:dyDescent="0.2">
      <c r="A15" s="265"/>
      <c r="B15" s="386">
        <v>328</v>
      </c>
      <c r="C15" s="267" t="s">
        <v>115</v>
      </c>
      <c r="D15" s="262" t="s">
        <v>386</v>
      </c>
      <c r="E15" s="145" t="s">
        <v>387</v>
      </c>
      <c r="F15" s="145" t="s">
        <v>388</v>
      </c>
      <c r="G15" s="385">
        <v>45505</v>
      </c>
      <c r="H15" s="286" t="s">
        <v>131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ref="M15" si="52">SUM(K15:L15)</f>
        <v>5501</v>
      </c>
      <c r="N15" s="406">
        <f t="shared" si="2"/>
        <v>0</v>
      </c>
      <c r="O15" s="406">
        <f t="shared" si="3"/>
        <v>11148.693333333333</v>
      </c>
      <c r="P15" s="406">
        <f t="shared" si="4"/>
        <v>11128.02</v>
      </c>
      <c r="Q15" s="406">
        <f t="shared" si="5"/>
        <v>20.673333333332266</v>
      </c>
      <c r="R15" s="407">
        <f t="shared" si="6"/>
        <v>0.16</v>
      </c>
      <c r="S15" s="406">
        <f t="shared" si="7"/>
        <v>3.3077333333331627</v>
      </c>
      <c r="T15" s="408">
        <f t="shared" si="8"/>
        <v>893.63</v>
      </c>
      <c r="U15" s="406">
        <f t="shared" si="9"/>
        <v>896.9377333333332</v>
      </c>
      <c r="V15" s="406">
        <f t="shared" si="10"/>
        <v>0</v>
      </c>
      <c r="W15" s="406">
        <f t="shared" si="11"/>
        <v>442.57</v>
      </c>
      <c r="X15" s="276">
        <f t="shared" ref="X15" si="53">-IF(W15&gt;0,0,0)</f>
        <v>0</v>
      </c>
      <c r="Y15" s="276">
        <f t="shared" ref="Y15:Y16" si="54">IF(K15/15&lt;=SMG,0,IF(W15&lt;0,0,W15))</f>
        <v>442.57</v>
      </c>
      <c r="Z15" s="277">
        <v>0</v>
      </c>
      <c r="AA15" s="276">
        <f t="shared" ref="AA15" si="55">SUM(Y15:Z15)</f>
        <v>442.57</v>
      </c>
      <c r="AB15" s="276">
        <f t="shared" ref="AB15" si="56">M15+X15-AA15</f>
        <v>5058.43</v>
      </c>
      <c r="AC15" s="288"/>
    </row>
    <row r="16" spans="1:29" s="280" customFormat="1" ht="117" customHeight="1" x14ac:dyDescent="0.2">
      <c r="A16" s="265"/>
      <c r="B16" s="386">
        <v>406</v>
      </c>
      <c r="C16" s="267" t="s">
        <v>476</v>
      </c>
      <c r="D16" s="262" t="s">
        <v>534</v>
      </c>
      <c r="E16" s="145" t="s">
        <v>535</v>
      </c>
      <c r="F16" s="145" t="s">
        <v>536</v>
      </c>
      <c r="G16" s="385">
        <v>45689</v>
      </c>
      <c r="H16" s="286" t="s">
        <v>537</v>
      </c>
      <c r="I16" s="356">
        <v>15</v>
      </c>
      <c r="J16" s="356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06">
        <f t="shared" si="2"/>
        <v>0</v>
      </c>
      <c r="O16" s="406">
        <f t="shared" si="3"/>
        <v>8297.1733333333323</v>
      </c>
      <c r="P16" s="406">
        <f t="shared" si="4"/>
        <v>6332.06</v>
      </c>
      <c r="Q16" s="406">
        <f t="shared" si="5"/>
        <v>1965.1133333333319</v>
      </c>
      <c r="R16" s="407">
        <f t="shared" si="6"/>
        <v>0.10879999999999999</v>
      </c>
      <c r="S16" s="406">
        <f t="shared" si="7"/>
        <v>213.80433066666649</v>
      </c>
      <c r="T16" s="408">
        <f t="shared" si="8"/>
        <v>371.83</v>
      </c>
      <c r="U16" s="406">
        <f t="shared" si="9"/>
        <v>585.63433066666653</v>
      </c>
      <c r="V16" s="406">
        <f t="shared" si="10"/>
        <v>475</v>
      </c>
      <c r="W16" s="406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7" t="s">
        <v>44</v>
      </c>
      <c r="B17" s="458"/>
      <c r="C17" s="458"/>
      <c r="D17" s="458"/>
      <c r="E17" s="458"/>
      <c r="F17" s="458"/>
      <c r="G17" s="458"/>
      <c r="H17" s="458"/>
      <c r="I17" s="458"/>
      <c r="J17" s="459"/>
      <c r="K17" s="136">
        <f>SUM(K9:K16)</f>
        <v>55198.84</v>
      </c>
      <c r="L17" s="136">
        <f>SUM(L9:L16)</f>
        <v>1426.6</v>
      </c>
      <c r="M17" s="136">
        <f>SUM(M9:M16)</f>
        <v>56625.440000000002</v>
      </c>
      <c r="N17" s="137">
        <f t="shared" ref="N17:W17" si="57">SUM(N9:N16)</f>
        <v>713.3</v>
      </c>
      <c r="O17" s="137">
        <f t="shared" si="57"/>
        <v>113315.27039999998</v>
      </c>
      <c r="P17" s="137">
        <f t="shared" si="57"/>
        <v>92947.6</v>
      </c>
      <c r="Q17" s="137">
        <f t="shared" si="57"/>
        <v>20367.670399999988</v>
      </c>
      <c r="R17" s="137">
        <f t="shared" si="57"/>
        <v>1.3360000000000001</v>
      </c>
      <c r="S17" s="137">
        <f t="shared" si="57"/>
        <v>3895.955542613332</v>
      </c>
      <c r="T17" s="137">
        <f t="shared" si="57"/>
        <v>8120.34</v>
      </c>
      <c r="U17" s="137">
        <f t="shared" si="57"/>
        <v>12016.295542613332</v>
      </c>
      <c r="V17" s="137">
        <f t="shared" si="57"/>
        <v>475</v>
      </c>
      <c r="W17" s="137">
        <f t="shared" si="57"/>
        <v>5694.73</v>
      </c>
      <c r="X17" s="136">
        <f>SUM(X9:X16)</f>
        <v>0</v>
      </c>
      <c r="Y17" s="136">
        <f>SUM(Y9:Y16)</f>
        <v>5640.1399999999994</v>
      </c>
      <c r="Z17" s="136">
        <f>SUM(Z9:Z16)</f>
        <v>0</v>
      </c>
      <c r="AA17" s="136">
        <f>SUM(AA9:AA16)</f>
        <v>5640.1399999999994</v>
      </c>
      <c r="AB17" s="136">
        <f>SUM(AB9:AB16)</f>
        <v>50985.3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478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150</v>
      </c>
      <c r="Z23" s="91"/>
      <c r="AA23" s="91"/>
      <c r="AB23" s="91"/>
    </row>
    <row r="24" spans="1:41" ht="15" x14ac:dyDescent="0.25">
      <c r="D24" s="94" t="s">
        <v>493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214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opLeftCell="B1" zoomScale="70" zoomScaleNormal="70" workbookViewId="0">
      <pane ySplit="1" topLeftCell="A5" activePane="bottomLeft" state="frozen"/>
      <selection activeCell="B1" sqref="B1"/>
      <selection pane="bottomLeft" activeCell="AB11" sqref="AB11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60" t="s">
        <v>76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29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29" ht="19.5" x14ac:dyDescent="0.25">
      <c r="A3" s="461" t="s">
        <v>649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62" t="s">
        <v>1</v>
      </c>
      <c r="L5" s="463"/>
      <c r="M5" s="464"/>
      <c r="N5" s="116" t="s">
        <v>25</v>
      </c>
      <c r="O5" s="117"/>
      <c r="P5" s="465" t="s">
        <v>8</v>
      </c>
      <c r="Q5" s="466"/>
      <c r="R5" s="466"/>
      <c r="S5" s="466"/>
      <c r="T5" s="466"/>
      <c r="U5" s="467"/>
      <c r="V5" s="116" t="s">
        <v>52</v>
      </c>
      <c r="W5" s="116" t="s">
        <v>9</v>
      </c>
      <c r="X5" s="115" t="s">
        <v>52</v>
      </c>
      <c r="Y5" s="468" t="s">
        <v>2</v>
      </c>
      <c r="Z5" s="469"/>
      <c r="AA5" s="47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221</v>
      </c>
      <c r="G6" s="118" t="s">
        <v>273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197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7" t="s">
        <v>96</v>
      </c>
      <c r="C8" s="387" t="s">
        <v>121</v>
      </c>
      <c r="D8" s="164" t="s">
        <v>62</v>
      </c>
      <c r="E8" s="160" t="s">
        <v>97</v>
      </c>
      <c r="F8" s="160" t="s">
        <v>221</v>
      </c>
      <c r="G8" s="387" t="s">
        <v>273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83</v>
      </c>
      <c r="B9" s="266" t="s">
        <v>395</v>
      </c>
      <c r="C9" s="267" t="s">
        <v>115</v>
      </c>
      <c r="D9" s="268" t="s">
        <v>393</v>
      </c>
      <c r="E9" s="269" t="s">
        <v>394</v>
      </c>
      <c r="F9" s="293" t="s">
        <v>396</v>
      </c>
      <c r="G9" s="294">
        <v>45566</v>
      </c>
      <c r="H9" s="286" t="s">
        <v>192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84</v>
      </c>
      <c r="B10" s="266" t="s">
        <v>194</v>
      </c>
      <c r="C10" s="267" t="s">
        <v>115</v>
      </c>
      <c r="D10" s="268" t="s">
        <v>195</v>
      </c>
      <c r="E10" s="269" t="s">
        <v>196</v>
      </c>
      <c r="F10" s="269" t="s">
        <v>234</v>
      </c>
      <c r="G10" s="294">
        <v>45566</v>
      </c>
      <c r="H10" s="286" t="s">
        <v>193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104</v>
      </c>
      <c r="C11" s="266" t="s">
        <v>115</v>
      </c>
      <c r="D11" s="268" t="s">
        <v>65</v>
      </c>
      <c r="E11" s="269" t="s">
        <v>105</v>
      </c>
      <c r="F11" s="293" t="s">
        <v>223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87" t="s">
        <v>96</v>
      </c>
      <c r="C12" s="387" t="s">
        <v>121</v>
      </c>
      <c r="D12" s="164" t="s">
        <v>118</v>
      </c>
      <c r="E12" s="160" t="s">
        <v>97</v>
      </c>
      <c r="F12" s="160" t="s">
        <v>221</v>
      </c>
      <c r="G12" s="387" t="s">
        <v>273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87</v>
      </c>
      <c r="B13" s="267" t="s">
        <v>199</v>
      </c>
      <c r="C13" s="267" t="s">
        <v>337</v>
      </c>
      <c r="D13" s="268" t="s">
        <v>201</v>
      </c>
      <c r="E13" s="291" t="s">
        <v>202</v>
      </c>
      <c r="F13" s="293" t="s">
        <v>247</v>
      </c>
      <c r="G13" s="294">
        <v>44470</v>
      </c>
      <c r="H13" s="286" t="s">
        <v>262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94"/>
      <c r="B14" s="377"/>
      <c r="C14" s="377"/>
      <c r="D14" s="389"/>
      <c r="E14" s="395"/>
      <c r="F14" s="396"/>
      <c r="G14" s="397"/>
      <c r="H14" s="398"/>
      <c r="I14" s="399"/>
      <c r="J14" s="400"/>
      <c r="K14" s="401"/>
      <c r="L14" s="402"/>
      <c r="M14" s="403"/>
      <c r="N14" s="390"/>
      <c r="O14" s="391"/>
      <c r="P14" s="391"/>
      <c r="Q14" s="390"/>
      <c r="R14" s="392"/>
      <c r="S14" s="390"/>
      <c r="T14" s="393"/>
      <c r="U14" s="390"/>
      <c r="V14" s="390"/>
      <c r="W14" s="390"/>
      <c r="X14" s="403"/>
      <c r="Y14" s="403"/>
      <c r="Z14" s="404"/>
      <c r="AA14" s="403"/>
      <c r="AB14" s="403"/>
    </row>
    <row r="15" spans="1:29" s="303" customFormat="1" ht="23.25" customHeight="1" x14ac:dyDescent="0.2">
      <c r="A15" s="394"/>
      <c r="B15" s="377"/>
      <c r="C15" s="377"/>
      <c r="D15" s="389"/>
      <c r="E15" s="395"/>
      <c r="F15" s="396"/>
      <c r="G15" s="397"/>
      <c r="H15" s="398"/>
      <c r="I15" s="399"/>
      <c r="J15" s="400"/>
      <c r="K15" s="401"/>
      <c r="L15" s="402"/>
      <c r="M15" s="403"/>
      <c r="N15" s="390"/>
      <c r="O15" s="391"/>
      <c r="P15" s="391"/>
      <c r="Q15" s="390"/>
      <c r="R15" s="392"/>
      <c r="S15" s="390"/>
      <c r="T15" s="393"/>
      <c r="U15" s="390"/>
      <c r="V15" s="390"/>
      <c r="W15" s="390"/>
      <c r="X15" s="403"/>
      <c r="Y15" s="403"/>
      <c r="Z15" s="404"/>
      <c r="AA15" s="403"/>
      <c r="AB15" s="403"/>
    </row>
    <row r="16" spans="1:29" s="303" customFormat="1" ht="23.25" customHeight="1" x14ac:dyDescent="0.2">
      <c r="A16" s="394"/>
      <c r="B16" s="377"/>
      <c r="C16" s="377"/>
      <c r="D16" s="389"/>
      <c r="E16" s="395"/>
      <c r="F16" s="396"/>
      <c r="G16" s="397"/>
      <c r="H16" s="398"/>
      <c r="I16" s="399"/>
      <c r="J16" s="400"/>
      <c r="K16" s="401"/>
      <c r="L16" s="402"/>
      <c r="M16" s="403"/>
      <c r="N16" s="390"/>
      <c r="O16" s="391"/>
      <c r="P16" s="391"/>
      <c r="Q16" s="390"/>
      <c r="R16" s="392"/>
      <c r="S16" s="390"/>
      <c r="T16" s="393"/>
      <c r="U16" s="390"/>
      <c r="V16" s="390"/>
      <c r="W16" s="390"/>
      <c r="X16" s="403"/>
      <c r="Y16" s="403"/>
      <c r="Z16" s="404"/>
      <c r="AA16" s="403"/>
      <c r="AB16" s="403"/>
    </row>
    <row r="17" spans="1:29" s="303" customFormat="1" ht="23.25" customHeight="1" x14ac:dyDescent="0.2">
      <c r="A17" s="394"/>
      <c r="B17" s="377"/>
      <c r="C17" s="377"/>
      <c r="D17" s="389"/>
      <c r="E17" s="395"/>
      <c r="F17" s="396"/>
      <c r="G17" s="397"/>
      <c r="H17" s="398"/>
      <c r="I17" s="399"/>
      <c r="J17" s="400"/>
      <c r="K17" s="401"/>
      <c r="L17" s="402"/>
      <c r="M17" s="403"/>
      <c r="N17" s="390"/>
      <c r="O17" s="391"/>
      <c r="P17" s="391"/>
      <c r="Q17" s="390"/>
      <c r="R17" s="392"/>
      <c r="S17" s="390"/>
      <c r="T17" s="393"/>
      <c r="U17" s="390"/>
      <c r="V17" s="390"/>
      <c r="W17" s="390"/>
      <c r="X17" s="403"/>
      <c r="Y17" s="403"/>
      <c r="Z17" s="404"/>
      <c r="AA17" s="403"/>
      <c r="AB17" s="403"/>
    </row>
    <row r="18" spans="1:29" s="52" customFormat="1" ht="36.75" customHeight="1" x14ac:dyDescent="0.25">
      <c r="A18" s="133"/>
      <c r="B18" s="388" t="s">
        <v>96</v>
      </c>
      <c r="C18" s="388" t="s">
        <v>121</v>
      </c>
      <c r="D18" s="180" t="s">
        <v>119</v>
      </c>
      <c r="E18" s="180" t="s">
        <v>97</v>
      </c>
      <c r="F18" s="180" t="s">
        <v>221</v>
      </c>
      <c r="G18" s="388" t="s">
        <v>273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05"/>
    </row>
    <row r="19" spans="1:29" s="303" customFormat="1" ht="198" customHeight="1" x14ac:dyDescent="0.2">
      <c r="A19" s="267" t="s">
        <v>88</v>
      </c>
      <c r="B19" s="266" t="s">
        <v>155</v>
      </c>
      <c r="C19" s="267" t="s">
        <v>115</v>
      </c>
      <c r="D19" s="268" t="s">
        <v>135</v>
      </c>
      <c r="E19" s="269" t="s">
        <v>151</v>
      </c>
      <c r="F19" s="293" t="s">
        <v>232</v>
      </c>
      <c r="G19" s="294">
        <v>43374</v>
      </c>
      <c r="H19" s="286" t="s">
        <v>81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198" customHeight="1" x14ac:dyDescent="0.2">
      <c r="A20" s="305"/>
      <c r="B20" s="306" t="s">
        <v>275</v>
      </c>
      <c r="C20" s="307" t="s">
        <v>115</v>
      </c>
      <c r="D20" s="308" t="s">
        <v>276</v>
      </c>
      <c r="E20" s="309" t="s">
        <v>274</v>
      </c>
      <c r="F20" s="310" t="s">
        <v>277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57.75" customHeight="1" x14ac:dyDescent="0.25">
      <c r="A21" s="305"/>
      <c r="B21" s="388" t="s">
        <v>96</v>
      </c>
      <c r="C21" s="388" t="s">
        <v>121</v>
      </c>
      <c r="D21" s="148" t="s">
        <v>538</v>
      </c>
      <c r="E21" s="180" t="s">
        <v>97</v>
      </c>
      <c r="F21" s="180" t="s">
        <v>221</v>
      </c>
      <c r="G21" s="388" t="s">
        <v>273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198" customHeight="1" x14ac:dyDescent="0.2">
      <c r="A22" s="305"/>
      <c r="B22" s="267" t="s">
        <v>551</v>
      </c>
      <c r="C22" s="267" t="s">
        <v>476</v>
      </c>
      <c r="D22" s="290" t="s">
        <v>539</v>
      </c>
      <c r="E22" s="291" t="s">
        <v>540</v>
      </c>
      <c r="F22" s="293" t="s">
        <v>541</v>
      </c>
      <c r="G22" s="294">
        <v>45673</v>
      </c>
      <c r="H22" s="315" t="s">
        <v>542</v>
      </c>
      <c r="I22" s="316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9">
        <f>(K22+N22)/I22*30.4</f>
        <v>13564.48</v>
      </c>
      <c r="P22" s="319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8"/>
    </row>
    <row r="23" spans="1:29" s="52" customFormat="1" ht="31.5" customHeight="1" x14ac:dyDescent="0.25">
      <c r="A23" s="188"/>
      <c r="B23" s="388" t="s">
        <v>96</v>
      </c>
      <c r="C23" s="388" t="s">
        <v>121</v>
      </c>
      <c r="D23" s="148" t="s">
        <v>368</v>
      </c>
      <c r="E23" s="180" t="s">
        <v>97</v>
      </c>
      <c r="F23" s="180" t="s">
        <v>221</v>
      </c>
      <c r="G23" s="388" t="s">
        <v>273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198.75" customHeight="1" x14ac:dyDescent="0.2">
      <c r="A24" s="305"/>
      <c r="B24" s="267" t="s">
        <v>397</v>
      </c>
      <c r="C24" s="267" t="s">
        <v>115</v>
      </c>
      <c r="D24" s="290" t="s">
        <v>398</v>
      </c>
      <c r="E24" s="291" t="s">
        <v>399</v>
      </c>
      <c r="F24" s="293" t="s">
        <v>400</v>
      </c>
      <c r="G24" s="294">
        <v>45566</v>
      </c>
      <c r="H24" s="315" t="s">
        <v>371</v>
      </c>
      <c r="I24" s="316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9">
        <f>(K24+N24)/I24*30.4</f>
        <v>6349.5466666666662</v>
      </c>
      <c r="P24" s="319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7">
        <f>IF(K24/15&lt;=SMG,0,IF(W24&lt;0,0,W24))</f>
        <v>0</v>
      </c>
      <c r="Z24" s="301">
        <v>0</v>
      </c>
      <c r="AA24" s="297">
        <f>SUM(Y24:Z24)</f>
        <v>0</v>
      </c>
      <c r="AB24" s="317">
        <f>M24+X24-AA24</f>
        <v>3133</v>
      </c>
      <c r="AC24" s="318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7" t="s">
        <v>44</v>
      </c>
      <c r="B26" s="458"/>
      <c r="C26" s="458"/>
      <c r="D26" s="458"/>
      <c r="E26" s="458"/>
      <c r="F26" s="458"/>
      <c r="G26" s="458"/>
      <c r="H26" s="458"/>
      <c r="I26" s="458"/>
      <c r="J26" s="459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1000</v>
      </c>
      <c r="AA26" s="136">
        <f>AA8+AA12+AA18+AA23+AA21</f>
        <v>13178.949999999999</v>
      </c>
      <c r="AB26" s="136">
        <f>AB8+AB12+AB18+AB23+AB21</f>
        <v>69831.08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3" t="s">
        <v>478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145</v>
      </c>
      <c r="Z38" s="108"/>
      <c r="AA38" s="108"/>
      <c r="AB38" s="108"/>
      <c r="AC38" s="108"/>
    </row>
    <row r="39" spans="4:29" ht="18" x14ac:dyDescent="0.25">
      <c r="D39" s="213" t="s">
        <v>493</v>
      </c>
      <c r="E39" s="213"/>
      <c r="F39" s="213"/>
      <c r="G39" s="213"/>
      <c r="H39" s="213"/>
      <c r="I39" s="213"/>
      <c r="J39" s="213"/>
      <c r="K39" s="213"/>
      <c r="L39" s="21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3" t="s">
        <v>210</v>
      </c>
      <c r="Z39" s="108"/>
      <c r="AA39" s="213"/>
      <c r="AB39" s="213"/>
      <c r="AC39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149" t="s">
        <v>327</v>
      </c>
      <c r="B3" s="461" t="str">
        <f>PRESIDENCIA!A3</f>
        <v>SUELDO  DEL 16 AL 30 DE SEPTIEMBRE DE 2025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190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23"/>
      <c r="B8" s="148" t="s">
        <v>96</v>
      </c>
      <c r="C8" s="148" t="s">
        <v>121</v>
      </c>
      <c r="D8" s="179" t="s">
        <v>624</v>
      </c>
      <c r="E8" s="180" t="s">
        <v>97</v>
      </c>
      <c r="F8" s="180" t="s">
        <v>221</v>
      </c>
      <c r="G8" s="148" t="s">
        <v>273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23"/>
      <c r="B9" s="289" t="s">
        <v>495</v>
      </c>
      <c r="C9" s="283" t="s">
        <v>115</v>
      </c>
      <c r="D9" s="268" t="s">
        <v>496</v>
      </c>
      <c r="E9" s="269" t="s">
        <v>497</v>
      </c>
      <c r="F9" s="269" t="s">
        <v>498</v>
      </c>
      <c r="G9" s="270">
        <v>45601</v>
      </c>
      <c r="H9" s="271" t="s">
        <v>569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480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492</v>
      </c>
      <c r="C11" s="267" t="s">
        <v>115</v>
      </c>
      <c r="D11" s="268" t="s">
        <v>507</v>
      </c>
      <c r="E11" s="269" t="s">
        <v>482</v>
      </c>
      <c r="F11" s="269" t="s">
        <v>483</v>
      </c>
      <c r="G11" s="294">
        <v>45581</v>
      </c>
      <c r="H11" s="286" t="s">
        <v>481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115</v>
      </c>
      <c r="D13" s="268" t="s">
        <v>452</v>
      </c>
      <c r="E13" s="325" t="s">
        <v>453</v>
      </c>
      <c r="F13" s="269" t="s">
        <v>454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7" t="s">
        <v>44</v>
      </c>
      <c r="B14" s="458"/>
      <c r="C14" s="458"/>
      <c r="D14" s="458"/>
      <c r="E14" s="458"/>
      <c r="F14" s="458"/>
      <c r="G14" s="458"/>
      <c r="H14" s="458"/>
      <c r="I14" s="458"/>
      <c r="J14" s="459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478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145</v>
      </c>
      <c r="Z28" s="108"/>
      <c r="AA28" s="108"/>
      <c r="AB28" s="108"/>
      <c r="AC28" s="108"/>
    </row>
    <row r="29" spans="4:41" ht="18" x14ac:dyDescent="0.25">
      <c r="D29" s="213" t="s">
        <v>493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210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35" zoomScale="66" zoomScaleNormal="66" workbookViewId="0">
      <selection activeCell="B20" sqref="A20:XFD2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60" t="s">
        <v>77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35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35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3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86" t="s">
        <v>1</v>
      </c>
      <c r="L5" s="487"/>
      <c r="M5" s="488"/>
      <c r="N5" s="50" t="s">
        <v>25</v>
      </c>
      <c r="O5" s="51"/>
      <c r="P5" s="489" t="s">
        <v>8</v>
      </c>
      <c r="Q5" s="490"/>
      <c r="R5" s="490"/>
      <c r="S5" s="490"/>
      <c r="T5" s="490"/>
      <c r="U5" s="491"/>
      <c r="V5" s="50" t="s">
        <v>29</v>
      </c>
      <c r="W5" s="50" t="s">
        <v>9</v>
      </c>
      <c r="X5" s="49" t="s">
        <v>52</v>
      </c>
      <c r="Y5" s="492" t="s">
        <v>2</v>
      </c>
      <c r="Z5" s="493"/>
      <c r="AA5" s="49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8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221</v>
      </c>
      <c r="G8" s="125" t="s">
        <v>273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30.25" customHeight="1" x14ac:dyDescent="0.2">
      <c r="A9" s="265" t="s">
        <v>85</v>
      </c>
      <c r="B9" s="266" t="s">
        <v>451</v>
      </c>
      <c r="C9" s="267" t="s">
        <v>115</v>
      </c>
      <c r="D9" s="268" t="s">
        <v>401</v>
      </c>
      <c r="E9" s="269" t="s">
        <v>479</v>
      </c>
      <c r="F9" s="269" t="s">
        <v>402</v>
      </c>
      <c r="G9" s="270">
        <v>45566</v>
      </c>
      <c r="H9" s="271" t="s">
        <v>508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30.25" customHeight="1" x14ac:dyDescent="0.2">
      <c r="A10" s="265"/>
      <c r="B10" s="266" t="s">
        <v>485</v>
      </c>
      <c r="C10" s="267" t="s">
        <v>115</v>
      </c>
      <c r="D10" s="268" t="s">
        <v>486</v>
      </c>
      <c r="E10" s="269" t="s">
        <v>487</v>
      </c>
      <c r="F10" s="269" t="s">
        <v>488</v>
      </c>
      <c r="G10" s="270">
        <v>45581</v>
      </c>
      <c r="H10" s="271" t="s">
        <v>511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9">
        <f t="shared" ref="O10:O12" si="2">(K10+N10)/I10*30.4</f>
        <v>24423.359999999997</v>
      </c>
      <c r="P10" s="319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30.25" customHeight="1" x14ac:dyDescent="0.2">
      <c r="A11" s="265"/>
      <c r="B11" s="266" t="s">
        <v>293</v>
      </c>
      <c r="C11" s="267" t="s">
        <v>115</v>
      </c>
      <c r="D11" s="268" t="s">
        <v>304</v>
      </c>
      <c r="E11" s="269" t="s">
        <v>305</v>
      </c>
      <c r="F11" s="269" t="s">
        <v>307</v>
      </c>
      <c r="G11" s="270">
        <v>45139</v>
      </c>
      <c r="H11" s="271" t="s">
        <v>306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30.25" customHeight="1" x14ac:dyDescent="0.2">
      <c r="A12" s="265"/>
      <c r="B12" s="267" t="s">
        <v>182</v>
      </c>
      <c r="C12" s="267" t="s">
        <v>115</v>
      </c>
      <c r="D12" s="268" t="s">
        <v>183</v>
      </c>
      <c r="E12" s="269" t="s">
        <v>184</v>
      </c>
      <c r="F12" s="269" t="s">
        <v>245</v>
      </c>
      <c r="G12" s="270">
        <v>43983</v>
      </c>
      <c r="H12" s="271" t="s">
        <v>509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30.25" customHeight="1" x14ac:dyDescent="0.2">
      <c r="A13" s="265"/>
      <c r="B13" s="289" t="s">
        <v>271</v>
      </c>
      <c r="C13" s="283" t="s">
        <v>115</v>
      </c>
      <c r="D13" s="290" t="s">
        <v>268</v>
      </c>
      <c r="E13" s="291" t="s">
        <v>269</v>
      </c>
      <c r="F13" s="291" t="s">
        <v>270</v>
      </c>
      <c r="G13" s="292">
        <v>44958</v>
      </c>
      <c r="H13" s="286" t="s">
        <v>138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9">
        <f t="shared" ref="O13:O14" si="20">(K13+N13)/I13*30.4</f>
        <v>11565.173333333332</v>
      </c>
      <c r="P13" s="319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30.25" customHeight="1" x14ac:dyDescent="0.2">
      <c r="A14" s="265"/>
      <c r="B14" s="266" t="s">
        <v>552</v>
      </c>
      <c r="C14" s="266" t="s">
        <v>115</v>
      </c>
      <c r="D14" s="290" t="s">
        <v>543</v>
      </c>
      <c r="E14" s="291" t="s">
        <v>544</v>
      </c>
      <c r="F14" s="278" t="s">
        <v>545</v>
      </c>
      <c r="G14" s="329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9">
        <f t="shared" si="20"/>
        <v>15407.064533333332</v>
      </c>
      <c r="P14" s="319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453.33</v>
      </c>
      <c r="AA14" s="276">
        <f t="shared" ref="AA14" si="32">SUM(Y14:Z14)</f>
        <v>1255.5</v>
      </c>
      <c r="AB14" s="276">
        <f t="shared" ref="AB14" si="33">M14+X14-AA14</f>
        <v>6346.67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60" t="s">
        <v>77</v>
      </c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I16" s="93"/>
    </row>
    <row r="17" spans="1:35" s="91" customFormat="1" ht="24" customHeight="1" x14ac:dyDescent="0.25">
      <c r="A17" s="143"/>
      <c r="B17" s="460" t="s">
        <v>64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I17" s="93"/>
    </row>
    <row r="18" spans="1:35" s="91" customFormat="1" ht="27.75" customHeight="1" x14ac:dyDescent="0.3">
      <c r="A18" s="143"/>
      <c r="B18" s="481" t="str">
        <f>PRESIDENCIA!A3</f>
        <v>SUELDO  DEL 16 AL 30 DE SEPTIEMBRE DE 2025</v>
      </c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37.75" customHeight="1" x14ac:dyDescent="0.2">
      <c r="A20" s="265"/>
      <c r="B20" s="266" t="s">
        <v>280</v>
      </c>
      <c r="C20" s="266" t="s">
        <v>115</v>
      </c>
      <c r="D20" s="290" t="s">
        <v>278</v>
      </c>
      <c r="E20" s="330" t="s">
        <v>281</v>
      </c>
      <c r="F20" s="331" t="s">
        <v>279</v>
      </c>
      <c r="G20" s="329">
        <v>45042</v>
      </c>
      <c r="H20" s="271" t="s">
        <v>510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9">
        <f t="shared" ref="O20:O23" si="37">(K20+N20)/I20*30.4</f>
        <v>18387.946666666667</v>
      </c>
      <c r="P20" s="319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37.75" customHeight="1" x14ac:dyDescent="0.2">
      <c r="A21" s="265"/>
      <c r="B21" s="267" t="s">
        <v>524</v>
      </c>
      <c r="C21" s="267" t="s">
        <v>115</v>
      </c>
      <c r="D21" s="333" t="s">
        <v>161</v>
      </c>
      <c r="E21" s="134" t="s">
        <v>166</v>
      </c>
      <c r="F21" s="134" t="s">
        <v>238</v>
      </c>
      <c r="G21" s="210">
        <v>43512</v>
      </c>
      <c r="H21" s="271" t="s">
        <v>510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9">
        <f t="shared" si="37"/>
        <v>18387.946666666667</v>
      </c>
      <c r="P21" s="319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37.75" customHeight="1" x14ac:dyDescent="0.2">
      <c r="A22" s="332"/>
      <c r="B22" s="267" t="s">
        <v>251</v>
      </c>
      <c r="C22" s="267" t="s">
        <v>115</v>
      </c>
      <c r="D22" s="333" t="s">
        <v>252</v>
      </c>
      <c r="E22" s="134" t="s">
        <v>253</v>
      </c>
      <c r="F22" s="134" t="s">
        <v>254</v>
      </c>
      <c r="G22" s="210">
        <v>44728</v>
      </c>
      <c r="H22" s="271" t="s">
        <v>510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9">
        <f t="shared" si="37"/>
        <v>18387.946666666667</v>
      </c>
      <c r="P22" s="319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7.75" customHeight="1" x14ac:dyDescent="0.2">
      <c r="A23" s="332"/>
      <c r="B23" s="267" t="s">
        <v>329</v>
      </c>
      <c r="C23" s="267" t="s">
        <v>115</v>
      </c>
      <c r="D23" s="268" t="s">
        <v>330</v>
      </c>
      <c r="E23" s="269" t="s">
        <v>331</v>
      </c>
      <c r="F23" s="269" t="s">
        <v>332</v>
      </c>
      <c r="G23" s="335">
        <v>45475</v>
      </c>
      <c r="H23" s="271" t="s">
        <v>510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9">
        <f t="shared" si="37"/>
        <v>14711.573333333332</v>
      </c>
      <c r="P23" s="319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34"/>
      <c r="AI23" s="281"/>
    </row>
    <row r="24" spans="1:35" s="280" customFormat="1" ht="237.75" customHeight="1" x14ac:dyDescent="0.2">
      <c r="A24" s="332"/>
      <c r="B24" s="267" t="s">
        <v>433</v>
      </c>
      <c r="C24" s="267" t="s">
        <v>115</v>
      </c>
      <c r="D24" s="268" t="s">
        <v>434</v>
      </c>
      <c r="E24" s="269" t="s">
        <v>435</v>
      </c>
      <c r="F24" s="269" t="s">
        <v>436</v>
      </c>
      <c r="G24" s="335">
        <v>45566</v>
      </c>
      <c r="H24" s="271" t="s">
        <v>512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9">
        <f t="shared" ref="O24:O25" si="53">(K24+N24)/I24*30.4</f>
        <v>13834.026666666667</v>
      </c>
      <c r="P24" s="319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34"/>
      <c r="AI24" s="281"/>
    </row>
    <row r="25" spans="1:35" s="91" customFormat="1" ht="237.75" customHeight="1" x14ac:dyDescent="0.25">
      <c r="A25" s="143"/>
      <c r="B25" s="289" t="s">
        <v>373</v>
      </c>
      <c r="C25" s="283" t="s">
        <v>115</v>
      </c>
      <c r="D25" s="268" t="s">
        <v>374</v>
      </c>
      <c r="E25" s="269" t="s">
        <v>375</v>
      </c>
      <c r="F25" s="269" t="s">
        <v>376</v>
      </c>
      <c r="G25" s="270">
        <v>45459</v>
      </c>
      <c r="H25" s="271" t="s">
        <v>513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9">
        <f t="shared" si="53"/>
        <v>11345.279999999999</v>
      </c>
      <c r="P25" s="319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60" t="s">
        <v>77</v>
      </c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I27" s="93"/>
    </row>
    <row r="28" spans="1:35" s="91" customFormat="1" ht="27.75" customHeight="1" x14ac:dyDescent="0.25">
      <c r="A28" s="143"/>
      <c r="B28" s="460" t="s">
        <v>64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  <c r="AD28" s="460"/>
      <c r="AI28" s="93"/>
    </row>
    <row r="29" spans="1:35" s="91" customFormat="1" ht="27.75" customHeight="1" x14ac:dyDescent="0.3">
      <c r="A29" s="143"/>
      <c r="B29" s="482" t="str">
        <f>PRESIDENCIA!A3</f>
        <v>SUELDO  DEL 16 AL 30 DE SEPTIEMBRE DE 2025</v>
      </c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614</v>
      </c>
      <c r="C31" s="266" t="s">
        <v>115</v>
      </c>
      <c r="D31" s="290" t="s">
        <v>615</v>
      </c>
      <c r="E31" s="330" t="s">
        <v>616</v>
      </c>
      <c r="F31" s="331" t="s">
        <v>617</v>
      </c>
      <c r="G31" s="329">
        <v>45078</v>
      </c>
      <c r="H31" s="271" t="s">
        <v>618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9">
        <f t="shared" ref="O31" si="69">(K31+N31)/I31*30.4</f>
        <v>18387.946666666667</v>
      </c>
      <c r="P31" s="319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377</v>
      </c>
      <c r="C32" s="283" t="s">
        <v>115</v>
      </c>
      <c r="D32" s="264" t="s">
        <v>378</v>
      </c>
      <c r="E32" s="135" t="s">
        <v>380</v>
      </c>
      <c r="F32" s="135" t="s">
        <v>381</v>
      </c>
      <c r="G32" s="161">
        <v>45459</v>
      </c>
      <c r="H32" s="271" t="s">
        <v>513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9">
        <f t="shared" ref="O32" si="85">(K32+N32)/I32*30.4</f>
        <v>11345.279999999999</v>
      </c>
      <c r="P32" s="319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0</v>
      </c>
      <c r="AA32" s="276">
        <f t="shared" ref="AA32:AA33" si="96">SUM(Y32:Z32)</f>
        <v>458.09</v>
      </c>
      <c r="AB32" s="276">
        <f t="shared" ref="AB32" si="97">M32+X32-AA32</f>
        <v>5139.91</v>
      </c>
      <c r="AC32" s="278"/>
      <c r="AI32" s="281"/>
    </row>
    <row r="33" spans="1:35" s="280" customFormat="1" ht="176.25" customHeight="1" x14ac:dyDescent="0.2">
      <c r="A33" s="265"/>
      <c r="B33" s="267" t="s">
        <v>259</v>
      </c>
      <c r="C33" s="267" t="s">
        <v>115</v>
      </c>
      <c r="D33" s="333" t="s">
        <v>257</v>
      </c>
      <c r="E33" s="134" t="s">
        <v>255</v>
      </c>
      <c r="F33" s="134" t="s">
        <v>256</v>
      </c>
      <c r="G33" s="270">
        <v>44728</v>
      </c>
      <c r="H33" s="271" t="s">
        <v>258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9">
        <f>(K33+N33)/I33*30.4</f>
        <v>13444.906666666666</v>
      </c>
      <c r="P33" s="319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285</v>
      </c>
      <c r="C34" s="283" t="s">
        <v>115</v>
      </c>
      <c r="D34" s="290" t="s">
        <v>286</v>
      </c>
      <c r="E34" s="291" t="s">
        <v>287</v>
      </c>
      <c r="F34" s="291" t="s">
        <v>288</v>
      </c>
      <c r="G34" s="336">
        <v>45078</v>
      </c>
      <c r="H34" s="271" t="s">
        <v>516</v>
      </c>
      <c r="I34" s="287">
        <v>15</v>
      </c>
      <c r="J34" s="273">
        <f>K34/I34</f>
        <v>317.46666666666664</v>
      </c>
      <c r="K34" s="274">
        <v>4762</v>
      </c>
      <c r="L34" s="275">
        <v>317.26</v>
      </c>
      <c r="M34" s="276">
        <f t="shared" ref="M34" si="98">SUM(K34:L34)</f>
        <v>5079.26</v>
      </c>
      <c r="N34" s="298">
        <f>IF(K34/15&lt;=SMG,0,L34/2)</f>
        <v>158.63</v>
      </c>
      <c r="O34" s="319">
        <f>(K34+N34)/I34*30.4</f>
        <v>9972.4768000000004</v>
      </c>
      <c r="P34" s="319">
        <f>VLOOKUP(O34,Tarifa,1)</f>
        <v>6332.06</v>
      </c>
      <c r="Q34" s="298">
        <f>O34-P34</f>
        <v>3640.4168</v>
      </c>
      <c r="R34" s="299">
        <f>VLOOKUP(O34,Tarifa,3)</f>
        <v>0.10879999999999999</v>
      </c>
      <c r="S34" s="298">
        <f>Q34*R34</f>
        <v>396.07734783999996</v>
      </c>
      <c r="T34" s="300">
        <f>VLOOKUP(O34,Tarifa,2)</f>
        <v>371.83</v>
      </c>
      <c r="U34" s="298">
        <f>S34+T34</f>
        <v>767.90734783999994</v>
      </c>
      <c r="V34" s="298">
        <f>VLOOKUP(O34,Credito,2)</f>
        <v>475</v>
      </c>
      <c r="W34" s="298">
        <f>ROUND((U34-V34)/30.4*I34,2)</f>
        <v>144.53</v>
      </c>
      <c r="X34" s="276">
        <f>-IF(W34&gt;0,0,0)</f>
        <v>0</v>
      </c>
      <c r="Y34" s="276">
        <f>IF(K34/15&lt;=SMG,0,IF(W34&lt;0,0,W34))</f>
        <v>144.53</v>
      </c>
      <c r="Z34" s="277">
        <v>0</v>
      </c>
      <c r="AA34" s="276">
        <f>SUM(Y34:Z34)</f>
        <v>144.53</v>
      </c>
      <c r="AB34" s="276">
        <f>M34+X34-AA34</f>
        <v>4934.7300000000005</v>
      </c>
      <c r="AC34" s="285"/>
      <c r="AI34" s="281"/>
    </row>
    <row r="35" spans="1:35" s="280" customFormat="1" ht="176.25" customHeight="1" x14ac:dyDescent="0.2">
      <c r="A35" s="265"/>
      <c r="B35" s="289" t="s">
        <v>594</v>
      </c>
      <c r="C35" s="283" t="s">
        <v>115</v>
      </c>
      <c r="D35" s="268" t="s">
        <v>595</v>
      </c>
      <c r="E35" s="269" t="s">
        <v>596</v>
      </c>
      <c r="F35" s="269" t="s">
        <v>597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9">
        <f>(K35+N35)/I35*30.4</f>
        <v>14666.317866666666</v>
      </c>
      <c r="P35" s="319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57" t="s">
        <v>44</v>
      </c>
      <c r="B36" s="458"/>
      <c r="C36" s="458"/>
      <c r="D36" s="458"/>
      <c r="E36" s="458"/>
      <c r="F36" s="458"/>
      <c r="G36" s="458"/>
      <c r="H36" s="458"/>
      <c r="I36" s="458"/>
      <c r="J36" s="459"/>
      <c r="K36" s="208">
        <f t="shared" ref="K36:AB36" si="100">SUM(K9:K35)</f>
        <v>136473.18</v>
      </c>
      <c r="L36" s="208">
        <f t="shared" si="100"/>
        <v>317.26</v>
      </c>
      <c r="M36" s="208">
        <f t="shared" si="100"/>
        <v>136790.44</v>
      </c>
      <c r="N36" s="209">
        <f t="shared" si="100"/>
        <v>158.63</v>
      </c>
      <c r="O36" s="209">
        <f t="shared" si="100"/>
        <v>276907.13493333326</v>
      </c>
      <c r="P36" s="209">
        <f t="shared" si="100"/>
        <v>219141.36999999994</v>
      </c>
      <c r="Q36" s="209">
        <f t="shared" si="100"/>
        <v>57765.764933333325</v>
      </c>
      <c r="R36" s="209">
        <f t="shared" si="100"/>
        <v>3.0888</v>
      </c>
      <c r="S36" s="209">
        <f t="shared" si="100"/>
        <v>11333.734050559997</v>
      </c>
      <c r="T36" s="209">
        <f t="shared" si="100"/>
        <v>20820.210000000003</v>
      </c>
      <c r="U36" s="209">
        <f t="shared" si="100"/>
        <v>32153.94405056</v>
      </c>
      <c r="V36" s="209">
        <f t="shared" si="100"/>
        <v>950</v>
      </c>
      <c r="W36" s="209">
        <f t="shared" si="100"/>
        <v>15396.71</v>
      </c>
      <c r="X36" s="208">
        <f t="shared" si="100"/>
        <v>0</v>
      </c>
      <c r="Y36" s="208">
        <f t="shared" si="100"/>
        <v>15396.71</v>
      </c>
      <c r="Z36" s="208">
        <f t="shared" si="100"/>
        <v>453.33</v>
      </c>
      <c r="AA36" s="208">
        <f t="shared" si="100"/>
        <v>15850.039999999999</v>
      </c>
      <c r="AB36" s="208">
        <f t="shared" si="100"/>
        <v>120940.40000000001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478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144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494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211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"/>
  <sheetViews>
    <sheetView tabSelected="1" topLeftCell="B11" zoomScale="69" zoomScaleNormal="69" workbookViewId="0">
      <selection activeCell="L14" sqref="L14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63.2851562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6" t="s">
        <v>1</v>
      </c>
      <c r="L5" s="487"/>
      <c r="M5" s="488"/>
      <c r="N5" s="50" t="s">
        <v>25</v>
      </c>
      <c r="O5" s="51"/>
      <c r="P5" s="489" t="s">
        <v>8</v>
      </c>
      <c r="Q5" s="490"/>
      <c r="R5" s="490"/>
      <c r="S5" s="490"/>
      <c r="T5" s="490"/>
      <c r="U5" s="491"/>
      <c r="V5" s="50" t="s">
        <v>29</v>
      </c>
      <c r="W5" s="50" t="s">
        <v>9</v>
      </c>
      <c r="X5" s="49" t="s">
        <v>52</v>
      </c>
      <c r="Y5" s="492" t="s">
        <v>2</v>
      </c>
      <c r="Z5" s="493"/>
      <c r="AA5" s="494"/>
      <c r="AB5" s="49" t="s">
        <v>0</v>
      </c>
      <c r="AC5" s="48"/>
    </row>
    <row r="6" spans="1:30" s="52" customFormat="1" ht="24" x14ac:dyDescent="0.2">
      <c r="A6" s="53" t="s">
        <v>103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221</v>
      </c>
      <c r="G8" s="148" t="s">
        <v>273</v>
      </c>
      <c r="H8" s="180" t="s">
        <v>61</v>
      </c>
      <c r="I8" s="180"/>
      <c r="J8" s="180"/>
      <c r="K8" s="181">
        <f>SUM(K9:K25)</f>
        <v>57315.51</v>
      </c>
      <c r="L8" s="181">
        <f>SUM(L9:L25)</f>
        <v>630.14</v>
      </c>
      <c r="M8" s="181">
        <f>SUM(M9:M25)</f>
        <v>57945.65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3630.93</v>
      </c>
      <c r="Z8" s="181">
        <f>SUM(Z9:Z25)</f>
        <v>500</v>
      </c>
      <c r="AA8" s="181">
        <f>SUM(AA9:AA25)</f>
        <v>4130.93</v>
      </c>
      <c r="AB8" s="181">
        <f>SUM(AB9:AB25)</f>
        <v>53814.720000000001</v>
      </c>
      <c r="AC8" s="96"/>
    </row>
    <row r="9" spans="1:30" s="339" customFormat="1" ht="221.25" customHeight="1" x14ac:dyDescent="0.2">
      <c r="A9" s="337"/>
      <c r="B9" s="283" t="s">
        <v>169</v>
      </c>
      <c r="C9" s="283" t="s">
        <v>115</v>
      </c>
      <c r="D9" s="268" t="s">
        <v>165</v>
      </c>
      <c r="E9" s="269" t="s">
        <v>168</v>
      </c>
      <c r="F9" s="269" t="s">
        <v>240</v>
      </c>
      <c r="G9" s="270">
        <v>43512</v>
      </c>
      <c r="H9" s="271" t="s">
        <v>164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1.25" customHeight="1" x14ac:dyDescent="0.2">
      <c r="A10" s="337"/>
      <c r="B10" s="283" t="s">
        <v>260</v>
      </c>
      <c r="C10" s="283" t="s">
        <v>115</v>
      </c>
      <c r="D10" s="268" t="s">
        <v>263</v>
      </c>
      <c r="E10" s="278" t="s">
        <v>264</v>
      </c>
      <c r="F10" s="278" t="s">
        <v>265</v>
      </c>
      <c r="G10" s="329">
        <v>44743</v>
      </c>
      <c r="H10" s="271" t="s">
        <v>164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1.25" customHeight="1" x14ac:dyDescent="0.2">
      <c r="A11" s="337"/>
      <c r="B11" s="283" t="s">
        <v>99</v>
      </c>
      <c r="C11" s="283" t="s">
        <v>115</v>
      </c>
      <c r="D11" s="268" t="s">
        <v>70</v>
      </c>
      <c r="E11" s="269" t="s">
        <v>101</v>
      </c>
      <c r="F11" s="269" t="s">
        <v>225</v>
      </c>
      <c r="G11" s="270">
        <v>39448</v>
      </c>
      <c r="H11" s="271" t="s">
        <v>514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1.25" customHeight="1" x14ac:dyDescent="0.2">
      <c r="A12" s="337"/>
      <c r="B12" s="289" t="s">
        <v>177</v>
      </c>
      <c r="C12" s="283" t="s">
        <v>115</v>
      </c>
      <c r="D12" s="290" t="s">
        <v>175</v>
      </c>
      <c r="E12" s="291" t="s">
        <v>176</v>
      </c>
      <c r="F12" s="291" t="s">
        <v>243</v>
      </c>
      <c r="G12" s="292">
        <v>43617</v>
      </c>
      <c r="H12" s="271" t="s">
        <v>514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1.25" customHeight="1" x14ac:dyDescent="0.2">
      <c r="A13" s="337"/>
      <c r="B13" s="283" t="s">
        <v>127</v>
      </c>
      <c r="C13" s="283" t="s">
        <v>115</v>
      </c>
      <c r="D13" s="290" t="s">
        <v>126</v>
      </c>
      <c r="E13" s="291" t="s">
        <v>128</v>
      </c>
      <c r="F13" s="291" t="s">
        <v>230</v>
      </c>
      <c r="G13" s="336">
        <v>42948</v>
      </c>
      <c r="H13" s="271" t="s">
        <v>515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9">
        <f>(K13+N13)/I13*30.4</f>
        <v>13431.7536</v>
      </c>
      <c r="P13" s="319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8.2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0" s="4" customFormat="1" ht="27" customHeight="1" x14ac:dyDescent="0.25">
      <c r="A17" s="204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0" s="4" customFormat="1" ht="27" customHeight="1" x14ac:dyDescent="0.3">
      <c r="A18" s="204"/>
      <c r="B18" s="495" t="str">
        <f>PRESIDENCIA!A3</f>
        <v>SUELDO  DEL 16 AL 30 DE SEPTIEMBRE DE 2025</v>
      </c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1.25" customHeight="1" x14ac:dyDescent="0.2">
      <c r="A20" s="340"/>
      <c r="B20" s="341" t="s">
        <v>422</v>
      </c>
      <c r="C20" s="341" t="s">
        <v>115</v>
      </c>
      <c r="D20" s="342" t="s">
        <v>412</v>
      </c>
      <c r="E20" s="343" t="s">
        <v>423</v>
      </c>
      <c r="F20" s="343" t="s">
        <v>424</v>
      </c>
      <c r="G20" s="344">
        <v>45566</v>
      </c>
      <c r="H20" s="345" t="s">
        <v>98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1.25" customHeight="1" x14ac:dyDescent="0.2">
      <c r="A21" s="340"/>
      <c r="B21" s="283" t="s">
        <v>301</v>
      </c>
      <c r="C21" s="283" t="s">
        <v>115</v>
      </c>
      <c r="D21" s="290" t="s">
        <v>300</v>
      </c>
      <c r="E21" s="291" t="s">
        <v>302</v>
      </c>
      <c r="F21" s="291" t="s">
        <v>303</v>
      </c>
      <c r="G21" s="336">
        <v>45123</v>
      </c>
      <c r="H21" s="271" t="s">
        <v>299</v>
      </c>
      <c r="I21" s="272">
        <v>15</v>
      </c>
      <c r="J21" s="273">
        <f t="shared" si="5"/>
        <v>305.06666666666666</v>
      </c>
      <c r="K21" s="274">
        <v>4576</v>
      </c>
      <c r="L21" s="275">
        <v>630.14</v>
      </c>
      <c r="M21" s="276">
        <f>SUM(K21:L21)</f>
        <v>5206.1400000000003</v>
      </c>
      <c r="N21" s="298">
        <f>IF(K21/15&lt;=SMG,0,L21/2)</f>
        <v>315.07</v>
      </c>
      <c r="O21" s="319">
        <f>(K21+N21)/I21*30.4</f>
        <v>9912.5685333333331</v>
      </c>
      <c r="P21" s="319">
        <f>VLOOKUP(O21,Tarifa,1)</f>
        <v>6332.06</v>
      </c>
      <c r="Q21" s="298">
        <f>O21-P21</f>
        <v>3580.5085333333327</v>
      </c>
      <c r="R21" s="299">
        <f>VLOOKUP(O21,Tarifa,3)</f>
        <v>0.10879999999999999</v>
      </c>
      <c r="S21" s="298">
        <f>Q21*R21</f>
        <v>389.55932842666658</v>
      </c>
      <c r="T21" s="300">
        <f>VLOOKUP(O21,Tarifa,2)</f>
        <v>371.83</v>
      </c>
      <c r="U21" s="298">
        <f>S21+T21</f>
        <v>761.38932842666657</v>
      </c>
      <c r="V21" s="298">
        <f>VLOOKUP(O21,Credito,2)</f>
        <v>475</v>
      </c>
      <c r="W21" s="298">
        <f>ROUND((U21-V21)/30.4*I21,2)</f>
        <v>141.31</v>
      </c>
      <c r="X21" s="276">
        <f t="shared" si="7"/>
        <v>0</v>
      </c>
      <c r="Y21" s="276">
        <f t="shared" si="8"/>
        <v>141.31</v>
      </c>
      <c r="Z21" s="277">
        <v>0</v>
      </c>
      <c r="AA21" s="276">
        <f>SUM(Y21:Z21)</f>
        <v>141.31</v>
      </c>
      <c r="AB21" s="276">
        <f>M21+X21-AA21</f>
        <v>5064.83</v>
      </c>
      <c r="AC21" s="350"/>
    </row>
    <row r="22" spans="1:30" s="339" customFormat="1" ht="161.25" customHeight="1" x14ac:dyDescent="0.2">
      <c r="A22" s="337"/>
      <c r="B22" s="283" t="s">
        <v>178</v>
      </c>
      <c r="C22" s="283" t="s">
        <v>115</v>
      </c>
      <c r="D22" s="290" t="s">
        <v>179</v>
      </c>
      <c r="E22" s="291" t="s">
        <v>180</v>
      </c>
      <c r="F22" s="291" t="s">
        <v>244</v>
      </c>
      <c r="G22" s="336">
        <v>43709</v>
      </c>
      <c r="H22" s="271" t="s">
        <v>213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8"/>
    </row>
    <row r="23" spans="1:30" s="339" customFormat="1" ht="161.25" customHeight="1" x14ac:dyDescent="0.2">
      <c r="A23" s="337"/>
      <c r="B23" s="289" t="s">
        <v>217</v>
      </c>
      <c r="C23" s="283" t="s">
        <v>115</v>
      </c>
      <c r="D23" s="268" t="s">
        <v>203</v>
      </c>
      <c r="E23" s="269" t="s">
        <v>204</v>
      </c>
      <c r="F23" s="269" t="s">
        <v>229</v>
      </c>
      <c r="G23" s="270">
        <v>44473</v>
      </c>
      <c r="H23" s="271" t="s">
        <v>411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1.25" customHeight="1" x14ac:dyDescent="0.2">
      <c r="A24" s="337"/>
      <c r="B24" s="289" t="s">
        <v>526</v>
      </c>
      <c r="C24" s="283" t="s">
        <v>115</v>
      </c>
      <c r="D24" s="268" t="s">
        <v>528</v>
      </c>
      <c r="E24" s="269" t="s">
        <v>529</v>
      </c>
      <c r="F24" s="269" t="s">
        <v>530</v>
      </c>
      <c r="G24" s="270">
        <v>45673</v>
      </c>
      <c r="H24" s="271" t="s">
        <v>379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61.25" customHeight="1" x14ac:dyDescent="0.2">
      <c r="A25" s="337"/>
      <c r="B25" s="289" t="s">
        <v>527</v>
      </c>
      <c r="C25" s="283" t="s">
        <v>115</v>
      </c>
      <c r="D25" s="268" t="s">
        <v>531</v>
      </c>
      <c r="E25" s="269" t="s">
        <v>533</v>
      </c>
      <c r="F25" s="269" t="s">
        <v>532</v>
      </c>
      <c r="G25" s="270">
        <v>45673</v>
      </c>
      <c r="H25" s="271" t="s">
        <v>379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8"/>
    </row>
    <row r="26" spans="1:30" s="339" customFormat="1" ht="56.25" customHeight="1" x14ac:dyDescent="0.25">
      <c r="A26" s="422"/>
      <c r="B26" s="111" t="s">
        <v>96</v>
      </c>
      <c r="C26" s="111" t="s">
        <v>121</v>
      </c>
      <c r="D26" s="180" t="s">
        <v>120</v>
      </c>
      <c r="E26" s="180" t="s">
        <v>97</v>
      </c>
      <c r="F26" s="180" t="s">
        <v>221</v>
      </c>
      <c r="G26" s="148" t="s">
        <v>273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9" customFormat="1" ht="161.25" customHeight="1" x14ac:dyDescent="0.2">
      <c r="A27" s="422"/>
      <c r="B27" s="289" t="s">
        <v>644</v>
      </c>
      <c r="C27" s="283" t="s">
        <v>115</v>
      </c>
      <c r="D27" s="268" t="s">
        <v>640</v>
      </c>
      <c r="E27" s="269" t="s">
        <v>641</v>
      </c>
      <c r="F27" s="269" t="s">
        <v>642</v>
      </c>
      <c r="G27" s="270">
        <v>45901</v>
      </c>
      <c r="H27" s="271" t="s">
        <v>379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9">
        <f t="shared" ref="O27" si="44">(K27+N27)/I27*30.4</f>
        <v>11345.279999999999</v>
      </c>
      <c r="P27" s="319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8"/>
    </row>
    <row r="28" spans="1:30" s="4" customFormat="1" ht="34.5" customHeight="1" x14ac:dyDescent="0.25">
      <c r="A28" s="249"/>
      <c r="B28" s="471" t="s">
        <v>77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</row>
    <row r="29" spans="1:30" s="4" customFormat="1" ht="27" customHeight="1" x14ac:dyDescent="0.25">
      <c r="A29" s="249"/>
      <c r="B29" s="471" t="s">
        <v>64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</row>
    <row r="30" spans="1:30" s="4" customFormat="1" ht="24" customHeight="1" x14ac:dyDescent="0.25">
      <c r="A30" s="249"/>
      <c r="B30" s="461" t="str">
        <f>PRESIDENCIA!A3</f>
        <v>SUELDO  DEL 16 AL 30 DE SEPTIEMBRE DE 2025</v>
      </c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96</v>
      </c>
      <c r="C32" s="111" t="s">
        <v>121</v>
      </c>
      <c r="D32" s="180" t="s">
        <v>120</v>
      </c>
      <c r="E32" s="180" t="s">
        <v>97</v>
      </c>
      <c r="F32" s="180" t="s">
        <v>221</v>
      </c>
      <c r="G32" s="148" t="s">
        <v>273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86.75" customHeight="1" x14ac:dyDescent="0.2">
      <c r="A33" s="249"/>
      <c r="B33" s="289" t="s">
        <v>170</v>
      </c>
      <c r="C33" s="283" t="s">
        <v>115</v>
      </c>
      <c r="D33" s="268" t="s">
        <v>162</v>
      </c>
      <c r="E33" s="269" t="s">
        <v>167</v>
      </c>
      <c r="F33" s="269" t="s">
        <v>241</v>
      </c>
      <c r="G33" s="270">
        <v>43512</v>
      </c>
      <c r="H33" s="271" t="s">
        <v>517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9">
        <f>(K33+N33)/I33*30.4</f>
        <v>14344.746666666666</v>
      </c>
      <c r="P33" s="319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8"/>
    </row>
    <row r="34" spans="1:35" s="4" customFormat="1" ht="48.75" customHeight="1" x14ac:dyDescent="0.25">
      <c r="A34" s="44"/>
      <c r="B34" s="111" t="s">
        <v>96</v>
      </c>
      <c r="C34" s="111" t="s">
        <v>121</v>
      </c>
      <c r="D34" s="180" t="s">
        <v>69</v>
      </c>
      <c r="E34" s="180" t="s">
        <v>97</v>
      </c>
      <c r="F34" s="180" t="s">
        <v>221</v>
      </c>
      <c r="G34" s="148" t="s">
        <v>273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9" customFormat="1" ht="186.75" customHeight="1" x14ac:dyDescent="0.2">
      <c r="A35" s="337"/>
      <c r="B35" s="289" t="s">
        <v>200</v>
      </c>
      <c r="C35" s="283" t="s">
        <v>115</v>
      </c>
      <c r="D35" s="268" t="s">
        <v>205</v>
      </c>
      <c r="E35" s="269" t="s">
        <v>206</v>
      </c>
      <c r="F35" s="269" t="s">
        <v>248</v>
      </c>
      <c r="G35" s="270">
        <v>44470</v>
      </c>
      <c r="H35" s="325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9">
        <f>(K35+N35)/I35*30.4</f>
        <v>16048.159999999998</v>
      </c>
      <c r="P35" s="319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8"/>
    </row>
    <row r="36" spans="1:35" s="339" customFormat="1" ht="186.75" customHeight="1" x14ac:dyDescent="0.2">
      <c r="A36" s="337"/>
      <c r="B36" s="289" t="s">
        <v>309</v>
      </c>
      <c r="C36" s="283" t="s">
        <v>115</v>
      </c>
      <c r="D36" s="268" t="s">
        <v>310</v>
      </c>
      <c r="E36" s="269" t="s">
        <v>311</v>
      </c>
      <c r="F36" s="269" t="s">
        <v>312</v>
      </c>
      <c r="G36" s="270">
        <v>45173</v>
      </c>
      <c r="H36" s="271" t="s">
        <v>163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9">
        <f>(K36+N36)/I36*30.4</f>
        <v>11014.933333333332</v>
      </c>
      <c r="P36" s="319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8"/>
    </row>
    <row r="37" spans="1:35" s="4" customFormat="1" ht="50.25" customHeight="1" x14ac:dyDescent="0.25">
      <c r="A37" s="106"/>
      <c r="B37" s="111" t="s">
        <v>96</v>
      </c>
      <c r="C37" s="111" t="s">
        <v>121</v>
      </c>
      <c r="D37" s="180" t="s">
        <v>120</v>
      </c>
      <c r="E37" s="180" t="s">
        <v>97</v>
      </c>
      <c r="F37" s="180" t="s">
        <v>221</v>
      </c>
      <c r="G37" s="148" t="s">
        <v>273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902.63</v>
      </c>
      <c r="M37" s="181">
        <f>SUM(M38:M38)</f>
        <v>7729.13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744.04</v>
      </c>
      <c r="Z37" s="181">
        <f>SUM(Z38:Z38)</f>
        <v>0</v>
      </c>
      <c r="AA37" s="181">
        <f>SUM(AA38:AA38)</f>
        <v>744.04</v>
      </c>
      <c r="AB37" s="181">
        <f>SUM(AB38:AB38)</f>
        <v>6985.09</v>
      </c>
      <c r="AC37" s="96"/>
    </row>
    <row r="38" spans="1:35" s="339" customFormat="1" ht="186.75" customHeight="1" x14ac:dyDescent="0.2">
      <c r="A38" s="265" t="s">
        <v>84</v>
      </c>
      <c r="B38" s="289" t="s">
        <v>156</v>
      </c>
      <c r="C38" s="283" t="s">
        <v>115</v>
      </c>
      <c r="D38" s="268" t="s">
        <v>137</v>
      </c>
      <c r="E38" s="269" t="s">
        <v>152</v>
      </c>
      <c r="F38" s="269" t="s">
        <v>233</v>
      </c>
      <c r="G38" s="270">
        <v>43374</v>
      </c>
      <c r="H38" s="271" t="s">
        <v>136</v>
      </c>
      <c r="I38" s="272">
        <v>15</v>
      </c>
      <c r="J38" s="273">
        <f>K38/I38</f>
        <v>455.1</v>
      </c>
      <c r="K38" s="274">
        <v>6826.5</v>
      </c>
      <c r="L38" s="275">
        <v>902.63</v>
      </c>
      <c r="M38" s="276">
        <f>SUM(K38:L38)</f>
        <v>7729.13</v>
      </c>
      <c r="N38" s="298">
        <f>IF(K38/15&lt;=SMG,0,L38/2)</f>
        <v>451.315</v>
      </c>
      <c r="O38" s="319">
        <f>(K38+N38)/I38*30.4</f>
        <v>14749.705066666666</v>
      </c>
      <c r="P38" s="319">
        <f>VLOOKUP(O38,Tarifa,1)</f>
        <v>12935.83</v>
      </c>
      <c r="Q38" s="298">
        <f>O38-P38</f>
        <v>1813.8750666666656</v>
      </c>
      <c r="R38" s="299">
        <f>VLOOKUP(O38,Tarifa,3)</f>
        <v>0.1792</v>
      </c>
      <c r="S38" s="298">
        <f>Q38*R38</f>
        <v>325.04641194666647</v>
      </c>
      <c r="T38" s="300">
        <f>VLOOKUP(O38,Tarifa,2)</f>
        <v>1182.8800000000001</v>
      </c>
      <c r="U38" s="298">
        <f>S38+T38</f>
        <v>1507.9264119466666</v>
      </c>
      <c r="V38" s="298">
        <f>VLOOKUP(O38,Credito,2)</f>
        <v>0</v>
      </c>
      <c r="W38" s="298">
        <f>ROUND((U38-V38)/30.4*I38,2)</f>
        <v>744.04</v>
      </c>
      <c r="X38" s="276">
        <f>-IF(W38&gt;0,0,0)</f>
        <v>0</v>
      </c>
      <c r="Y38" s="276">
        <f>IF(K38/15&lt;=SMG,0,IF(W38&lt;0,0,W38))</f>
        <v>744.04</v>
      </c>
      <c r="Z38" s="277">
        <v>0</v>
      </c>
      <c r="AA38" s="276">
        <f>SUM(Y38:Z38)</f>
        <v>744.04</v>
      </c>
      <c r="AB38" s="276">
        <f>M38+X38-AA38</f>
        <v>6985.09</v>
      </c>
      <c r="AC38" s="338"/>
      <c r="AI38" s="351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57" t="s">
        <v>44</v>
      </c>
      <c r="B40" s="458"/>
      <c r="C40" s="458"/>
      <c r="D40" s="458"/>
      <c r="E40" s="458"/>
      <c r="F40" s="458"/>
      <c r="G40" s="458"/>
      <c r="H40" s="458"/>
      <c r="I40" s="458"/>
      <c r="J40" s="459"/>
      <c r="K40" s="208">
        <f>K8+K26+K34+K37+K32</f>
        <v>90171.510000000009</v>
      </c>
      <c r="L40" s="208">
        <f>L8+L26+L34+L37+L32</f>
        <v>1532.77</v>
      </c>
      <c r="M40" s="208">
        <f>M8+M26+M34+M37+M32</f>
        <v>91704.28</v>
      </c>
      <c r="N40" s="209">
        <f t="shared" ref="N40:W40" si="62">SUM(N9:N39)</f>
        <v>766.38499999999999</v>
      </c>
      <c r="O40" s="209">
        <f t="shared" si="62"/>
        <v>184300.80053333333</v>
      </c>
      <c r="P40" s="209">
        <f t="shared" si="62"/>
        <v>144667.81</v>
      </c>
      <c r="Q40" s="209">
        <f t="shared" si="62"/>
        <v>39632.990533333315</v>
      </c>
      <c r="R40" s="209">
        <f t="shared" si="62"/>
        <v>2.2103999999999995</v>
      </c>
      <c r="S40" s="209">
        <f t="shared" si="62"/>
        <v>4665.9721774933296</v>
      </c>
      <c r="T40" s="209">
        <f t="shared" si="62"/>
        <v>11216.18</v>
      </c>
      <c r="U40" s="209">
        <f t="shared" si="62"/>
        <v>15882.152177493328</v>
      </c>
      <c r="V40" s="209">
        <f t="shared" si="62"/>
        <v>1900</v>
      </c>
      <c r="W40" s="209">
        <f t="shared" si="62"/>
        <v>6899.1299999999992</v>
      </c>
      <c r="X40" s="208">
        <f>X8+X26+X34+X37+X32</f>
        <v>0</v>
      </c>
      <c r="Y40" s="208">
        <f>Y8+Y26+Y34+Y37+Y32</f>
        <v>6844.54</v>
      </c>
      <c r="Z40" s="208">
        <f>Z8+Z26+Z34+Z37+Z32</f>
        <v>500</v>
      </c>
      <c r="AA40" s="208">
        <f>AA8+AA26+AA34+AA37+AA32</f>
        <v>7344.54</v>
      </c>
      <c r="AB40" s="208">
        <f>AB8+AB26+AB34+AB37+AB32</f>
        <v>84359.739999999991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x14ac:dyDescent="0.2"/>
    <row r="49" spans="4:41" s="4" customFormat="1" ht="20.25" x14ac:dyDescent="0.3">
      <c r="D49" s="211" t="s">
        <v>478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144</v>
      </c>
      <c r="Z49" s="212"/>
      <c r="AA49" s="212"/>
      <c r="AB49" s="212"/>
      <c r="AC49" s="212"/>
    </row>
    <row r="50" spans="4:41" s="4" customFormat="1" ht="20.25" x14ac:dyDescent="0.3">
      <c r="D50" s="211" t="s">
        <v>493</v>
      </c>
      <c r="E50" s="211"/>
      <c r="F50" s="211"/>
      <c r="G50" s="211"/>
      <c r="H50" s="211"/>
      <c r="I50" s="211"/>
      <c r="J50" s="211"/>
      <c r="K50" s="211"/>
      <c r="L50" s="211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211</v>
      </c>
      <c r="Z50" s="212"/>
      <c r="AA50" s="211"/>
      <c r="AB50" s="211"/>
      <c r="AC50" s="211"/>
      <c r="AD50" s="42"/>
      <c r="AE50" s="42"/>
      <c r="AF50" s="42"/>
      <c r="AG50" s="42"/>
      <c r="AH50" s="42"/>
      <c r="AI50" s="42"/>
      <c r="AJ50" s="42"/>
      <c r="AK50" s="42"/>
      <c r="AN50" s="42"/>
      <c r="AO50" s="42"/>
    </row>
    <row r="51" spans="4:41" s="4" customFormat="1" ht="20.25" x14ac:dyDescent="0.3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</row>
    <row r="52" spans="4:41" s="4" customFormat="1" x14ac:dyDescent="0.2"/>
    <row r="53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21" zoomScale="55" zoomScaleNormal="55" workbookViewId="0">
      <selection activeCell="D81" sqref="D8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60" t="s">
        <v>77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33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33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6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116" t="s">
        <v>25</v>
      </c>
      <c r="O5" s="117"/>
      <c r="P5" s="465" t="s">
        <v>8</v>
      </c>
      <c r="Q5" s="466"/>
      <c r="R5" s="466"/>
      <c r="S5" s="466"/>
      <c r="T5" s="466"/>
      <c r="U5" s="467"/>
      <c r="V5" s="116" t="s">
        <v>29</v>
      </c>
      <c r="W5" s="116" t="s">
        <v>9</v>
      </c>
      <c r="X5" s="115" t="s">
        <v>52</v>
      </c>
      <c r="Y5" s="468" t="s">
        <v>2</v>
      </c>
      <c r="Z5" s="469"/>
      <c r="AA5" s="47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497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8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197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7" t="s">
        <v>140</v>
      </c>
      <c r="E8" s="228" t="s">
        <v>97</v>
      </c>
      <c r="F8" s="228" t="s">
        <v>221</v>
      </c>
      <c r="G8" s="227" t="s">
        <v>273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07.75" customHeight="1" x14ac:dyDescent="0.2">
      <c r="A9" s="352"/>
      <c r="B9" s="353">
        <v>377</v>
      </c>
      <c r="C9" s="354" t="s">
        <v>115</v>
      </c>
      <c r="D9" s="355" t="s">
        <v>405</v>
      </c>
      <c r="E9" s="356" t="s">
        <v>406</v>
      </c>
      <c r="F9" s="356" t="s">
        <v>407</v>
      </c>
      <c r="G9" s="357">
        <v>45566</v>
      </c>
      <c r="H9" s="358" t="s">
        <v>326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207.75" customHeight="1" x14ac:dyDescent="0.2">
      <c r="A10" s="352"/>
      <c r="B10" s="289" t="s">
        <v>410</v>
      </c>
      <c r="C10" s="283" t="s">
        <v>115</v>
      </c>
      <c r="D10" s="264" t="s">
        <v>408</v>
      </c>
      <c r="E10" s="135" t="s">
        <v>477</v>
      </c>
      <c r="F10" s="293" t="s">
        <v>409</v>
      </c>
      <c r="G10" s="270">
        <v>45566</v>
      </c>
      <c r="H10" s="271" t="s">
        <v>261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28" t="s">
        <v>123</v>
      </c>
      <c r="E11" s="228" t="s">
        <v>97</v>
      </c>
      <c r="F11" s="228" t="s">
        <v>221</v>
      </c>
      <c r="G11" s="227" t="s">
        <v>273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209.25" customHeight="1" x14ac:dyDescent="0.2">
      <c r="A12" s="360" t="s">
        <v>87</v>
      </c>
      <c r="B12" s="283" t="s">
        <v>606</v>
      </c>
      <c r="C12" s="283" t="s">
        <v>115</v>
      </c>
      <c r="D12" s="264" t="s">
        <v>607</v>
      </c>
      <c r="E12" s="135" t="s">
        <v>608</v>
      </c>
      <c r="F12" s="135" t="s">
        <v>609</v>
      </c>
      <c r="G12" s="161">
        <v>45839</v>
      </c>
      <c r="H12" s="286" t="s">
        <v>93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9">
        <f>(K12+N12)/I12*30.4</f>
        <v>15666.133333333333</v>
      </c>
      <c r="P12" s="319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61"/>
    </row>
    <row r="13" spans="1:33" s="303" customFormat="1" ht="209.25" customHeight="1" x14ac:dyDescent="0.2">
      <c r="A13" s="362"/>
      <c r="B13" s="283" t="s">
        <v>636</v>
      </c>
      <c r="C13" s="283" t="s">
        <v>115</v>
      </c>
      <c r="D13" s="264" t="s">
        <v>637</v>
      </c>
      <c r="E13" s="135" t="s">
        <v>638</v>
      </c>
      <c r="F13" s="135" t="s">
        <v>639</v>
      </c>
      <c r="G13" s="161">
        <v>45459</v>
      </c>
      <c r="H13" s="286" t="s">
        <v>379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1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28" t="s">
        <v>266</v>
      </c>
      <c r="E14" s="228" t="s">
        <v>97</v>
      </c>
      <c r="F14" s="228" t="s">
        <v>221</v>
      </c>
      <c r="G14" s="227" t="s">
        <v>273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600</v>
      </c>
      <c r="C15" s="283" t="s">
        <v>115</v>
      </c>
      <c r="D15" s="264" t="s">
        <v>599</v>
      </c>
      <c r="E15" s="135" t="s">
        <v>601</v>
      </c>
      <c r="F15" s="135" t="s">
        <v>602</v>
      </c>
      <c r="G15" s="161">
        <v>45778</v>
      </c>
      <c r="H15" s="286" t="s">
        <v>598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29"/>
      <c r="AG15" s="66"/>
    </row>
    <row r="16" spans="1:33" s="303" customFormat="1" ht="210.75" customHeight="1" x14ac:dyDescent="0.2">
      <c r="A16" s="362"/>
      <c r="B16" s="289" t="s">
        <v>313</v>
      </c>
      <c r="C16" s="283" t="s">
        <v>115</v>
      </c>
      <c r="D16" s="268" t="s">
        <v>314</v>
      </c>
      <c r="E16" s="269" t="s">
        <v>315</v>
      </c>
      <c r="F16" s="269" t="s">
        <v>316</v>
      </c>
      <c r="G16" s="270">
        <v>45154</v>
      </c>
      <c r="H16" s="271" t="s">
        <v>317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60" t="s">
        <v>77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  <c r="AD18" s="460"/>
      <c r="AG18" s="66"/>
    </row>
    <row r="19" spans="1:33" s="52" customFormat="1" ht="36.75" customHeight="1" x14ac:dyDescent="0.25">
      <c r="A19" s="157"/>
      <c r="B19" s="460" t="s">
        <v>64</v>
      </c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G19" s="66"/>
    </row>
    <row r="20" spans="1:33" s="52" customFormat="1" ht="31.5" customHeight="1" x14ac:dyDescent="0.25">
      <c r="A20" s="157"/>
      <c r="B20" s="461" t="str">
        <f>PRESIDENCIA!A3</f>
        <v>SUELDO  DEL 16 AL 30 DE SEPTIEMBRE DE 2025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62"/>
      <c r="B22" s="289" t="s">
        <v>403</v>
      </c>
      <c r="C22" s="283" t="s">
        <v>115</v>
      </c>
      <c r="D22" s="290" t="s">
        <v>503</v>
      </c>
      <c r="E22" s="291" t="s">
        <v>504</v>
      </c>
      <c r="F22" s="291" t="s">
        <v>505</v>
      </c>
      <c r="G22" s="336">
        <v>45612</v>
      </c>
      <c r="H22" s="271" t="s">
        <v>404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9">
        <f>(K22+N22)/I22*30.4</f>
        <v>8752.159999999998</v>
      </c>
      <c r="P22" s="319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61"/>
    </row>
    <row r="23" spans="1:33" s="52" customFormat="1" ht="60.75" customHeight="1" x14ac:dyDescent="0.3">
      <c r="A23" s="157"/>
      <c r="B23" s="148" t="s">
        <v>96</v>
      </c>
      <c r="C23" s="148" t="s">
        <v>121</v>
      </c>
      <c r="D23" s="228" t="s">
        <v>294</v>
      </c>
      <c r="E23" s="228" t="s">
        <v>97</v>
      </c>
      <c r="F23" s="228" t="s">
        <v>221</v>
      </c>
      <c r="G23" s="227" t="s">
        <v>273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62"/>
      <c r="B24" s="289" t="s">
        <v>308</v>
      </c>
      <c r="C24" s="283" t="s">
        <v>115</v>
      </c>
      <c r="D24" s="290" t="s">
        <v>295</v>
      </c>
      <c r="E24" s="291" t="s">
        <v>296</v>
      </c>
      <c r="F24" s="291" t="s">
        <v>297</v>
      </c>
      <c r="G24" s="336">
        <v>45108</v>
      </c>
      <c r="H24" s="271" t="s">
        <v>298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9">
        <f>(K24+N24)/I24*30.4</f>
        <v>18255.2</v>
      </c>
      <c r="P24" s="319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61"/>
    </row>
    <row r="25" spans="1:33" s="303" customFormat="1" ht="240.75" customHeight="1" x14ac:dyDescent="0.2">
      <c r="A25" s="362"/>
      <c r="B25" s="289" t="s">
        <v>318</v>
      </c>
      <c r="C25" s="283" t="s">
        <v>115</v>
      </c>
      <c r="D25" s="290" t="s">
        <v>322</v>
      </c>
      <c r="E25" s="291" t="s">
        <v>323</v>
      </c>
      <c r="F25" s="291" t="s">
        <v>324</v>
      </c>
      <c r="G25" s="336">
        <v>45200</v>
      </c>
      <c r="H25" s="271" t="s">
        <v>325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9">
        <f>(K25+N25)/I25*30.4</f>
        <v>8362.0266666666666</v>
      </c>
      <c r="P25" s="319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61"/>
    </row>
    <row r="26" spans="1:33" s="52" customFormat="1" ht="47.25" customHeight="1" x14ac:dyDescent="0.25">
      <c r="A26" s="157"/>
      <c r="B26" s="205" t="s">
        <v>96</v>
      </c>
      <c r="C26" s="205" t="s">
        <v>121</v>
      </c>
      <c r="D26" s="205" t="s">
        <v>425</v>
      </c>
      <c r="E26" s="250" t="s">
        <v>97</v>
      </c>
      <c r="F26" s="250" t="s">
        <v>221</v>
      </c>
      <c r="G26" s="205" t="s">
        <v>273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62"/>
      <c r="B27" s="289" t="s">
        <v>426</v>
      </c>
      <c r="C27" s="283" t="s">
        <v>115</v>
      </c>
      <c r="D27" s="268" t="s">
        <v>427</v>
      </c>
      <c r="E27" s="269" t="s">
        <v>428</v>
      </c>
      <c r="F27" s="269" t="s">
        <v>429</v>
      </c>
      <c r="G27" s="270">
        <v>45566</v>
      </c>
      <c r="H27" s="271" t="s">
        <v>430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9">
        <f>(K27+N27)/I27*30.4</f>
        <v>12580.533333333333</v>
      </c>
      <c r="P27" s="319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61"/>
    </row>
    <row r="28" spans="1:33" s="303" customFormat="1" ht="118.5" customHeight="1" x14ac:dyDescent="0.3">
      <c r="A28" s="362"/>
      <c r="B28" s="205" t="s">
        <v>96</v>
      </c>
      <c r="C28" s="205" t="s">
        <v>121</v>
      </c>
      <c r="D28" s="231" t="s">
        <v>124</v>
      </c>
      <c r="E28" s="232" t="s">
        <v>97</v>
      </c>
      <c r="F28" s="232" t="s">
        <v>221</v>
      </c>
      <c r="G28" s="231" t="s">
        <v>273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61"/>
    </row>
    <row r="29" spans="1:33" s="303" customFormat="1" ht="241.5" customHeight="1" x14ac:dyDescent="0.2">
      <c r="A29" s="362"/>
      <c r="B29" s="289" t="s">
        <v>417</v>
      </c>
      <c r="C29" s="283" t="s">
        <v>115</v>
      </c>
      <c r="D29" s="268" t="s">
        <v>414</v>
      </c>
      <c r="E29" s="269" t="s">
        <v>415</v>
      </c>
      <c r="F29" s="269" t="s">
        <v>416</v>
      </c>
      <c r="G29" s="270">
        <v>45566</v>
      </c>
      <c r="H29" s="271" t="s">
        <v>95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9">
        <f>(K29+N29)/I29*30.4</f>
        <v>15666.133333333333</v>
      </c>
      <c r="P29" s="319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61"/>
    </row>
    <row r="30" spans="1:33" s="303" customFormat="1" ht="35.25" customHeight="1" x14ac:dyDescent="0.2">
      <c r="A30" s="362"/>
      <c r="B30" s="409"/>
      <c r="C30" s="410"/>
      <c r="D30" s="411"/>
      <c r="E30" s="412"/>
      <c r="F30" s="412"/>
      <c r="G30" s="413"/>
      <c r="H30" s="414"/>
      <c r="I30" s="415"/>
      <c r="J30" s="416"/>
      <c r="K30" s="417"/>
      <c r="L30" s="418"/>
      <c r="M30" s="419"/>
      <c r="N30" s="390"/>
      <c r="O30" s="391"/>
      <c r="P30" s="391"/>
      <c r="Q30" s="390"/>
      <c r="R30" s="392"/>
      <c r="S30" s="390"/>
      <c r="T30" s="393"/>
      <c r="U30" s="390"/>
      <c r="V30" s="390"/>
      <c r="W30" s="390"/>
      <c r="X30" s="419"/>
      <c r="Y30" s="419"/>
      <c r="Z30" s="420"/>
      <c r="AA30" s="419"/>
      <c r="AB30" s="419"/>
      <c r="AC30" s="421"/>
      <c r="AG30" s="361"/>
    </row>
    <row r="31" spans="1:33" s="52" customFormat="1" ht="39.75" customHeight="1" x14ac:dyDescent="0.25">
      <c r="A31" s="157"/>
      <c r="B31" s="460" t="s">
        <v>77</v>
      </c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G31" s="66"/>
    </row>
    <row r="32" spans="1:33" s="52" customFormat="1" ht="27" customHeight="1" x14ac:dyDescent="0.25">
      <c r="A32" s="157"/>
      <c r="B32" s="460" t="s">
        <v>64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G32" s="66"/>
    </row>
    <row r="33" spans="1:33" s="52" customFormat="1" ht="32.25" customHeight="1" x14ac:dyDescent="0.25">
      <c r="A33" s="157"/>
      <c r="B33" s="499" t="str">
        <f>PRESIDENCIA!A3</f>
        <v>SUELDO  DEL 16 AL 30 DE SEPTIEMBRE DE 2025</v>
      </c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96</v>
      </c>
      <c r="C35" s="148" t="s">
        <v>121</v>
      </c>
      <c r="D35" s="228" t="s">
        <v>139</v>
      </c>
      <c r="E35" s="228" t="s">
        <v>97</v>
      </c>
      <c r="F35" s="228" t="s">
        <v>221</v>
      </c>
      <c r="G35" s="227" t="s">
        <v>273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63" customFormat="1" ht="234" customHeight="1" x14ac:dyDescent="0.2">
      <c r="A36" s="364"/>
      <c r="B36" s="289" t="s">
        <v>157</v>
      </c>
      <c r="C36" s="283" t="s">
        <v>115</v>
      </c>
      <c r="D36" s="268" t="s">
        <v>141</v>
      </c>
      <c r="E36" s="291" t="s">
        <v>153</v>
      </c>
      <c r="F36" s="291" t="s">
        <v>235</v>
      </c>
      <c r="G36" s="336">
        <v>43101</v>
      </c>
      <c r="H36" s="271" t="s">
        <v>413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9">
        <f>(K36+N36)/I36*30.4</f>
        <v>17207.534933333332</v>
      </c>
      <c r="P36" s="319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5"/>
    </row>
    <row r="37" spans="1:33" s="363" customFormat="1" ht="234" customHeight="1" x14ac:dyDescent="0.2">
      <c r="A37" s="364"/>
      <c r="B37" s="289" t="s">
        <v>419</v>
      </c>
      <c r="C37" s="283" t="s">
        <v>115</v>
      </c>
      <c r="D37" s="268" t="s">
        <v>418</v>
      </c>
      <c r="E37" s="291" t="s">
        <v>420</v>
      </c>
      <c r="F37" s="291" t="s">
        <v>421</v>
      </c>
      <c r="G37" s="336">
        <v>45292</v>
      </c>
      <c r="H37" s="271" t="s">
        <v>142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9">
        <f>(K37+N37)/I37*30.4</f>
        <v>15666.133333333333</v>
      </c>
      <c r="P37" s="319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5"/>
    </row>
    <row r="38" spans="1:33" s="363" customFormat="1" ht="234" customHeight="1" x14ac:dyDescent="0.2">
      <c r="A38" s="364"/>
      <c r="B38" s="289" t="s">
        <v>561</v>
      </c>
      <c r="C38" s="283" t="s">
        <v>115</v>
      </c>
      <c r="D38" s="268" t="s">
        <v>563</v>
      </c>
      <c r="E38" s="291" t="s">
        <v>564</v>
      </c>
      <c r="F38" s="291" t="s">
        <v>565</v>
      </c>
      <c r="G38" s="336">
        <v>45732</v>
      </c>
      <c r="H38" s="286" t="s">
        <v>623</v>
      </c>
      <c r="I38" s="287">
        <v>15</v>
      </c>
      <c r="J38" s="322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9">
        <f>(K38+N38)/I38*30.4</f>
        <v>17207.534933333332</v>
      </c>
      <c r="P38" s="319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5"/>
    </row>
    <row r="39" spans="1:33" s="363" customFormat="1" ht="234" customHeight="1" x14ac:dyDescent="0.2">
      <c r="A39" s="364"/>
      <c r="B39" s="289" t="s">
        <v>562</v>
      </c>
      <c r="C39" s="283" t="s">
        <v>115</v>
      </c>
      <c r="D39" s="268" t="s">
        <v>566</v>
      </c>
      <c r="E39" s="291" t="s">
        <v>567</v>
      </c>
      <c r="F39" s="291" t="s">
        <v>568</v>
      </c>
      <c r="G39" s="336">
        <v>45732</v>
      </c>
      <c r="H39" s="286" t="s">
        <v>623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9">
        <f>(K39+N39)/I39*30.4</f>
        <v>14666.317866666666</v>
      </c>
      <c r="P39" s="319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5"/>
    </row>
    <row r="40" spans="1:33" s="363" customFormat="1" ht="234" customHeight="1" x14ac:dyDescent="0.2">
      <c r="A40" s="424"/>
      <c r="B40" s="289" t="s">
        <v>574</v>
      </c>
      <c r="C40" s="283" t="s">
        <v>476</v>
      </c>
      <c r="D40" s="268" t="s">
        <v>575</v>
      </c>
      <c r="E40" s="291" t="s">
        <v>576</v>
      </c>
      <c r="F40" s="291" t="s">
        <v>577</v>
      </c>
      <c r="G40" s="336">
        <v>45732</v>
      </c>
      <c r="H40" s="286" t="s">
        <v>623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9">
        <f t="shared" ref="O40" si="38">(K40+N40)/I40*30.4</f>
        <v>14666.317866666666</v>
      </c>
      <c r="P40" s="319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5"/>
    </row>
    <row r="41" spans="1:33" s="363" customFormat="1" ht="234" customHeight="1" x14ac:dyDescent="0.2">
      <c r="A41" s="424"/>
      <c r="B41" s="289" t="s">
        <v>570</v>
      </c>
      <c r="C41" s="283" t="s">
        <v>476</v>
      </c>
      <c r="D41" s="268" t="s">
        <v>571</v>
      </c>
      <c r="E41" s="291" t="s">
        <v>572</v>
      </c>
      <c r="F41" s="291" t="s">
        <v>573</v>
      </c>
      <c r="G41" s="336">
        <v>45732</v>
      </c>
      <c r="H41" s="286" t="s">
        <v>623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9">
        <f t="shared" ref="O41" si="54">(K41+N41)/I41*30.4</f>
        <v>14666.317866666666</v>
      </c>
      <c r="P41" s="319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5"/>
    </row>
    <row r="42" spans="1:33" s="363" customFormat="1" ht="42" customHeight="1" x14ac:dyDescent="0.25">
      <c r="A42" s="424"/>
      <c r="B42" s="460" t="s">
        <v>77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</row>
    <row r="43" spans="1:33" s="363" customFormat="1" ht="30.75" customHeight="1" x14ac:dyDescent="0.25">
      <c r="A43" s="424"/>
      <c r="B43" s="460" t="s">
        <v>64</v>
      </c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</row>
    <row r="44" spans="1:33" s="363" customFormat="1" ht="42" customHeight="1" x14ac:dyDescent="0.2">
      <c r="A44" s="424"/>
      <c r="B44" s="501" t="str">
        <f>PRESIDENCIA!A3</f>
        <v>SUELDO  DEL 16 AL 30 DE SEPTIEMBRE DE 2025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</row>
    <row r="45" spans="1:33" s="363" customFormat="1" ht="19.5" customHeight="1" x14ac:dyDescent="0.2">
      <c r="A45" s="424"/>
      <c r="B45" s="409"/>
      <c r="C45" s="410"/>
      <c r="D45" s="411"/>
      <c r="E45" s="425"/>
      <c r="F45" s="425"/>
      <c r="G45" s="426"/>
      <c r="H45" s="427"/>
      <c r="I45" s="415"/>
      <c r="J45" s="416"/>
      <c r="K45" s="417"/>
      <c r="L45" s="418"/>
      <c r="M45" s="419"/>
      <c r="N45" s="390"/>
      <c r="O45" s="391"/>
      <c r="P45" s="391"/>
      <c r="Q45" s="390"/>
      <c r="R45" s="392"/>
      <c r="S45" s="390"/>
      <c r="T45" s="393"/>
      <c r="U45" s="390"/>
      <c r="V45" s="390"/>
      <c r="W45" s="390"/>
      <c r="X45" s="419"/>
      <c r="Y45" s="419"/>
      <c r="Z45" s="420"/>
      <c r="AA45" s="419"/>
      <c r="AB45" s="419"/>
      <c r="AC45" s="428"/>
    </row>
    <row r="46" spans="1:33" s="363" customFormat="1" ht="164.25" customHeight="1" x14ac:dyDescent="0.2">
      <c r="A46" s="364"/>
      <c r="B46" s="289" t="s">
        <v>578</v>
      </c>
      <c r="C46" s="283" t="s">
        <v>476</v>
      </c>
      <c r="D46" s="268" t="s">
        <v>581</v>
      </c>
      <c r="E46" s="291" t="s">
        <v>582</v>
      </c>
      <c r="F46" s="291" t="s">
        <v>583</v>
      </c>
      <c r="G46" s="336">
        <v>45732</v>
      </c>
      <c r="H46" s="286" t="s">
        <v>623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9">
        <f t="shared" ref="O46:O48" si="70">(K46+N46)/I46*30.4</f>
        <v>14666.317866666666</v>
      </c>
      <c r="P46" s="319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5"/>
    </row>
    <row r="47" spans="1:33" s="363" customFormat="1" ht="164.25" customHeight="1" x14ac:dyDescent="0.2">
      <c r="A47" s="364"/>
      <c r="B47" s="289" t="s">
        <v>579</v>
      </c>
      <c r="C47" s="283" t="s">
        <v>476</v>
      </c>
      <c r="D47" s="268" t="s">
        <v>584</v>
      </c>
      <c r="E47" s="291" t="s">
        <v>585</v>
      </c>
      <c r="F47" s="291" t="s">
        <v>586</v>
      </c>
      <c r="G47" s="336">
        <v>45732</v>
      </c>
      <c r="H47" s="286" t="s">
        <v>623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9">
        <f t="shared" si="70"/>
        <v>14666.317866666666</v>
      </c>
      <c r="P47" s="319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5"/>
    </row>
    <row r="48" spans="1:33" s="363" customFormat="1" ht="164.25" customHeight="1" x14ac:dyDescent="0.2">
      <c r="A48" s="364"/>
      <c r="B48" s="289" t="s">
        <v>580</v>
      </c>
      <c r="C48" s="283" t="s">
        <v>476</v>
      </c>
      <c r="D48" s="268" t="s">
        <v>587</v>
      </c>
      <c r="E48" s="291" t="s">
        <v>588</v>
      </c>
      <c r="F48" s="291" t="s">
        <v>589</v>
      </c>
      <c r="G48" s="336">
        <v>45732</v>
      </c>
      <c r="H48" s="286" t="s">
        <v>623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9">
        <f t="shared" si="70"/>
        <v>14666.317866666666</v>
      </c>
      <c r="P48" s="319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5"/>
    </row>
    <row r="49" spans="1:29" s="363" customFormat="1" ht="164.25" customHeight="1" x14ac:dyDescent="0.2">
      <c r="A49" s="364"/>
      <c r="B49" s="289" t="s">
        <v>590</v>
      </c>
      <c r="C49" s="283" t="s">
        <v>476</v>
      </c>
      <c r="D49" s="268" t="s">
        <v>591</v>
      </c>
      <c r="E49" s="291" t="s">
        <v>592</v>
      </c>
      <c r="F49" s="291" t="s">
        <v>593</v>
      </c>
      <c r="G49" s="336">
        <v>45732</v>
      </c>
      <c r="H49" s="286" t="s">
        <v>623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9">
        <f t="shared" ref="O49:O50" si="86">(K49+N49)/I49*30.4</f>
        <v>14666.317866666666</v>
      </c>
      <c r="P49" s="319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5"/>
    </row>
    <row r="50" spans="1:29" s="363" customFormat="1" ht="164.25" customHeight="1" x14ac:dyDescent="0.2">
      <c r="A50" s="364"/>
      <c r="B50" s="283" t="s">
        <v>111</v>
      </c>
      <c r="C50" s="283" t="s">
        <v>115</v>
      </c>
      <c r="D50" s="264" t="s">
        <v>92</v>
      </c>
      <c r="E50" s="135" t="s">
        <v>112</v>
      </c>
      <c r="F50" s="135" t="s">
        <v>228</v>
      </c>
      <c r="G50" s="161">
        <v>42278</v>
      </c>
      <c r="H50" s="286" t="s">
        <v>623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9">
        <f t="shared" si="86"/>
        <v>14666.317866666666</v>
      </c>
      <c r="P50" s="319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5"/>
    </row>
    <row r="51" spans="1:29" s="363" customFormat="1" ht="164.25" customHeight="1" x14ac:dyDescent="0.2">
      <c r="A51" s="364"/>
      <c r="B51" s="283" t="s">
        <v>619</v>
      </c>
      <c r="C51" s="283" t="s">
        <v>115</v>
      </c>
      <c r="D51" s="264" t="s">
        <v>620</v>
      </c>
      <c r="E51" s="135" t="s">
        <v>621</v>
      </c>
      <c r="F51" s="135" t="s">
        <v>622</v>
      </c>
      <c r="G51" s="161">
        <v>45870</v>
      </c>
      <c r="H51" s="286" t="s">
        <v>623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9">
        <f t="shared" ref="O51" si="101">(K51+N51)/I51*30.4</f>
        <v>14666.317866666666</v>
      </c>
      <c r="P51" s="319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500" t="s">
        <v>44</v>
      </c>
      <c r="B53" s="500"/>
      <c r="C53" s="500"/>
      <c r="D53" s="500"/>
      <c r="E53" s="500"/>
      <c r="F53" s="500"/>
      <c r="G53" s="500"/>
      <c r="H53" s="500"/>
      <c r="I53" s="500"/>
      <c r="J53" s="500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478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144</v>
      </c>
      <c r="Z72" s="108"/>
      <c r="AA72" s="108"/>
      <c r="AB72" s="108"/>
    </row>
    <row r="73" spans="4:39" s="52" customFormat="1" ht="18" x14ac:dyDescent="0.25">
      <c r="D73" s="213" t="s">
        <v>493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211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M17" sqref="M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6" t="s">
        <v>1</v>
      </c>
      <c r="L6" s="487"/>
      <c r="M6" s="488"/>
      <c r="N6" s="50" t="s">
        <v>25</v>
      </c>
      <c r="O6" s="51"/>
      <c r="P6" s="489" t="s">
        <v>8</v>
      </c>
      <c r="Q6" s="490"/>
      <c r="R6" s="490"/>
      <c r="S6" s="490"/>
      <c r="T6" s="490"/>
      <c r="U6" s="491"/>
      <c r="V6" s="50" t="s">
        <v>29</v>
      </c>
      <c r="W6" s="50" t="s">
        <v>9</v>
      </c>
      <c r="X6" s="49" t="s">
        <v>52</v>
      </c>
      <c r="Y6" s="492" t="s">
        <v>2</v>
      </c>
      <c r="Z6" s="493"/>
      <c r="AA6" s="494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2" t="s">
        <v>110</v>
      </c>
      <c r="C9" s="503"/>
      <c r="D9" s="504"/>
      <c r="E9" s="127" t="s">
        <v>97</v>
      </c>
      <c r="F9" s="127" t="s">
        <v>221</v>
      </c>
      <c r="G9" s="125" t="s">
        <v>273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83</v>
      </c>
      <c r="B10" s="283" t="s">
        <v>107</v>
      </c>
      <c r="C10" s="283" t="s">
        <v>115</v>
      </c>
      <c r="D10" s="268" t="s">
        <v>94</v>
      </c>
      <c r="E10" s="269" t="s">
        <v>108</v>
      </c>
      <c r="F10" s="269" t="s">
        <v>227</v>
      </c>
      <c r="G10" s="366">
        <v>42278</v>
      </c>
      <c r="H10" s="271" t="s">
        <v>198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2">
        <f>S10+T10</f>
        <v>7186.9218239999991</v>
      </c>
      <c r="V10" s="372">
        <f>VLOOKUP(O10,Credito,2)</f>
        <v>0</v>
      </c>
      <c r="W10" s="372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85</v>
      </c>
      <c r="B11" s="283" t="s">
        <v>100</v>
      </c>
      <c r="C11" s="283" t="s">
        <v>115</v>
      </c>
      <c r="D11" s="268" t="s">
        <v>72</v>
      </c>
      <c r="E11" s="269" t="s">
        <v>109</v>
      </c>
      <c r="F11" s="269" t="s">
        <v>222</v>
      </c>
      <c r="G11" s="366">
        <v>39462</v>
      </c>
      <c r="H11" s="271" t="s">
        <v>555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57" t="s">
        <v>44</v>
      </c>
      <c r="B13" s="458"/>
      <c r="C13" s="458"/>
      <c r="D13" s="458"/>
      <c r="E13" s="458"/>
      <c r="F13" s="458"/>
      <c r="G13" s="458"/>
      <c r="H13" s="458"/>
      <c r="I13" s="458"/>
      <c r="J13" s="459"/>
      <c r="K13" s="208">
        <f t="shared" ref="K13:AA13" si="0">SUM(K10:K12)</f>
        <v>33322</v>
      </c>
      <c r="L13" s="208">
        <f t="shared" si="0"/>
        <v>0</v>
      </c>
      <c r="M13" s="208">
        <f t="shared" si="0"/>
        <v>33322</v>
      </c>
      <c r="N13" s="209">
        <f t="shared" si="0"/>
        <v>0</v>
      </c>
      <c r="O13" s="209">
        <f t="shared" si="0"/>
        <v>67532.586666666655</v>
      </c>
      <c r="P13" s="209">
        <f t="shared" si="0"/>
        <v>46724.22</v>
      </c>
      <c r="Q13" s="209">
        <f t="shared" si="0"/>
        <v>20808.366666666661</v>
      </c>
      <c r="R13" s="209">
        <f t="shared" si="0"/>
        <v>0.44879999999999998</v>
      </c>
      <c r="S13" s="209">
        <f t="shared" si="0"/>
        <v>4645.1285119999984</v>
      </c>
      <c r="T13" s="209">
        <f t="shared" si="0"/>
        <v>6644.3</v>
      </c>
      <c r="U13" s="209">
        <f t="shared" si="0"/>
        <v>11289.428511999999</v>
      </c>
      <c r="V13" s="209">
        <f t="shared" si="0"/>
        <v>0</v>
      </c>
      <c r="W13" s="209">
        <f t="shared" si="0"/>
        <v>5570.44</v>
      </c>
      <c r="X13" s="208">
        <f t="shared" si="0"/>
        <v>0</v>
      </c>
      <c r="Y13" s="208">
        <f t="shared" si="0"/>
        <v>5570.44</v>
      </c>
      <c r="Z13" s="208">
        <f t="shared" si="0"/>
        <v>0</v>
      </c>
      <c r="AA13" s="208">
        <f t="shared" si="0"/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478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146</v>
      </c>
      <c r="Z23" s="213"/>
      <c r="AA23" s="213"/>
      <c r="AB23" s="213"/>
      <c r="AC23" s="108"/>
    </row>
    <row r="24" spans="4:41" ht="18" x14ac:dyDescent="0.25">
      <c r="D24" s="213" t="s">
        <v>493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249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AB10" sqref="K10:AB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8" x14ac:dyDescent="0.25">
      <c r="A3" s="505" t="str">
        <f>PRESIDENCIA!A3</f>
        <v>SUELDO  DEL 16 AL 30 DE SEPTIEMBRE DE 2025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221</v>
      </c>
      <c r="G8" s="196" t="s">
        <v>273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83</v>
      </c>
      <c r="B9" s="289" t="s">
        <v>463</v>
      </c>
      <c r="C9" s="283" t="s">
        <v>115</v>
      </c>
      <c r="D9" s="268" t="s">
        <v>437</v>
      </c>
      <c r="E9" s="269" t="s">
        <v>464</v>
      </c>
      <c r="F9" s="367" t="s">
        <v>465</v>
      </c>
      <c r="G9" s="368">
        <v>45566</v>
      </c>
      <c r="H9" s="269" t="s">
        <v>74</v>
      </c>
      <c r="I9" s="287">
        <v>15</v>
      </c>
      <c r="J9" s="369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0"/>
    </row>
    <row r="10" spans="1:30" s="323" customFormat="1" ht="230.25" customHeight="1" x14ac:dyDescent="0.2">
      <c r="A10" s="265" t="s">
        <v>84</v>
      </c>
      <c r="B10" s="289" t="s">
        <v>461</v>
      </c>
      <c r="C10" s="283" t="s">
        <v>115</v>
      </c>
      <c r="D10" s="268" t="s">
        <v>438</v>
      </c>
      <c r="E10" s="269" t="s">
        <v>443</v>
      </c>
      <c r="F10" s="269" t="s">
        <v>444</v>
      </c>
      <c r="G10" s="368">
        <v>45566</v>
      </c>
      <c r="H10" s="269" t="s">
        <v>74</v>
      </c>
      <c r="I10" s="287">
        <v>15</v>
      </c>
      <c r="J10" s="369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0"/>
    </row>
    <row r="11" spans="1:30" s="323" customFormat="1" ht="230.25" customHeight="1" x14ac:dyDescent="0.2">
      <c r="A11" s="265" t="s">
        <v>85</v>
      </c>
      <c r="B11" s="289" t="s">
        <v>462</v>
      </c>
      <c r="C11" s="283" t="s">
        <v>115</v>
      </c>
      <c r="D11" s="268" t="s">
        <v>459</v>
      </c>
      <c r="E11" s="269" t="s">
        <v>474</v>
      </c>
      <c r="F11" s="269" t="s">
        <v>468</v>
      </c>
      <c r="G11" s="368">
        <v>45566</v>
      </c>
      <c r="H11" s="269" t="s">
        <v>74</v>
      </c>
      <c r="I11" s="287">
        <v>15</v>
      </c>
      <c r="J11" s="369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1"/>
    </row>
    <row r="12" spans="1:30" s="323" customFormat="1" ht="230.25" customHeight="1" x14ac:dyDescent="0.2">
      <c r="A12" s="265" t="s">
        <v>86</v>
      </c>
      <c r="B12" s="289" t="s">
        <v>460</v>
      </c>
      <c r="C12" s="283" t="s">
        <v>115</v>
      </c>
      <c r="D12" s="268" t="s">
        <v>439</v>
      </c>
      <c r="E12" s="269" t="s">
        <v>441</v>
      </c>
      <c r="F12" s="269" t="s">
        <v>442</v>
      </c>
      <c r="G12" s="368">
        <v>45566</v>
      </c>
      <c r="H12" s="269" t="s">
        <v>74</v>
      </c>
      <c r="I12" s="287">
        <v>15</v>
      </c>
      <c r="J12" s="369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0"/>
    </row>
    <row r="13" spans="1:30" s="323" customFormat="1" ht="230.25" customHeight="1" x14ac:dyDescent="0.2">
      <c r="A13" s="265" t="s">
        <v>87</v>
      </c>
      <c r="B13" s="289" t="s">
        <v>466</v>
      </c>
      <c r="C13" s="283" t="s">
        <v>115</v>
      </c>
      <c r="D13" s="290" t="s">
        <v>440</v>
      </c>
      <c r="E13" s="291" t="s">
        <v>369</v>
      </c>
      <c r="F13" s="293" t="s">
        <v>370</v>
      </c>
      <c r="G13" s="368">
        <v>45566</v>
      </c>
      <c r="H13" s="291" t="s">
        <v>74</v>
      </c>
      <c r="I13" s="287">
        <v>15</v>
      </c>
      <c r="J13" s="369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0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1" ht="23.25" customHeight="1" x14ac:dyDescent="0.25">
      <c r="A17" s="143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1" ht="23.25" customHeight="1" x14ac:dyDescent="0.25">
      <c r="A18" s="143"/>
      <c r="B18" s="461" t="str">
        <f>PRESIDENCIA!A3</f>
        <v>SUELDO  DEL 16 AL 30 DE SEPTIEMBRE DE 2025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88</v>
      </c>
      <c r="B20" s="289" t="s">
        <v>449</v>
      </c>
      <c r="C20" s="283" t="s">
        <v>115</v>
      </c>
      <c r="D20" s="268" t="s">
        <v>450</v>
      </c>
      <c r="E20" s="269" t="s">
        <v>457</v>
      </c>
      <c r="F20" s="269" t="s">
        <v>458</v>
      </c>
      <c r="G20" s="368">
        <v>45566</v>
      </c>
      <c r="H20" s="269" t="s">
        <v>74</v>
      </c>
      <c r="I20" s="287">
        <v>15</v>
      </c>
      <c r="J20" s="369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0"/>
    </row>
    <row r="21" spans="1:31" s="323" customFormat="1" ht="216.75" customHeight="1" x14ac:dyDescent="0.2">
      <c r="A21" s="265" t="s">
        <v>89</v>
      </c>
      <c r="B21" s="289" t="s">
        <v>446</v>
      </c>
      <c r="C21" s="283" t="s">
        <v>115</v>
      </c>
      <c r="D21" s="268" t="s">
        <v>445</v>
      </c>
      <c r="E21" s="269" t="s">
        <v>447</v>
      </c>
      <c r="F21" s="269" t="s">
        <v>448</v>
      </c>
      <c r="G21" s="368">
        <v>45566</v>
      </c>
      <c r="H21" s="269" t="s">
        <v>74</v>
      </c>
      <c r="I21" s="287">
        <v>15</v>
      </c>
      <c r="J21" s="369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0"/>
    </row>
    <row r="22" spans="1:31" s="323" customFormat="1" ht="216.75" customHeight="1" x14ac:dyDescent="0.2">
      <c r="A22" s="265" t="s">
        <v>90</v>
      </c>
      <c r="B22" s="289" t="s">
        <v>469</v>
      </c>
      <c r="C22" s="283" t="s">
        <v>115</v>
      </c>
      <c r="D22" s="268" t="s">
        <v>455</v>
      </c>
      <c r="E22" s="269" t="s">
        <v>502</v>
      </c>
      <c r="F22" s="269" t="s">
        <v>471</v>
      </c>
      <c r="G22" s="368">
        <v>45566</v>
      </c>
      <c r="H22" s="269" t="s">
        <v>74</v>
      </c>
      <c r="I22" s="287">
        <v>15</v>
      </c>
      <c r="J22" s="369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0"/>
    </row>
    <row r="23" spans="1:31" s="323" customFormat="1" ht="216.75" customHeight="1" x14ac:dyDescent="0.2">
      <c r="A23" s="265" t="s">
        <v>91</v>
      </c>
      <c r="B23" s="289" t="s">
        <v>470</v>
      </c>
      <c r="C23" s="283" t="s">
        <v>115</v>
      </c>
      <c r="D23" s="268" t="s">
        <v>456</v>
      </c>
      <c r="E23" s="269" t="s">
        <v>472</v>
      </c>
      <c r="F23" s="269" t="s">
        <v>473</v>
      </c>
      <c r="G23" s="368">
        <v>45566</v>
      </c>
      <c r="H23" s="269" t="s">
        <v>74</v>
      </c>
      <c r="I23" s="287">
        <v>15</v>
      </c>
      <c r="J23" s="369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7" t="s">
        <v>44</v>
      </c>
      <c r="B25" s="458"/>
      <c r="C25" s="458"/>
      <c r="D25" s="458"/>
      <c r="E25" s="458"/>
      <c r="F25" s="458"/>
      <c r="G25" s="458"/>
      <c r="H25" s="458"/>
      <c r="I25" s="458"/>
      <c r="J25" s="459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478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493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PRESIDENCIA!A3</f>
        <v>SUELDO  DEL 16 AL 30 DE SEPTIEMBRE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2" t="s">
        <v>1</v>
      </c>
      <c r="K5" s="473"/>
      <c r="L5" s="474"/>
      <c r="M5" s="24" t="s">
        <v>25</v>
      </c>
      <c r="N5" s="25"/>
      <c r="O5" s="475" t="s">
        <v>8</v>
      </c>
      <c r="P5" s="476"/>
      <c r="Q5" s="476"/>
      <c r="R5" s="476"/>
      <c r="S5" s="476"/>
      <c r="T5" s="477"/>
      <c r="U5" s="24" t="s">
        <v>29</v>
      </c>
      <c r="V5" s="24" t="s">
        <v>9</v>
      </c>
      <c r="W5" s="23" t="s">
        <v>52</v>
      </c>
      <c r="X5" s="478" t="s">
        <v>2</v>
      </c>
      <c r="Y5" s="479"/>
      <c r="Z5" s="480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97</v>
      </c>
      <c r="E8" s="238" t="s">
        <v>221</v>
      </c>
      <c r="F8" s="239" t="s">
        <v>273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475</v>
      </c>
      <c r="B9" s="283" t="s">
        <v>115</v>
      </c>
      <c r="C9" s="268" t="s">
        <v>431</v>
      </c>
      <c r="D9" s="269" t="s">
        <v>432</v>
      </c>
      <c r="E9" s="373" t="s">
        <v>467</v>
      </c>
      <c r="F9" s="366">
        <v>45566</v>
      </c>
      <c r="G9" s="271" t="s">
        <v>219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4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8"/>
      <c r="B11" s="458"/>
      <c r="C11" s="458"/>
      <c r="D11" s="458"/>
      <c r="E11" s="458"/>
      <c r="F11" s="458"/>
      <c r="G11" s="458"/>
      <c r="H11" s="458"/>
      <c r="I11" s="459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478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506" t="s">
        <v>493</v>
      </c>
      <c r="D24" s="507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212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2025-10-06T17:18:51Z</cp:lastPrinted>
  <dcterms:created xsi:type="dcterms:W3CDTF">2000-05-05T04:08:27Z</dcterms:created>
  <dcterms:modified xsi:type="dcterms:W3CDTF">2025-10-06T17:18:56Z</dcterms:modified>
</cp:coreProperties>
</file>