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Nueva carpeta (2)\"/>
    </mc:Choice>
  </mc:AlternateContent>
  <bookViews>
    <workbookView xWindow="0" yWindow="0" windowWidth="28770" windowHeight="12180" tabRatio="772" firstSheet="1" activeTab="1"/>
  </bookViews>
  <sheets>
    <sheet name="tarifa" sheetId="2" state="hidden" r:id="rId1"/>
    <sheet name="PRESIDENCIA" sheetId="119" r:id="rId2"/>
    <sheet name="CONTRALORIA " sheetId="134" r:id="rId3"/>
    <sheet name="DIRECTOR OBRAS PUB" sheetId="141" r:id="rId4"/>
    <sheet name="OBRAS PUBLICAS" sheetId="120" r:id="rId5"/>
    <sheet name="SERV.PBCOS" sheetId="121" r:id="rId6"/>
    <sheet name="PROGRAMAS" sheetId="123" r:id="rId7"/>
    <sheet name="HDA.MPAL" sheetId="118" r:id="rId8"/>
    <sheet name="REGIDORES 2" sheetId="131" r:id="rId9"/>
    <sheet name="SINDICO" sheetId="136" r:id="rId10"/>
    <sheet name="CHOFERES" sheetId="132" r:id="rId11"/>
    <sheet name="SEGURIDAD " sheetId="135" state="hidden" r:id="rId12"/>
    <sheet name="SEGURIDAD TE" sheetId="140" r:id="rId13"/>
    <sheet name="SERV.MEDICOS" sheetId="133" r:id="rId14"/>
  </sheets>
  <externalReferences>
    <externalReference r:id="rId15"/>
  </externalReferences>
  <definedNames>
    <definedName name="_xlnm.Print_Area" localSheetId="2">'CONTRALORIA '!$1:$31</definedName>
    <definedName name="_xlnm.Print_Area" localSheetId="6">PROGRAMAS!$B$1:$AD$72</definedName>
    <definedName name="_xlnm.Print_Area" localSheetId="9">SINDICO!$1:$35</definedName>
    <definedName name="Credito">tarifa!$F$13:$G$23</definedName>
    <definedName name="Credito1">tarifa!$F$38:$G$48</definedName>
    <definedName name="SMG">tarifa!$I$3</definedName>
    <definedName name="Subsidio">tarifa!$F$13:$G$23</definedName>
    <definedName name="Tarifa">tarifa!$B$13:$D$23</definedName>
    <definedName name="Tarifa1">tarifa!$B$41:$D$51</definedName>
    <definedName name="_xlnm.Print_Titles" localSheetId="1">PRESIDENCIA!$1:$7</definedName>
    <definedName name="UMA">tarifa!$I$8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8" i="121" l="1"/>
  <c r="N12" i="120"/>
  <c r="O12" i="120" s="1"/>
  <c r="M12" i="120"/>
  <c r="J12" i="120"/>
  <c r="V12" i="120" l="1"/>
  <c r="R12" i="120"/>
  <c r="T12" i="120"/>
  <c r="P12" i="120"/>
  <c r="Q12" i="120" s="1"/>
  <c r="S12" i="120" l="1"/>
  <c r="U12" i="120" s="1"/>
  <c r="W12" i="120" s="1"/>
  <c r="X12" i="120" s="1"/>
  <c r="Y12" i="120" l="1"/>
  <c r="AA12" i="120" s="1"/>
  <c r="AB12" i="120" s="1"/>
  <c r="N37" i="140" l="1"/>
  <c r="O37" i="140" s="1"/>
  <c r="M37" i="140"/>
  <c r="J37" i="140"/>
  <c r="A3" i="132"/>
  <c r="B18" i="132" s="1"/>
  <c r="AA24" i="132"/>
  <c r="M24" i="132"/>
  <c r="L24" i="132"/>
  <c r="Z22" i="132"/>
  <c r="AB22" i="132" s="1"/>
  <c r="O22" i="132"/>
  <c r="P22" i="132" s="1"/>
  <c r="N22" i="132"/>
  <c r="J22" i="132"/>
  <c r="O21" i="132"/>
  <c r="P21" i="132" s="1"/>
  <c r="U21" i="132" s="1"/>
  <c r="N21" i="132"/>
  <c r="J21" i="132"/>
  <c r="O20" i="132"/>
  <c r="P20" i="132" s="1"/>
  <c r="N20" i="132"/>
  <c r="J20" i="132"/>
  <c r="O13" i="132"/>
  <c r="P13" i="132" s="1"/>
  <c r="N13" i="132"/>
  <c r="J13" i="132"/>
  <c r="O12" i="132"/>
  <c r="P12" i="132" s="1"/>
  <c r="N12" i="132"/>
  <c r="J12" i="132"/>
  <c r="O11" i="132"/>
  <c r="P11" i="132" s="1"/>
  <c r="N11" i="132"/>
  <c r="J11" i="132"/>
  <c r="S10" i="132"/>
  <c r="O10" i="132"/>
  <c r="P10" i="132" s="1"/>
  <c r="N10" i="132"/>
  <c r="J10" i="132"/>
  <c r="O9" i="132"/>
  <c r="N9" i="132"/>
  <c r="J9" i="132"/>
  <c r="Q21" i="132" l="1"/>
  <c r="P37" i="140"/>
  <c r="Q37" i="140" s="1"/>
  <c r="V37" i="140"/>
  <c r="R37" i="140"/>
  <c r="T37" i="140"/>
  <c r="N24" i="132"/>
  <c r="O24" i="132"/>
  <c r="P9" i="132"/>
  <c r="U12" i="132"/>
  <c r="Q12" i="132"/>
  <c r="W12" i="132"/>
  <c r="S12" i="132"/>
  <c r="W20" i="132"/>
  <c r="S20" i="132"/>
  <c r="R20" i="132"/>
  <c r="T20" i="132" s="1"/>
  <c r="V20" i="132" s="1"/>
  <c r="X20" i="132" s="1"/>
  <c r="W22" i="132"/>
  <c r="S22" i="132"/>
  <c r="U10" i="132"/>
  <c r="Q10" i="132"/>
  <c r="W10" i="132"/>
  <c r="R12" i="132"/>
  <c r="T12" i="132" s="1"/>
  <c r="V12" i="132" s="1"/>
  <c r="X12" i="132" s="1"/>
  <c r="Q20" i="132"/>
  <c r="Q22" i="132"/>
  <c r="R22" i="132" s="1"/>
  <c r="T22" i="132" s="1"/>
  <c r="V22" i="132" s="1"/>
  <c r="X22" i="132" s="1"/>
  <c r="Y22" i="132" s="1"/>
  <c r="AC22" i="132" s="1"/>
  <c r="R10" i="132"/>
  <c r="T10" i="132" s="1"/>
  <c r="U11" i="132"/>
  <c r="Q11" i="132"/>
  <c r="R11" i="132" s="1"/>
  <c r="T11" i="132" s="1"/>
  <c r="V11" i="132" s="1"/>
  <c r="W11" i="132"/>
  <c r="S11" i="132"/>
  <c r="U13" i="132"/>
  <c r="Q13" i="132"/>
  <c r="R13" i="132" s="1"/>
  <c r="T13" i="132" s="1"/>
  <c r="V13" i="132" s="1"/>
  <c r="W13" i="132"/>
  <c r="S13" i="132"/>
  <c r="U20" i="132"/>
  <c r="W21" i="132"/>
  <c r="S21" i="132"/>
  <c r="R21" i="132"/>
  <c r="U22" i="132"/>
  <c r="S37" i="140" l="1"/>
  <c r="U37" i="140" s="1"/>
  <c r="W37" i="140" s="1"/>
  <c r="X37" i="140" s="1"/>
  <c r="Y37" i="140"/>
  <c r="AA37" i="140" s="1"/>
  <c r="Z20" i="132"/>
  <c r="AB20" i="132" s="1"/>
  <c r="Y20" i="132"/>
  <c r="U9" i="132"/>
  <c r="U24" i="132" s="1"/>
  <c r="Q9" i="132"/>
  <c r="Q24" i="132" s="1"/>
  <c r="P24" i="132"/>
  <c r="S9" i="132"/>
  <c r="S24" i="132" s="1"/>
  <c r="W9" i="132"/>
  <c r="W24" i="132" s="1"/>
  <c r="X11" i="132"/>
  <c r="Y12" i="132"/>
  <c r="Z12" i="132"/>
  <c r="AB12" i="132" s="1"/>
  <c r="X13" i="132"/>
  <c r="T21" i="132"/>
  <c r="V21" i="132" s="1"/>
  <c r="X21" i="132" s="1"/>
  <c r="V10" i="132"/>
  <c r="X10" i="132" s="1"/>
  <c r="AB37" i="140" l="1"/>
  <c r="R9" i="132"/>
  <c r="Y10" i="132"/>
  <c r="Z10" i="132"/>
  <c r="AB10" i="132" s="1"/>
  <c r="AC12" i="132"/>
  <c r="AC20" i="132"/>
  <c r="Y13" i="132"/>
  <c r="Z13" i="132"/>
  <c r="AB13" i="132" s="1"/>
  <c r="Z21" i="132"/>
  <c r="AB21" i="132" s="1"/>
  <c r="Y21" i="132"/>
  <c r="Y11" i="132"/>
  <c r="Z11" i="132"/>
  <c r="AB11" i="132" s="1"/>
  <c r="AC11" i="132" l="1"/>
  <c r="AC10" i="132"/>
  <c r="AC13" i="132"/>
  <c r="AC21" i="132"/>
  <c r="AC24" i="132" s="1"/>
  <c r="R24" i="132"/>
  <c r="T9" i="132"/>
  <c r="T24" i="132" l="1"/>
  <c r="V9" i="132"/>
  <c r="V24" i="132" l="1"/>
  <c r="X9" i="132"/>
  <c r="Y9" i="132" l="1"/>
  <c r="X24" i="132"/>
  <c r="Z9" i="132"/>
  <c r="Z24" i="132" l="1"/>
  <c r="AB9" i="132"/>
  <c r="AB24" i="132" s="1"/>
  <c r="Y24" i="132"/>
  <c r="AC9" i="132" l="1"/>
  <c r="Y11" i="136" l="1"/>
  <c r="L11" i="136"/>
  <c r="K11" i="136"/>
  <c r="L9" i="136"/>
  <c r="M9" i="136"/>
  <c r="N9" i="136" s="1"/>
  <c r="N11" i="136" s="1"/>
  <c r="J11" i="136"/>
  <c r="A3" i="141"/>
  <c r="M9" i="141"/>
  <c r="N9" i="141" s="1"/>
  <c r="L9" i="141"/>
  <c r="I9" i="141"/>
  <c r="M11" i="136" l="1"/>
  <c r="Q9" i="136"/>
  <c r="Q11" i="136" s="1"/>
  <c r="U9" i="136"/>
  <c r="U11" i="136" s="1"/>
  <c r="O9" i="136"/>
  <c r="S9" i="136"/>
  <c r="S11" i="136" s="1"/>
  <c r="U9" i="141"/>
  <c r="Q9" i="141"/>
  <c r="S9" i="141"/>
  <c r="O9" i="141"/>
  <c r="P9" i="141" s="1"/>
  <c r="P9" i="136" l="1"/>
  <c r="O11" i="136"/>
  <c r="R9" i="141"/>
  <c r="T9" i="141" s="1"/>
  <c r="V9" i="141" s="1"/>
  <c r="X9" i="141" s="1"/>
  <c r="Z9" i="141" s="1"/>
  <c r="I9" i="136"/>
  <c r="R9" i="136" l="1"/>
  <c r="P11" i="136"/>
  <c r="W9" i="141"/>
  <c r="AA9" i="141" s="1"/>
  <c r="T9" i="136" l="1"/>
  <c r="R11" i="136"/>
  <c r="N27" i="140"/>
  <c r="O27" i="140" s="1"/>
  <c r="M27" i="140"/>
  <c r="J27" i="140"/>
  <c r="N12" i="123"/>
  <c r="O12" i="123" s="1"/>
  <c r="M12" i="123"/>
  <c r="J12" i="123"/>
  <c r="N28" i="140"/>
  <c r="O28" i="140" s="1"/>
  <c r="M28" i="140"/>
  <c r="J28" i="140"/>
  <c r="N26" i="140"/>
  <c r="O26" i="140" s="1"/>
  <c r="M26" i="140"/>
  <c r="J26" i="140"/>
  <c r="N11" i="123"/>
  <c r="O11" i="123" s="1"/>
  <c r="M11" i="123"/>
  <c r="N13" i="140"/>
  <c r="O13" i="140" s="1"/>
  <c r="M13" i="140"/>
  <c r="N12" i="133"/>
  <c r="O12" i="133" s="1"/>
  <c r="M12" i="133"/>
  <c r="J12" i="133"/>
  <c r="V9" i="136" l="1"/>
  <c r="T11" i="136"/>
  <c r="V27" i="140"/>
  <c r="R27" i="140"/>
  <c r="T27" i="140"/>
  <c r="P27" i="140"/>
  <c r="Q27" i="140" s="1"/>
  <c r="S27" i="140" s="1"/>
  <c r="P12" i="123"/>
  <c r="Q12" i="123" s="1"/>
  <c r="R12" i="123"/>
  <c r="T12" i="123"/>
  <c r="V12" i="123"/>
  <c r="P28" i="140"/>
  <c r="Q28" i="140" s="1"/>
  <c r="R28" i="140"/>
  <c r="T28" i="140"/>
  <c r="V28" i="140"/>
  <c r="P26" i="140"/>
  <c r="Q26" i="140" s="1"/>
  <c r="R26" i="140"/>
  <c r="T26" i="140"/>
  <c r="V26" i="140"/>
  <c r="P11" i="123"/>
  <c r="Q11" i="123" s="1"/>
  <c r="R11" i="123"/>
  <c r="T11" i="123"/>
  <c r="V11" i="123"/>
  <c r="T13" i="140"/>
  <c r="P13" i="140"/>
  <c r="Q13" i="140" s="1"/>
  <c r="V13" i="140"/>
  <c r="R13" i="140"/>
  <c r="T12" i="133"/>
  <c r="P12" i="133"/>
  <c r="Q12" i="133" s="1"/>
  <c r="S12" i="133" s="1"/>
  <c r="U12" i="133" s="1"/>
  <c r="W12" i="133" s="1"/>
  <c r="V12" i="133"/>
  <c r="R12" i="133"/>
  <c r="V11" i="136" l="1"/>
  <c r="W9" i="136"/>
  <c r="X9" i="136"/>
  <c r="S26" i="140"/>
  <c r="U26" i="140" s="1"/>
  <c r="W26" i="140" s="1"/>
  <c r="X26" i="140" s="1"/>
  <c r="U27" i="140"/>
  <c r="W27" i="140" s="1"/>
  <c r="X27" i="140" s="1"/>
  <c r="S28" i="140"/>
  <c r="U28" i="140" s="1"/>
  <c r="W28" i="140" s="1"/>
  <c r="S12" i="123"/>
  <c r="U12" i="123" s="1"/>
  <c r="W12" i="123" s="1"/>
  <c r="S11" i="123"/>
  <c r="U11" i="123" s="1"/>
  <c r="W11" i="123" s="1"/>
  <c r="X11" i="123" s="1"/>
  <c r="S13" i="140"/>
  <c r="U13" i="140" s="1"/>
  <c r="W13" i="140" s="1"/>
  <c r="Y13" i="140" s="1"/>
  <c r="AA13" i="140" s="1"/>
  <c r="X12" i="133"/>
  <c r="Y12" i="133"/>
  <c r="AA12" i="133" s="1"/>
  <c r="W11" i="136" l="1"/>
  <c r="Z9" i="136"/>
  <c r="Z11" i="136" s="1"/>
  <c r="X11" i="136"/>
  <c r="Y27" i="140"/>
  <c r="AA27" i="140" s="1"/>
  <c r="AB27" i="140" s="1"/>
  <c r="Y26" i="140"/>
  <c r="AA26" i="140" s="1"/>
  <c r="AB26" i="140" s="1"/>
  <c r="Y11" i="123"/>
  <c r="AA11" i="123" s="1"/>
  <c r="AB11" i="123" s="1"/>
  <c r="Y12" i="123"/>
  <c r="AA12" i="123" s="1"/>
  <c r="X12" i="123"/>
  <c r="Y28" i="140"/>
  <c r="AA28" i="140" s="1"/>
  <c r="X28" i="140"/>
  <c r="X13" i="140"/>
  <c r="AB13" i="140" s="1"/>
  <c r="AB12" i="133"/>
  <c r="AA9" i="136" l="1"/>
  <c r="AA11" i="136" s="1"/>
  <c r="AB28" i="140"/>
  <c r="AB12" i="123"/>
  <c r="AB10" i="123" s="1"/>
  <c r="L10" i="123"/>
  <c r="M10" i="123"/>
  <c r="N10" i="123"/>
  <c r="O10" i="123"/>
  <c r="P10" i="123"/>
  <c r="Q10" i="123"/>
  <c r="R10" i="123"/>
  <c r="S10" i="123"/>
  <c r="T10" i="123"/>
  <c r="U10" i="123"/>
  <c r="V10" i="123"/>
  <c r="W10" i="123"/>
  <c r="X10" i="123"/>
  <c r="Y10" i="123"/>
  <c r="Z10" i="123"/>
  <c r="AA10" i="123"/>
  <c r="K10" i="123"/>
  <c r="N37" i="121"/>
  <c r="O37" i="121" s="1"/>
  <c r="M37" i="121"/>
  <c r="J37" i="121"/>
  <c r="V37" i="121" l="1"/>
  <c r="R37" i="121"/>
  <c r="T37" i="121"/>
  <c r="P37" i="121"/>
  <c r="Q37" i="121" s="1"/>
  <c r="S37" i="121" s="1"/>
  <c r="U37" i="121" s="1"/>
  <c r="W37" i="121" s="1"/>
  <c r="X37" i="121" l="1"/>
  <c r="Y37" i="121"/>
  <c r="AA37" i="121" s="1"/>
  <c r="AB37" i="121" l="1"/>
  <c r="J11" i="123" l="1"/>
  <c r="N36" i="140" l="1"/>
  <c r="O36" i="140" s="1"/>
  <c r="M36" i="140"/>
  <c r="J36" i="140"/>
  <c r="T36" i="140" l="1"/>
  <c r="P36" i="140"/>
  <c r="Q36" i="140" s="1"/>
  <c r="V36" i="140"/>
  <c r="R36" i="140"/>
  <c r="S36" i="140" l="1"/>
  <c r="U36" i="140" s="1"/>
  <c r="W36" i="140" s="1"/>
  <c r="X36" i="140" s="1"/>
  <c r="Y36" i="140" l="1"/>
  <c r="AA36" i="140" s="1"/>
  <c r="AB36" i="140" s="1"/>
  <c r="N12" i="140" l="1"/>
  <c r="O12" i="140" s="1"/>
  <c r="M12" i="140"/>
  <c r="N25" i="121"/>
  <c r="O25" i="121" s="1"/>
  <c r="M25" i="121"/>
  <c r="J25" i="121"/>
  <c r="J35" i="140"/>
  <c r="M35" i="140"/>
  <c r="N35" i="140"/>
  <c r="O35" i="140" s="1"/>
  <c r="N10" i="121"/>
  <c r="O10" i="121" s="1"/>
  <c r="M10" i="121"/>
  <c r="J10" i="121"/>
  <c r="N14" i="120"/>
  <c r="O14" i="120" s="1"/>
  <c r="M14" i="120"/>
  <c r="J14" i="120"/>
  <c r="R12" i="140" l="1"/>
  <c r="T12" i="140"/>
  <c r="P12" i="140"/>
  <c r="Q12" i="140" s="1"/>
  <c r="V12" i="140"/>
  <c r="V25" i="121"/>
  <c r="T25" i="121"/>
  <c r="P25" i="121"/>
  <c r="Q25" i="121" s="1"/>
  <c r="R25" i="121"/>
  <c r="P35" i="140"/>
  <c r="Q35" i="140" s="1"/>
  <c r="T35" i="140"/>
  <c r="R35" i="140"/>
  <c r="V35" i="140"/>
  <c r="V10" i="121"/>
  <c r="R10" i="121"/>
  <c r="P10" i="121"/>
  <c r="Q10" i="121" s="1"/>
  <c r="S10" i="121" s="1"/>
  <c r="T10" i="121"/>
  <c r="V14" i="120"/>
  <c r="R14" i="120"/>
  <c r="T14" i="120"/>
  <c r="P14" i="120"/>
  <c r="Q14" i="120" s="1"/>
  <c r="S12" i="140" l="1"/>
  <c r="U12" i="140" s="1"/>
  <c r="W12" i="140" s="1"/>
  <c r="X12" i="140" s="1"/>
  <c r="S25" i="121"/>
  <c r="U25" i="121" s="1"/>
  <c r="W25" i="121" s="1"/>
  <c r="X25" i="121" s="1"/>
  <c r="S35" i="140"/>
  <c r="U35" i="140" s="1"/>
  <c r="W35" i="140" s="1"/>
  <c r="Y35" i="140" s="1"/>
  <c r="AA35" i="140" s="1"/>
  <c r="U10" i="121"/>
  <c r="W10" i="121" s="1"/>
  <c r="S14" i="120"/>
  <c r="U14" i="120" s="1"/>
  <c r="W14" i="120" s="1"/>
  <c r="Y12" i="140" l="1"/>
  <c r="AA12" i="140" s="1"/>
  <c r="AB12" i="140" s="1"/>
  <c r="Y25" i="121"/>
  <c r="AA25" i="121" s="1"/>
  <c r="AB25" i="121" s="1"/>
  <c r="X35" i="140"/>
  <c r="AB35" i="140" s="1"/>
  <c r="Y10" i="121"/>
  <c r="AA10" i="121" s="1"/>
  <c r="X10" i="121"/>
  <c r="X14" i="120"/>
  <c r="Y14" i="120"/>
  <c r="AA14" i="120" s="1"/>
  <c r="AB10" i="121" l="1"/>
  <c r="AB14" i="120"/>
  <c r="N33" i="140" l="1"/>
  <c r="O33" i="140" s="1"/>
  <c r="M33" i="140"/>
  <c r="J33" i="140"/>
  <c r="N32" i="140"/>
  <c r="O32" i="140" s="1"/>
  <c r="M32" i="140"/>
  <c r="J32" i="140"/>
  <c r="N10" i="140"/>
  <c r="O10" i="140" s="1"/>
  <c r="M10" i="140"/>
  <c r="V33" i="140" l="1"/>
  <c r="R33" i="140"/>
  <c r="T33" i="140"/>
  <c r="P33" i="140"/>
  <c r="Q33" i="140" s="1"/>
  <c r="S33" i="140" s="1"/>
  <c r="V32" i="140"/>
  <c r="T32" i="140"/>
  <c r="P32" i="140"/>
  <c r="Q32" i="140" s="1"/>
  <c r="R32" i="140"/>
  <c r="V10" i="140"/>
  <c r="R10" i="140"/>
  <c r="T10" i="140"/>
  <c r="P10" i="140"/>
  <c r="Q10" i="140" s="1"/>
  <c r="S10" i="140" s="1"/>
  <c r="N16" i="140"/>
  <c r="O16" i="140" s="1"/>
  <c r="M16" i="140"/>
  <c r="J16" i="140"/>
  <c r="U33" i="140" l="1"/>
  <c r="W33" i="140" s="1"/>
  <c r="X33" i="140" s="1"/>
  <c r="S32" i="140"/>
  <c r="U32" i="140" s="1"/>
  <c r="W32" i="140" s="1"/>
  <c r="X32" i="140" s="1"/>
  <c r="U10" i="140"/>
  <c r="W10" i="140" s="1"/>
  <c r="V16" i="140"/>
  <c r="R16" i="140"/>
  <c r="T16" i="140"/>
  <c r="P16" i="140"/>
  <c r="Q16" i="140" s="1"/>
  <c r="S16" i="140" l="1"/>
  <c r="U16" i="140" s="1"/>
  <c r="W16" i="140" s="1"/>
  <c r="X16" i="140" s="1"/>
  <c r="Y33" i="140"/>
  <c r="AA33" i="140" s="1"/>
  <c r="AB33" i="140" s="1"/>
  <c r="Y32" i="140"/>
  <c r="AA32" i="140" s="1"/>
  <c r="AB32" i="140" s="1"/>
  <c r="X10" i="140"/>
  <c r="Y10" i="140"/>
  <c r="AA10" i="140" s="1"/>
  <c r="Y16" i="140" l="1"/>
  <c r="AA16" i="140" s="1"/>
  <c r="AB16" i="140" s="1"/>
  <c r="AB10" i="140"/>
  <c r="K11" i="118" l="1"/>
  <c r="M11" i="118" s="1"/>
  <c r="N11" i="118" l="1"/>
  <c r="O11" i="118" s="1"/>
  <c r="P11" i="118" l="1"/>
  <c r="Q11" i="118" s="1"/>
  <c r="T11" i="118"/>
  <c r="R11" i="118"/>
  <c r="V11" i="118"/>
  <c r="S11" i="118" l="1"/>
  <c r="U11" i="118" s="1"/>
  <c r="W11" i="118" s="1"/>
  <c r="X11" i="118" l="1"/>
  <c r="Y11" i="118"/>
  <c r="AA11" i="118" s="1"/>
  <c r="AB11" i="118" l="1"/>
  <c r="Z38" i="140" l="1"/>
  <c r="L38" i="140"/>
  <c r="K38" i="140"/>
  <c r="N34" i="140"/>
  <c r="O34" i="140" s="1"/>
  <c r="M34" i="140"/>
  <c r="J34" i="140"/>
  <c r="N25" i="140"/>
  <c r="O25" i="140" s="1"/>
  <c r="M25" i="140"/>
  <c r="J25" i="140"/>
  <c r="N24" i="140"/>
  <c r="O24" i="140" s="1"/>
  <c r="M24" i="140"/>
  <c r="J24" i="140"/>
  <c r="N23" i="140"/>
  <c r="O23" i="140" s="1"/>
  <c r="M23" i="140"/>
  <c r="J23" i="140"/>
  <c r="N22" i="140"/>
  <c r="O22" i="140" s="1"/>
  <c r="V22" i="140" s="1"/>
  <c r="M22" i="140"/>
  <c r="J22" i="140"/>
  <c r="N21" i="140"/>
  <c r="O21" i="140" s="1"/>
  <c r="V21" i="140" s="1"/>
  <c r="M21" i="140"/>
  <c r="J21" i="140"/>
  <c r="N15" i="140"/>
  <c r="O15" i="140" s="1"/>
  <c r="M15" i="140"/>
  <c r="J15" i="140"/>
  <c r="N14" i="140"/>
  <c r="O14" i="140" s="1"/>
  <c r="M14" i="140"/>
  <c r="J14" i="140"/>
  <c r="B19" i="140"/>
  <c r="B31" i="140" s="1"/>
  <c r="J13" i="140"/>
  <c r="J12" i="140"/>
  <c r="N11" i="140"/>
  <c r="O11" i="140" s="1"/>
  <c r="M11" i="140"/>
  <c r="J11" i="140"/>
  <c r="J10" i="140"/>
  <c r="N9" i="140"/>
  <c r="M9" i="140"/>
  <c r="J9" i="140"/>
  <c r="B3" i="140"/>
  <c r="N38" i="140" l="1"/>
  <c r="O9" i="140"/>
  <c r="O38" i="140" s="1"/>
  <c r="M38" i="140"/>
  <c r="V14" i="140"/>
  <c r="T14" i="140"/>
  <c r="R14" i="140"/>
  <c r="P14" i="140"/>
  <c r="Q14" i="140" s="1"/>
  <c r="V15" i="140"/>
  <c r="T15" i="140"/>
  <c r="R15" i="140"/>
  <c r="P15" i="140"/>
  <c r="Q15" i="140" s="1"/>
  <c r="P11" i="140"/>
  <c r="Q11" i="140" s="1"/>
  <c r="R11" i="140"/>
  <c r="T11" i="140"/>
  <c r="V11" i="140"/>
  <c r="V24" i="140"/>
  <c r="T24" i="140"/>
  <c r="R24" i="140"/>
  <c r="P24" i="140"/>
  <c r="Q24" i="140" s="1"/>
  <c r="V34" i="140"/>
  <c r="T34" i="140"/>
  <c r="R34" i="140"/>
  <c r="P34" i="140"/>
  <c r="Q34" i="140" s="1"/>
  <c r="V23" i="140"/>
  <c r="T23" i="140"/>
  <c r="R23" i="140"/>
  <c r="P23" i="140"/>
  <c r="Q23" i="140" s="1"/>
  <c r="V25" i="140"/>
  <c r="T25" i="140"/>
  <c r="R25" i="140"/>
  <c r="P25" i="140"/>
  <c r="Q25" i="140" s="1"/>
  <c r="P21" i="140"/>
  <c r="Q21" i="140" s="1"/>
  <c r="R21" i="140"/>
  <c r="T21" i="140"/>
  <c r="P22" i="140"/>
  <c r="Q22" i="140" s="1"/>
  <c r="R22" i="140"/>
  <c r="T22" i="140"/>
  <c r="B20" i="123"/>
  <c r="B32" i="123"/>
  <c r="B43" i="123"/>
  <c r="S14" i="140" l="1"/>
  <c r="U14" i="140" s="1"/>
  <c r="W14" i="140" s="1"/>
  <c r="Y14" i="140" s="1"/>
  <c r="AA14" i="140" s="1"/>
  <c r="R9" i="140"/>
  <c r="R38" i="140" s="1"/>
  <c r="T9" i="140"/>
  <c r="T38" i="140" s="1"/>
  <c r="P9" i="140"/>
  <c r="Q9" i="140" s="1"/>
  <c r="Q38" i="140" s="1"/>
  <c r="V9" i="140"/>
  <c r="V38" i="140" s="1"/>
  <c r="S22" i="140"/>
  <c r="U22" i="140" s="1"/>
  <c r="W22" i="140" s="1"/>
  <c r="S25" i="140"/>
  <c r="U25" i="140" s="1"/>
  <c r="W25" i="140" s="1"/>
  <c r="Y25" i="140" s="1"/>
  <c r="AA25" i="140" s="1"/>
  <c r="S23" i="140"/>
  <c r="U23" i="140" s="1"/>
  <c r="W23" i="140" s="1"/>
  <c r="Y23" i="140" s="1"/>
  <c r="AA23" i="140" s="1"/>
  <c r="S11" i="140"/>
  <c r="U11" i="140" s="1"/>
  <c r="W11" i="140" s="1"/>
  <c r="S34" i="140"/>
  <c r="U34" i="140" s="1"/>
  <c r="W34" i="140" s="1"/>
  <c r="Y34" i="140" s="1"/>
  <c r="AA34" i="140" s="1"/>
  <c r="S24" i="140"/>
  <c r="U24" i="140" s="1"/>
  <c r="W24" i="140" s="1"/>
  <c r="Y24" i="140" s="1"/>
  <c r="AA24" i="140" s="1"/>
  <c r="S21" i="140"/>
  <c r="U21" i="140" s="1"/>
  <c r="W21" i="140" s="1"/>
  <c r="X21" i="140" s="1"/>
  <c r="S15" i="140"/>
  <c r="U15" i="140" s="1"/>
  <c r="W15" i="140" s="1"/>
  <c r="Y15" i="140" s="1"/>
  <c r="AA15" i="140" s="1"/>
  <c r="N36" i="135"/>
  <c r="O36" i="135" s="1"/>
  <c r="M36" i="135"/>
  <c r="J36" i="135"/>
  <c r="P38" i="140" l="1"/>
  <c r="X23" i="140"/>
  <c r="AB23" i="140" s="1"/>
  <c r="X14" i="140"/>
  <c r="AB14" i="140" s="1"/>
  <c r="S9" i="140"/>
  <c r="U9" i="140" s="1"/>
  <c r="X34" i="140"/>
  <c r="AB34" i="140" s="1"/>
  <c r="X25" i="140"/>
  <c r="AB25" i="140" s="1"/>
  <c r="X22" i="140"/>
  <c r="Y22" i="140"/>
  <c r="AA22" i="140" s="1"/>
  <c r="Y21" i="140"/>
  <c r="AA21" i="140" s="1"/>
  <c r="AB21" i="140" s="1"/>
  <c r="X15" i="140"/>
  <c r="AB15" i="140" s="1"/>
  <c r="Y11" i="140"/>
  <c r="AA11" i="140" s="1"/>
  <c r="X11" i="140"/>
  <c r="X24" i="140"/>
  <c r="AB24" i="140" s="1"/>
  <c r="V36" i="135"/>
  <c r="T36" i="135"/>
  <c r="R36" i="135"/>
  <c r="P36" i="135"/>
  <c r="Q36" i="135" s="1"/>
  <c r="S38" i="140" l="1"/>
  <c r="AB22" i="140"/>
  <c r="AB11" i="140"/>
  <c r="S36" i="135"/>
  <c r="U36" i="135" s="1"/>
  <c r="W36" i="135" s="1"/>
  <c r="U38" i="140"/>
  <c r="W9" i="140"/>
  <c r="Y36" i="135" l="1"/>
  <c r="AA36" i="135" s="1"/>
  <c r="X36" i="135"/>
  <c r="W38" i="140"/>
  <c r="X9" i="140"/>
  <c r="Y9" i="140"/>
  <c r="AB36" i="135"/>
  <c r="X38" i="140" l="1"/>
  <c r="AB9" i="140"/>
  <c r="AB38" i="140" s="1"/>
  <c r="Y38" i="140"/>
  <c r="AA9" i="140"/>
  <c r="AA38" i="140" s="1"/>
  <c r="J24" i="119"/>
  <c r="J22" i="119"/>
  <c r="J20" i="119"/>
  <c r="J19" i="119"/>
  <c r="J13" i="119"/>
  <c r="J11" i="119"/>
  <c r="J10" i="119"/>
  <c r="J9" i="119"/>
  <c r="K38" i="135" l="1"/>
  <c r="N12" i="118"/>
  <c r="O12" i="118" s="1"/>
  <c r="M12" i="118"/>
  <c r="V12" i="118" l="1"/>
  <c r="T12" i="118"/>
  <c r="R12" i="118"/>
  <c r="P12" i="118"/>
  <c r="Q12" i="118" s="1"/>
  <c r="S12" i="118" l="1"/>
  <c r="U12" i="118" s="1"/>
  <c r="W12" i="118" s="1"/>
  <c r="X12" i="118" s="1"/>
  <c r="Y12" i="118" l="1"/>
  <c r="AA12" i="118" s="1"/>
  <c r="AB12" i="118" s="1"/>
  <c r="M13" i="135" l="1"/>
  <c r="M12" i="135"/>
  <c r="M14" i="135"/>
  <c r="M11" i="135"/>
  <c r="M10" i="135"/>
  <c r="N20" i="119"/>
  <c r="O20" i="119" s="1"/>
  <c r="M20" i="119"/>
  <c r="N28" i="135"/>
  <c r="O28" i="135" s="1"/>
  <c r="M28" i="135"/>
  <c r="J28" i="135"/>
  <c r="N16" i="135"/>
  <c r="O16" i="135" s="1"/>
  <c r="M16" i="135"/>
  <c r="J16" i="135"/>
  <c r="N35" i="135"/>
  <c r="O35" i="135" s="1"/>
  <c r="M35" i="135"/>
  <c r="J35" i="135"/>
  <c r="N13" i="135"/>
  <c r="O13" i="135" s="1"/>
  <c r="N12" i="135"/>
  <c r="O12" i="135" s="1"/>
  <c r="N11" i="135"/>
  <c r="O11" i="135" s="1"/>
  <c r="N10" i="135"/>
  <c r="O10" i="135" s="1"/>
  <c r="N9" i="135"/>
  <c r="O9" i="135" s="1"/>
  <c r="M9" i="135"/>
  <c r="N33" i="135"/>
  <c r="O33" i="135" s="1"/>
  <c r="M33" i="135"/>
  <c r="J33" i="135"/>
  <c r="N34" i="135"/>
  <c r="O34" i="135" s="1"/>
  <c r="M34" i="135"/>
  <c r="J34" i="135"/>
  <c r="N26" i="121"/>
  <c r="O26" i="121" s="1"/>
  <c r="M26" i="121"/>
  <c r="N34" i="121"/>
  <c r="O34" i="121" s="1"/>
  <c r="M34" i="121"/>
  <c r="M33" i="121" s="1"/>
  <c r="J34" i="121"/>
  <c r="Z33" i="121"/>
  <c r="L33" i="121"/>
  <c r="K33" i="121"/>
  <c r="V20" i="119" l="1"/>
  <c r="T20" i="119"/>
  <c r="R20" i="119"/>
  <c r="P20" i="119"/>
  <c r="Q20" i="119" s="1"/>
  <c r="V28" i="135"/>
  <c r="T28" i="135"/>
  <c r="R28" i="135"/>
  <c r="P28" i="135"/>
  <c r="Q28" i="135" s="1"/>
  <c r="V16" i="135"/>
  <c r="T16" i="135"/>
  <c r="R16" i="135"/>
  <c r="P16" i="135"/>
  <c r="Q16" i="135" s="1"/>
  <c r="V35" i="135"/>
  <c r="T35" i="135"/>
  <c r="R35" i="135"/>
  <c r="P35" i="135"/>
  <c r="Q35" i="135" s="1"/>
  <c r="V13" i="135"/>
  <c r="T13" i="135"/>
  <c r="R13" i="135"/>
  <c r="P13" i="135"/>
  <c r="Q13" i="135" s="1"/>
  <c r="V12" i="135"/>
  <c r="T12" i="135"/>
  <c r="R12" i="135"/>
  <c r="P12" i="135"/>
  <c r="Q12" i="135" s="1"/>
  <c r="V11" i="135"/>
  <c r="T11" i="135"/>
  <c r="R11" i="135"/>
  <c r="P11" i="135"/>
  <c r="Q11" i="135" s="1"/>
  <c r="V10" i="135"/>
  <c r="T10" i="135"/>
  <c r="R10" i="135"/>
  <c r="P10" i="135"/>
  <c r="Q10" i="135" s="1"/>
  <c r="V9" i="135"/>
  <c r="T9" i="135"/>
  <c r="R9" i="135"/>
  <c r="P9" i="135"/>
  <c r="Q9" i="135" s="1"/>
  <c r="V33" i="135"/>
  <c r="T33" i="135"/>
  <c r="R33" i="135"/>
  <c r="P33" i="135"/>
  <c r="Q33" i="135" s="1"/>
  <c r="P34" i="135"/>
  <c r="Q34" i="135" s="1"/>
  <c r="V34" i="135"/>
  <c r="T34" i="135"/>
  <c r="R34" i="135"/>
  <c r="V26" i="121"/>
  <c r="T26" i="121"/>
  <c r="R26" i="121"/>
  <c r="P26" i="121"/>
  <c r="Q26" i="121" s="1"/>
  <c r="V34" i="121"/>
  <c r="T34" i="121"/>
  <c r="R34" i="121"/>
  <c r="P34" i="121"/>
  <c r="Q34" i="121" s="1"/>
  <c r="S28" i="135" l="1"/>
  <c r="U28" i="135" s="1"/>
  <c r="S26" i="121"/>
  <c r="U26" i="121" s="1"/>
  <c r="W26" i="121" s="1"/>
  <c r="X26" i="121" s="1"/>
  <c r="W28" i="135"/>
  <c r="S34" i="121"/>
  <c r="U34" i="121" s="1"/>
  <c r="W34" i="121" s="1"/>
  <c r="Y34" i="121" s="1"/>
  <c r="S35" i="135"/>
  <c r="U35" i="135" s="1"/>
  <c r="W35" i="135" s="1"/>
  <c r="X35" i="135" s="1"/>
  <c r="S20" i="119"/>
  <c r="U20" i="119" s="1"/>
  <c r="W20" i="119" s="1"/>
  <c r="Y20" i="119" s="1"/>
  <c r="AA20" i="119" s="1"/>
  <c r="S16" i="135"/>
  <c r="U16" i="135" s="1"/>
  <c r="W16" i="135" s="1"/>
  <c r="Y16" i="135" s="1"/>
  <c r="AA16" i="135" s="1"/>
  <c r="S9" i="135"/>
  <c r="U9" i="135" s="1"/>
  <c r="W9" i="135" s="1"/>
  <c r="X9" i="135" s="1"/>
  <c r="S13" i="135"/>
  <c r="U13" i="135" s="1"/>
  <c r="W13" i="135" s="1"/>
  <c r="X13" i="135" s="1"/>
  <c r="S33" i="135"/>
  <c r="U33" i="135" s="1"/>
  <c r="W33" i="135" s="1"/>
  <c r="X33" i="135" s="1"/>
  <c r="Y28" i="135"/>
  <c r="AA28" i="135" s="1"/>
  <c r="X28" i="135"/>
  <c r="Y13" i="135"/>
  <c r="AA13" i="135" s="1"/>
  <c r="S12" i="135"/>
  <c r="U12" i="135" s="1"/>
  <c r="W12" i="135" s="1"/>
  <c r="Y12" i="135" s="1"/>
  <c r="AA12" i="135" s="1"/>
  <c r="S11" i="135"/>
  <c r="U11" i="135" s="1"/>
  <c r="W11" i="135" s="1"/>
  <c r="S10" i="135"/>
  <c r="U10" i="135" s="1"/>
  <c r="W10" i="135" s="1"/>
  <c r="S34" i="135"/>
  <c r="U34" i="135" s="1"/>
  <c r="W34" i="135" s="1"/>
  <c r="X34" i="121" l="1"/>
  <c r="X33" i="121" s="1"/>
  <c r="Y26" i="121"/>
  <c r="AA26" i="121" s="1"/>
  <c r="AB26" i="121" s="1"/>
  <c r="X20" i="119"/>
  <c r="AB20" i="119" s="1"/>
  <c r="X16" i="135"/>
  <c r="AB16" i="135" s="1"/>
  <c r="AB13" i="135"/>
  <c r="Y9" i="135"/>
  <c r="AA9" i="135" s="1"/>
  <c r="Y35" i="135"/>
  <c r="AA35" i="135" s="1"/>
  <c r="AB35" i="135" s="1"/>
  <c r="AB28" i="135"/>
  <c r="X12" i="135"/>
  <c r="AB12" i="135" s="1"/>
  <c r="Y11" i="135"/>
  <c r="AA11" i="135" s="1"/>
  <c r="X11" i="135"/>
  <c r="X10" i="135"/>
  <c r="Y10" i="135"/>
  <c r="AA10" i="135" s="1"/>
  <c r="Y33" i="135"/>
  <c r="AA33" i="135" s="1"/>
  <c r="AB33" i="135" s="1"/>
  <c r="Y34" i="135"/>
  <c r="AA34" i="135" s="1"/>
  <c r="X34" i="135"/>
  <c r="AA34" i="121"/>
  <c r="AA33" i="121" s="1"/>
  <c r="Y33" i="121"/>
  <c r="AB11" i="135" l="1"/>
  <c r="AB10" i="135"/>
  <c r="AB34" i="135"/>
  <c r="AB34" i="121"/>
  <c r="AB33" i="121" s="1"/>
  <c r="J22" i="135"/>
  <c r="M22" i="135"/>
  <c r="N22" i="135"/>
  <c r="O22" i="135" s="1"/>
  <c r="J12" i="135"/>
  <c r="N49" i="123"/>
  <c r="O49" i="123" s="1"/>
  <c r="M49" i="123"/>
  <c r="J49" i="123"/>
  <c r="P22" i="135" l="1"/>
  <c r="Q22" i="135" s="1"/>
  <c r="R22" i="135"/>
  <c r="T22" i="135"/>
  <c r="V22" i="135"/>
  <c r="V49" i="123"/>
  <c r="T49" i="123"/>
  <c r="R49" i="123"/>
  <c r="P49" i="123"/>
  <c r="Q49" i="123" s="1"/>
  <c r="N27" i="135"/>
  <c r="O27" i="135" s="1"/>
  <c r="M27" i="135"/>
  <c r="J27" i="135"/>
  <c r="N26" i="135"/>
  <c r="O26" i="135" s="1"/>
  <c r="M26" i="135"/>
  <c r="J26" i="135"/>
  <c r="N25" i="135"/>
  <c r="O25" i="135" s="1"/>
  <c r="M25" i="135"/>
  <c r="J25" i="135"/>
  <c r="N13" i="121"/>
  <c r="O13" i="121" s="1"/>
  <c r="M13" i="121"/>
  <c r="S49" i="123" l="1"/>
  <c r="U49" i="123" s="1"/>
  <c r="W49" i="123" s="1"/>
  <c r="Y49" i="123" s="1"/>
  <c r="AA49" i="123" s="1"/>
  <c r="S22" i="135"/>
  <c r="U22" i="135" s="1"/>
  <c r="W22" i="135" s="1"/>
  <c r="V25" i="135"/>
  <c r="T25" i="135"/>
  <c r="R25" i="135"/>
  <c r="P25" i="135"/>
  <c r="Q25" i="135" s="1"/>
  <c r="V26" i="135"/>
  <c r="T26" i="135"/>
  <c r="R26" i="135"/>
  <c r="P26" i="135"/>
  <c r="Q26" i="135" s="1"/>
  <c r="V27" i="135"/>
  <c r="T27" i="135"/>
  <c r="R27" i="135"/>
  <c r="P27" i="135"/>
  <c r="Q27" i="135" s="1"/>
  <c r="V13" i="121"/>
  <c r="T13" i="121"/>
  <c r="R13" i="121"/>
  <c r="P13" i="121"/>
  <c r="Q13" i="121" s="1"/>
  <c r="S26" i="135" l="1"/>
  <c r="U26" i="135"/>
  <c r="W26" i="135" s="1"/>
  <c r="X49" i="123"/>
  <c r="AB49" i="123" s="1"/>
  <c r="X22" i="135"/>
  <c r="Y22" i="135"/>
  <c r="AA22" i="135" s="1"/>
  <c r="S25" i="135"/>
  <c r="U25" i="135" s="1"/>
  <c r="W25" i="135" s="1"/>
  <c r="S27" i="135"/>
  <c r="U27" i="135" s="1"/>
  <c r="W27" i="135" s="1"/>
  <c r="X27" i="135" s="1"/>
  <c r="S13" i="121"/>
  <c r="U13" i="121" s="1"/>
  <c r="W13" i="121" s="1"/>
  <c r="Y26" i="135" l="1"/>
  <c r="AA26" i="135" s="1"/>
  <c r="X26" i="135"/>
  <c r="Y27" i="135"/>
  <c r="AA27" i="135" s="1"/>
  <c r="AB27" i="135" s="1"/>
  <c r="X13" i="121"/>
  <c r="Y13" i="121"/>
  <c r="AA13" i="121" s="1"/>
  <c r="AB22" i="135"/>
  <c r="Y25" i="135"/>
  <c r="AA25" i="135" s="1"/>
  <c r="X25" i="135"/>
  <c r="AB26" i="135" l="1"/>
  <c r="AB13" i="121"/>
  <c r="AB25" i="135"/>
  <c r="N11" i="133" l="1"/>
  <c r="O11" i="133" s="1"/>
  <c r="M11" i="133"/>
  <c r="J11" i="133"/>
  <c r="N50" i="123"/>
  <c r="O50" i="123" s="1"/>
  <c r="M50" i="123"/>
  <c r="J50" i="123"/>
  <c r="N48" i="123"/>
  <c r="O48" i="123" s="1"/>
  <c r="M48" i="123"/>
  <c r="J48" i="123"/>
  <c r="J26" i="121"/>
  <c r="N25" i="120"/>
  <c r="O25" i="120" s="1"/>
  <c r="M25" i="120"/>
  <c r="J25" i="120"/>
  <c r="N24" i="120"/>
  <c r="O24" i="120" s="1"/>
  <c r="M24" i="120"/>
  <c r="J24" i="120"/>
  <c r="N23" i="120"/>
  <c r="O23" i="120" s="1"/>
  <c r="M23" i="120"/>
  <c r="J23" i="120"/>
  <c r="N22" i="120"/>
  <c r="O22" i="120" s="1"/>
  <c r="M22" i="120"/>
  <c r="J22" i="120"/>
  <c r="N21" i="120"/>
  <c r="O21" i="120" s="1"/>
  <c r="M21" i="120"/>
  <c r="J21" i="120"/>
  <c r="V11" i="133" l="1"/>
  <c r="T11" i="133"/>
  <c r="R11" i="133"/>
  <c r="P11" i="133"/>
  <c r="Q11" i="133" s="1"/>
  <c r="V50" i="123"/>
  <c r="T50" i="123"/>
  <c r="R50" i="123"/>
  <c r="P50" i="123"/>
  <c r="Q50" i="123" s="1"/>
  <c r="V48" i="123"/>
  <c r="T48" i="123"/>
  <c r="R48" i="123"/>
  <c r="P48" i="123"/>
  <c r="Q48" i="123" s="1"/>
  <c r="V25" i="120"/>
  <c r="T25" i="120"/>
  <c r="R25" i="120"/>
  <c r="P25" i="120"/>
  <c r="Q25" i="120" s="1"/>
  <c r="R23" i="120"/>
  <c r="P23" i="120"/>
  <c r="Q23" i="120" s="1"/>
  <c r="V23" i="120"/>
  <c r="T23" i="120"/>
  <c r="R24" i="120"/>
  <c r="P24" i="120"/>
  <c r="Q24" i="120" s="1"/>
  <c r="V24" i="120"/>
  <c r="T24" i="120"/>
  <c r="V22" i="120"/>
  <c r="T22" i="120"/>
  <c r="R22" i="120"/>
  <c r="P22" i="120"/>
  <c r="Q22" i="120" s="1"/>
  <c r="V21" i="120"/>
  <c r="T21" i="120"/>
  <c r="R21" i="120"/>
  <c r="P21" i="120"/>
  <c r="Q21" i="120" s="1"/>
  <c r="N38" i="123"/>
  <c r="O38" i="123" s="1"/>
  <c r="M38" i="123"/>
  <c r="J38" i="123"/>
  <c r="N37" i="135"/>
  <c r="O37" i="135" s="1"/>
  <c r="M37" i="135"/>
  <c r="J37" i="135"/>
  <c r="N35" i="123"/>
  <c r="O35" i="123" s="1"/>
  <c r="M35" i="123"/>
  <c r="N24" i="135"/>
  <c r="O24" i="135" s="1"/>
  <c r="M24" i="135"/>
  <c r="J24" i="135"/>
  <c r="N23" i="135"/>
  <c r="O23" i="135" s="1"/>
  <c r="M23" i="135"/>
  <c r="J23" i="135"/>
  <c r="N21" i="135"/>
  <c r="O21" i="135" s="1"/>
  <c r="M21" i="135"/>
  <c r="J21" i="135"/>
  <c r="N15" i="135"/>
  <c r="O15" i="135" s="1"/>
  <c r="M15" i="135"/>
  <c r="J15" i="135"/>
  <c r="B19" i="135"/>
  <c r="B31" i="135" s="1"/>
  <c r="B3" i="135"/>
  <c r="N14" i="123"/>
  <c r="O14" i="123" s="1"/>
  <c r="M14" i="123"/>
  <c r="J14" i="123"/>
  <c r="N39" i="123"/>
  <c r="O39" i="123" s="1"/>
  <c r="M39" i="123"/>
  <c r="J39" i="123"/>
  <c r="N28" i="123"/>
  <c r="O28" i="123" s="1"/>
  <c r="M28" i="123"/>
  <c r="M27" i="123" s="1"/>
  <c r="J28" i="123"/>
  <c r="Z27" i="123"/>
  <c r="L27" i="123"/>
  <c r="K27" i="123"/>
  <c r="S25" i="120" l="1"/>
  <c r="U25" i="120" s="1"/>
  <c r="W25" i="120" s="1"/>
  <c r="X25" i="120" s="1"/>
  <c r="S48" i="123"/>
  <c r="U48" i="123" s="1"/>
  <c r="W48" i="123" s="1"/>
  <c r="Y48" i="123" s="1"/>
  <c r="AA48" i="123" s="1"/>
  <c r="S50" i="123"/>
  <c r="U50" i="123" s="1"/>
  <c r="W50" i="123" s="1"/>
  <c r="X50" i="123" s="1"/>
  <c r="S23" i="120"/>
  <c r="U23" i="120" s="1"/>
  <c r="W23" i="120" s="1"/>
  <c r="S21" i="120"/>
  <c r="U21" i="120" s="1"/>
  <c r="W21" i="120" s="1"/>
  <c r="Y21" i="120" s="1"/>
  <c r="AA21" i="120" s="1"/>
  <c r="S11" i="133"/>
  <c r="U11" i="133" s="1"/>
  <c r="W11" i="133" s="1"/>
  <c r="Y11" i="133" s="1"/>
  <c r="AA11" i="133" s="1"/>
  <c r="S24" i="120"/>
  <c r="U24" i="120" s="1"/>
  <c r="W24" i="120" s="1"/>
  <c r="X24" i="120" s="1"/>
  <c r="S22" i="120"/>
  <c r="U22" i="120" s="1"/>
  <c r="W22" i="120" s="1"/>
  <c r="X22" i="120" s="1"/>
  <c r="V38" i="123"/>
  <c r="T38" i="123"/>
  <c r="R38" i="123"/>
  <c r="P38" i="123"/>
  <c r="Q38" i="123" s="1"/>
  <c r="V37" i="135"/>
  <c r="T37" i="135"/>
  <c r="R37" i="135"/>
  <c r="P37" i="135"/>
  <c r="Q37" i="135" s="1"/>
  <c r="V35" i="123"/>
  <c r="T35" i="123"/>
  <c r="R35" i="123"/>
  <c r="P35" i="123"/>
  <c r="Q35" i="123" s="1"/>
  <c r="V24" i="135"/>
  <c r="T24" i="135"/>
  <c r="R24" i="135"/>
  <c r="P24" i="135"/>
  <c r="Q24" i="135" s="1"/>
  <c r="V21" i="135"/>
  <c r="T21" i="135"/>
  <c r="R21" i="135"/>
  <c r="P21" i="135"/>
  <c r="Q21" i="135" s="1"/>
  <c r="V23" i="135"/>
  <c r="T23" i="135"/>
  <c r="R23" i="135"/>
  <c r="P23" i="135"/>
  <c r="Q23" i="135" s="1"/>
  <c r="V15" i="135"/>
  <c r="T15" i="135"/>
  <c r="R15" i="135"/>
  <c r="P15" i="135"/>
  <c r="Q15" i="135" s="1"/>
  <c r="V14" i="123"/>
  <c r="T14" i="123"/>
  <c r="R14" i="123"/>
  <c r="P14" i="123"/>
  <c r="Q14" i="123" s="1"/>
  <c r="V39" i="123"/>
  <c r="T39" i="123"/>
  <c r="R39" i="123"/>
  <c r="P39" i="123"/>
  <c r="Q39" i="123" s="1"/>
  <c r="T28" i="123"/>
  <c r="R28" i="123"/>
  <c r="P28" i="123"/>
  <c r="Q28" i="123" s="1"/>
  <c r="V28" i="123"/>
  <c r="Y22" i="120" l="1"/>
  <c r="AA22" i="120" s="1"/>
  <c r="AB22" i="120" s="1"/>
  <c r="X48" i="123"/>
  <c r="AB48" i="123" s="1"/>
  <c r="X21" i="120"/>
  <c r="AB21" i="120" s="1"/>
  <c r="X23" i="120"/>
  <c r="Y23" i="120"/>
  <c r="AA23" i="120" s="1"/>
  <c r="Y25" i="120"/>
  <c r="AA25" i="120" s="1"/>
  <c r="AB25" i="120" s="1"/>
  <c r="S39" i="123"/>
  <c r="U39" i="123" s="1"/>
  <c r="W39" i="123" s="1"/>
  <c r="X39" i="123" s="1"/>
  <c r="Y50" i="123"/>
  <c r="AA50" i="123" s="1"/>
  <c r="AB50" i="123" s="1"/>
  <c r="Y24" i="120"/>
  <c r="AA24" i="120" s="1"/>
  <c r="AB24" i="120" s="1"/>
  <c r="X11" i="133"/>
  <c r="AB11" i="133" s="1"/>
  <c r="S14" i="123"/>
  <c r="U14" i="123" s="1"/>
  <c r="W14" i="123" s="1"/>
  <c r="Y14" i="123" s="1"/>
  <c r="AA14" i="123" s="1"/>
  <c r="S23" i="135"/>
  <c r="U23" i="135" s="1"/>
  <c r="W23" i="135" s="1"/>
  <c r="Y23" i="135" s="1"/>
  <c r="AA23" i="135" s="1"/>
  <c r="S15" i="135"/>
  <c r="U15" i="135" s="1"/>
  <c r="W15" i="135" s="1"/>
  <c r="Y15" i="135" s="1"/>
  <c r="AA15" i="135" s="1"/>
  <c r="S37" i="135"/>
  <c r="U37" i="135" s="1"/>
  <c r="W37" i="135" s="1"/>
  <c r="Y37" i="135" s="1"/>
  <c r="AA37" i="135" s="1"/>
  <c r="S24" i="135"/>
  <c r="U24" i="135" s="1"/>
  <c r="W24" i="135" s="1"/>
  <c r="Y24" i="135" s="1"/>
  <c r="AA24" i="135" s="1"/>
  <c r="S38" i="123"/>
  <c r="U38" i="123" s="1"/>
  <c r="W38" i="123" s="1"/>
  <c r="Y38" i="123" s="1"/>
  <c r="AA38" i="123" s="1"/>
  <c r="S35" i="123"/>
  <c r="U35" i="123" s="1"/>
  <c r="W35" i="123" s="1"/>
  <c r="X35" i="123" s="1"/>
  <c r="S28" i="123"/>
  <c r="U28" i="123" s="1"/>
  <c r="W28" i="123" s="1"/>
  <c r="X28" i="123" s="1"/>
  <c r="S21" i="135"/>
  <c r="U21" i="135" s="1"/>
  <c r="W21" i="135" s="1"/>
  <c r="X21" i="135" s="1"/>
  <c r="AB23" i="120" l="1"/>
  <c r="X37" i="135"/>
  <c r="AB37" i="135" s="1"/>
  <c r="X23" i="135"/>
  <c r="AB23" i="135" s="1"/>
  <c r="X15" i="135"/>
  <c r="AB15" i="135" s="1"/>
  <c r="X24" i="135"/>
  <c r="AB24" i="135" s="1"/>
  <c r="X38" i="123"/>
  <c r="AB38" i="123" s="1"/>
  <c r="Y39" i="123"/>
  <c r="AA39" i="123" s="1"/>
  <c r="AB39" i="123" s="1"/>
  <c r="X14" i="123"/>
  <c r="AB14" i="123" s="1"/>
  <c r="Y35" i="123"/>
  <c r="AA35" i="123" s="1"/>
  <c r="AB35" i="123" s="1"/>
  <c r="Y21" i="135"/>
  <c r="AA21" i="135" s="1"/>
  <c r="AB21" i="135" s="1"/>
  <c r="Y28" i="123"/>
  <c r="Y27" i="123" s="1"/>
  <c r="X27" i="123"/>
  <c r="AA28" i="123" l="1"/>
  <c r="N47" i="123"/>
  <c r="O47" i="123" s="1"/>
  <c r="M47" i="123"/>
  <c r="J47" i="123"/>
  <c r="N45" i="123"/>
  <c r="O45" i="123" s="1"/>
  <c r="M45" i="123"/>
  <c r="J45" i="123"/>
  <c r="N46" i="123"/>
  <c r="O46" i="123" s="1"/>
  <c r="M46" i="123"/>
  <c r="J46" i="123"/>
  <c r="M9" i="134"/>
  <c r="M8" i="134" s="1"/>
  <c r="N9" i="134"/>
  <c r="O9" i="134" s="1"/>
  <c r="J9" i="134"/>
  <c r="Z8" i="134"/>
  <c r="L8" i="134"/>
  <c r="K8" i="134"/>
  <c r="M37" i="123"/>
  <c r="N37" i="123"/>
  <c r="O37" i="123" s="1"/>
  <c r="M36" i="123"/>
  <c r="N36" i="123"/>
  <c r="O36" i="123" s="1"/>
  <c r="P36" i="123" s="1"/>
  <c r="Z34" i="123"/>
  <c r="L34" i="123"/>
  <c r="K34" i="123"/>
  <c r="J37" i="123"/>
  <c r="M20" i="120"/>
  <c r="N20" i="120"/>
  <c r="O20" i="120" s="1"/>
  <c r="J20" i="120"/>
  <c r="M13" i="120"/>
  <c r="N13" i="120"/>
  <c r="O13" i="120" s="1"/>
  <c r="J13" i="120"/>
  <c r="J36" i="123"/>
  <c r="Y15" i="123"/>
  <c r="AA15" i="123" s="1"/>
  <c r="N15" i="123"/>
  <c r="O15" i="123" s="1"/>
  <c r="M15" i="123"/>
  <c r="J15" i="123"/>
  <c r="N11" i="120"/>
  <c r="O11" i="120" s="1"/>
  <c r="M11" i="120"/>
  <c r="J11" i="120"/>
  <c r="M11" i="134"/>
  <c r="N11" i="134"/>
  <c r="O11" i="134" s="1"/>
  <c r="M13" i="134"/>
  <c r="N13" i="134"/>
  <c r="O13" i="134" s="1"/>
  <c r="Z10" i="134"/>
  <c r="Z12" i="134"/>
  <c r="L10" i="134"/>
  <c r="L12" i="134"/>
  <c r="K10" i="134"/>
  <c r="K12" i="134"/>
  <c r="N14" i="133"/>
  <c r="O14" i="133" s="1"/>
  <c r="M14" i="133"/>
  <c r="N22" i="119"/>
  <c r="O22" i="119" s="1"/>
  <c r="M22" i="119"/>
  <c r="M21" i="119" s="1"/>
  <c r="Z21" i="119"/>
  <c r="L21" i="119"/>
  <c r="K21" i="119"/>
  <c r="Z8" i="121"/>
  <c r="L8" i="121"/>
  <c r="K8" i="121"/>
  <c r="N9" i="133"/>
  <c r="O9" i="133" s="1"/>
  <c r="M9" i="133"/>
  <c r="J9" i="133"/>
  <c r="J10" i="133"/>
  <c r="M10" i="133"/>
  <c r="N10" i="133"/>
  <c r="O10" i="133" s="1"/>
  <c r="J13" i="133"/>
  <c r="M13" i="133"/>
  <c r="N13" i="133"/>
  <c r="O13" i="133" s="1"/>
  <c r="J14" i="133"/>
  <c r="N14" i="135"/>
  <c r="O14" i="135" s="1"/>
  <c r="V14" i="135" s="1"/>
  <c r="J14" i="135"/>
  <c r="J13" i="135"/>
  <c r="J11" i="135"/>
  <c r="J10" i="135"/>
  <c r="J9" i="135"/>
  <c r="N22" i="131"/>
  <c r="O22" i="131" s="1"/>
  <c r="N21" i="131"/>
  <c r="O21" i="131" s="1"/>
  <c r="N20" i="131"/>
  <c r="O20" i="131" s="1"/>
  <c r="N19" i="131"/>
  <c r="O19" i="131" s="1"/>
  <c r="N13" i="131"/>
  <c r="O13" i="131" s="1"/>
  <c r="N12" i="131"/>
  <c r="O12" i="131" s="1"/>
  <c r="N11" i="131"/>
  <c r="O11" i="131" s="1"/>
  <c r="N10" i="131"/>
  <c r="O10" i="131" s="1"/>
  <c r="N9" i="131"/>
  <c r="J22" i="131"/>
  <c r="J21" i="131"/>
  <c r="J20" i="131"/>
  <c r="J19" i="131"/>
  <c r="J13" i="131"/>
  <c r="J12" i="131"/>
  <c r="J11" i="131"/>
  <c r="J10" i="131"/>
  <c r="J9" i="131"/>
  <c r="N10" i="118"/>
  <c r="O10" i="118" s="1"/>
  <c r="J10" i="118"/>
  <c r="N26" i="123"/>
  <c r="O26" i="123" s="1"/>
  <c r="R26" i="123" s="1"/>
  <c r="N24" i="123"/>
  <c r="O24" i="123" s="1"/>
  <c r="T24" i="123" s="1"/>
  <c r="N22" i="123"/>
  <c r="O22" i="123" s="1"/>
  <c r="P22" i="123" s="1"/>
  <c r="N9" i="123"/>
  <c r="J35" i="123"/>
  <c r="J26" i="123"/>
  <c r="J24" i="123"/>
  <c r="J22" i="123"/>
  <c r="N39" i="121"/>
  <c r="O39" i="121" s="1"/>
  <c r="V39" i="121" s="1"/>
  <c r="N36" i="121"/>
  <c r="O36" i="121" s="1"/>
  <c r="P36" i="121" s="1"/>
  <c r="J39" i="121"/>
  <c r="J36" i="121"/>
  <c r="J24" i="121"/>
  <c r="J23" i="121"/>
  <c r="J22" i="121"/>
  <c r="J21" i="121"/>
  <c r="N24" i="121"/>
  <c r="O24" i="121" s="1"/>
  <c r="P24" i="121" s="1"/>
  <c r="N23" i="121"/>
  <c r="O23" i="121" s="1"/>
  <c r="N22" i="121"/>
  <c r="O22" i="121" s="1"/>
  <c r="N21" i="121"/>
  <c r="O21" i="121" s="1"/>
  <c r="N12" i="121"/>
  <c r="O12" i="121" s="1"/>
  <c r="N11" i="121"/>
  <c r="O11" i="121" s="1"/>
  <c r="P11" i="121" s="1"/>
  <c r="N9" i="121"/>
  <c r="O9" i="121" s="1"/>
  <c r="J13" i="121"/>
  <c r="J12" i="121"/>
  <c r="J11" i="121"/>
  <c r="J9" i="121"/>
  <c r="N10" i="120"/>
  <c r="O10" i="120" s="1"/>
  <c r="N9" i="120"/>
  <c r="O9" i="120" s="1"/>
  <c r="J10" i="120"/>
  <c r="J9" i="120"/>
  <c r="J11" i="134"/>
  <c r="J13" i="134"/>
  <c r="N24" i="119"/>
  <c r="O24" i="119" s="1"/>
  <c r="N19" i="119"/>
  <c r="O19" i="119" s="1"/>
  <c r="R19" i="119" s="1"/>
  <c r="N13" i="119"/>
  <c r="O13" i="119" s="1"/>
  <c r="T13" i="119" s="1"/>
  <c r="N11" i="119"/>
  <c r="O11" i="119" s="1"/>
  <c r="N10" i="119"/>
  <c r="O10" i="119" s="1"/>
  <c r="N9" i="119"/>
  <c r="O9" i="119" s="1"/>
  <c r="Z23" i="119"/>
  <c r="X23" i="119"/>
  <c r="L23" i="119"/>
  <c r="K23" i="119"/>
  <c r="M19" i="119"/>
  <c r="M18" i="119" s="1"/>
  <c r="Z18" i="119"/>
  <c r="L18" i="119"/>
  <c r="K18" i="119"/>
  <c r="B17" i="131"/>
  <c r="M26" i="123"/>
  <c r="M25" i="123" s="1"/>
  <c r="Z25" i="123"/>
  <c r="L25" i="123"/>
  <c r="K25" i="123"/>
  <c r="Z35" i="121"/>
  <c r="L35" i="121"/>
  <c r="K35" i="121"/>
  <c r="B31" i="121"/>
  <c r="M36" i="121"/>
  <c r="B18" i="120"/>
  <c r="K26" i="120"/>
  <c r="Z38" i="135"/>
  <c r="L38" i="135"/>
  <c r="Z24" i="131"/>
  <c r="Z23" i="123"/>
  <c r="L23" i="123"/>
  <c r="K23" i="123"/>
  <c r="Z13" i="123"/>
  <c r="L13" i="123"/>
  <c r="K13" i="123"/>
  <c r="Z8" i="123"/>
  <c r="L8" i="123"/>
  <c r="Z26" i="120"/>
  <c r="L26" i="120"/>
  <c r="M22" i="121"/>
  <c r="Z12" i="119"/>
  <c r="L12" i="119"/>
  <c r="K12" i="119"/>
  <c r="Z15" i="133"/>
  <c r="L15" i="133"/>
  <c r="K15" i="133"/>
  <c r="Z8" i="119"/>
  <c r="L8" i="119"/>
  <c r="M21" i="121"/>
  <c r="M12" i="121"/>
  <c r="B19" i="121"/>
  <c r="M22" i="123"/>
  <c r="M39" i="121"/>
  <c r="M24" i="121"/>
  <c r="A3" i="136"/>
  <c r="Y24" i="119"/>
  <c r="Y23" i="119" s="1"/>
  <c r="M24" i="119"/>
  <c r="M23" i="119" s="1"/>
  <c r="A3" i="133"/>
  <c r="A3" i="131"/>
  <c r="A3" i="118"/>
  <c r="A3" i="123"/>
  <c r="A3" i="121"/>
  <c r="A3" i="120"/>
  <c r="B3" i="134"/>
  <c r="M23" i="121"/>
  <c r="K8" i="123"/>
  <c r="M9" i="120"/>
  <c r="M24" i="123"/>
  <c r="M11" i="121"/>
  <c r="M9" i="121"/>
  <c r="M10" i="118"/>
  <c r="M14" i="118" s="1"/>
  <c r="M10" i="119"/>
  <c r="M13" i="119"/>
  <c r="M12" i="119" s="1"/>
  <c r="M10" i="120"/>
  <c r="M9" i="123"/>
  <c r="M12" i="131"/>
  <c r="M9" i="119"/>
  <c r="M13" i="131"/>
  <c r="M22" i="131"/>
  <c r="M21" i="131"/>
  <c r="M20" i="131"/>
  <c r="M19" i="131"/>
  <c r="M11" i="131"/>
  <c r="M10" i="131"/>
  <c r="M9" i="131"/>
  <c r="T14" i="134"/>
  <c r="P14" i="134"/>
  <c r="N14" i="134"/>
  <c r="O14" i="134"/>
  <c r="R14" i="134"/>
  <c r="Q14" i="134"/>
  <c r="Z38" i="121"/>
  <c r="L38" i="121"/>
  <c r="S14" i="134"/>
  <c r="U14" i="134"/>
  <c r="Z14" i="118"/>
  <c r="L14" i="118"/>
  <c r="K8" i="119"/>
  <c r="M11" i="119"/>
  <c r="K24" i="131"/>
  <c r="K14" i="118"/>
  <c r="V14" i="134"/>
  <c r="W14" i="134"/>
  <c r="L14" i="134" l="1"/>
  <c r="Z14" i="134"/>
  <c r="K41" i="121"/>
  <c r="Z41" i="121"/>
  <c r="L41" i="121"/>
  <c r="R11" i="134"/>
  <c r="P11" i="134"/>
  <c r="Q11" i="134" s="1"/>
  <c r="S11" i="134" s="1"/>
  <c r="P13" i="134"/>
  <c r="Q13" i="134" s="1"/>
  <c r="V13" i="134"/>
  <c r="R13" i="134"/>
  <c r="T13" i="134"/>
  <c r="K14" i="134"/>
  <c r="M12" i="134"/>
  <c r="M10" i="134"/>
  <c r="M14" i="134" s="1"/>
  <c r="V11" i="134"/>
  <c r="T11" i="134"/>
  <c r="R9" i="134"/>
  <c r="T9" i="134"/>
  <c r="V9" i="134"/>
  <c r="P9" i="134"/>
  <c r="Q9" i="134" s="1"/>
  <c r="P10" i="131"/>
  <c r="Q10" i="131" s="1"/>
  <c r="T10" i="131"/>
  <c r="R10" i="131"/>
  <c r="V10" i="131"/>
  <c r="N24" i="131"/>
  <c r="O9" i="131"/>
  <c r="R9" i="131" s="1"/>
  <c r="K26" i="119"/>
  <c r="R21" i="131"/>
  <c r="T21" i="131"/>
  <c r="V21" i="131"/>
  <c r="P21" i="131"/>
  <c r="Q21" i="131" s="1"/>
  <c r="R11" i="131"/>
  <c r="V11" i="131"/>
  <c r="P11" i="131"/>
  <c r="T11" i="131"/>
  <c r="P12" i="131"/>
  <c r="Q12" i="131" s="1"/>
  <c r="T12" i="131"/>
  <c r="V12" i="131"/>
  <c r="R12" i="131"/>
  <c r="V13" i="131"/>
  <c r="P13" i="131"/>
  <c r="Q13" i="131" s="1"/>
  <c r="R13" i="131"/>
  <c r="T13" i="131"/>
  <c r="T19" i="131"/>
  <c r="P19" i="131"/>
  <c r="Q19" i="131" s="1"/>
  <c r="R19" i="131"/>
  <c r="V19" i="131"/>
  <c r="V20" i="131"/>
  <c r="R20" i="131"/>
  <c r="P20" i="131"/>
  <c r="Q20" i="131" s="1"/>
  <c r="T20" i="131"/>
  <c r="R22" i="131"/>
  <c r="V22" i="131"/>
  <c r="P22" i="131"/>
  <c r="Q22" i="131" s="1"/>
  <c r="T22" i="131"/>
  <c r="M24" i="131"/>
  <c r="M8" i="119"/>
  <c r="M26" i="119" s="1"/>
  <c r="P11" i="119"/>
  <c r="Q11" i="119" s="1"/>
  <c r="R11" i="119"/>
  <c r="T11" i="119"/>
  <c r="T22" i="119"/>
  <c r="R22" i="119"/>
  <c r="V22" i="119"/>
  <c r="R24" i="119"/>
  <c r="V24" i="119"/>
  <c r="T24" i="119"/>
  <c r="AA24" i="119"/>
  <c r="AA23" i="119" s="1"/>
  <c r="L26" i="119"/>
  <c r="Z26" i="119"/>
  <c r="N8" i="123"/>
  <c r="R10" i="118"/>
  <c r="P10" i="118"/>
  <c r="V10" i="118"/>
  <c r="T10" i="118"/>
  <c r="O14" i="118"/>
  <c r="N14" i="118"/>
  <c r="P10" i="133"/>
  <c r="Q10" i="133" s="1"/>
  <c r="R10" i="133"/>
  <c r="T10" i="119"/>
  <c r="V10" i="119"/>
  <c r="R10" i="119"/>
  <c r="P10" i="119"/>
  <c r="Q10" i="119" s="1"/>
  <c r="O26" i="119"/>
  <c r="P9" i="119"/>
  <c r="Q9" i="119" s="1"/>
  <c r="V9" i="119"/>
  <c r="T9" i="119"/>
  <c r="R9" i="119"/>
  <c r="V19" i="119"/>
  <c r="P24" i="119"/>
  <c r="Q24" i="119" s="1"/>
  <c r="P22" i="119"/>
  <c r="Q22" i="119" s="1"/>
  <c r="V13" i="119"/>
  <c r="T19" i="119"/>
  <c r="V11" i="119"/>
  <c r="N26" i="119"/>
  <c r="P13" i="119"/>
  <c r="Q13" i="119" s="1"/>
  <c r="R13" i="119"/>
  <c r="P19" i="119"/>
  <c r="Q19" i="119" s="1"/>
  <c r="S19" i="119" s="1"/>
  <c r="R9" i="133"/>
  <c r="T9" i="133"/>
  <c r="V9" i="133"/>
  <c r="R14" i="133"/>
  <c r="T14" i="133"/>
  <c r="P14" i="133"/>
  <c r="Q14" i="133" s="1"/>
  <c r="V14" i="133"/>
  <c r="T10" i="133"/>
  <c r="V10" i="133"/>
  <c r="P9" i="133"/>
  <c r="Q9" i="133" s="1"/>
  <c r="K52" i="123"/>
  <c r="Z52" i="123"/>
  <c r="L52" i="123"/>
  <c r="M15" i="133"/>
  <c r="P14" i="135"/>
  <c r="Q14" i="135" s="1"/>
  <c r="R14" i="135"/>
  <c r="T14" i="135"/>
  <c r="P11" i="120"/>
  <c r="Q11" i="120" s="1"/>
  <c r="T11" i="120"/>
  <c r="R11" i="120"/>
  <c r="V11" i="120"/>
  <c r="P10" i="120"/>
  <c r="Q10" i="120" s="1"/>
  <c r="T10" i="120"/>
  <c r="V10" i="120"/>
  <c r="R10" i="120"/>
  <c r="P20" i="120"/>
  <c r="Q20" i="120" s="1"/>
  <c r="R20" i="120"/>
  <c r="T20" i="120"/>
  <c r="V20" i="120"/>
  <c r="R9" i="120"/>
  <c r="V9" i="120"/>
  <c r="P9" i="120"/>
  <c r="Q9" i="120" s="1"/>
  <c r="T9" i="120"/>
  <c r="R24" i="121"/>
  <c r="V24" i="121"/>
  <c r="T24" i="121"/>
  <c r="N15" i="133"/>
  <c r="R11" i="121"/>
  <c r="T13" i="120"/>
  <c r="P13" i="120"/>
  <c r="Q13" i="120" s="1"/>
  <c r="N38" i="135"/>
  <c r="O38" i="135"/>
  <c r="M38" i="135"/>
  <c r="AA27" i="123"/>
  <c r="AB28" i="123"/>
  <c r="AB27" i="123" s="1"/>
  <c r="M8" i="123"/>
  <c r="R13" i="120"/>
  <c r="V13" i="120"/>
  <c r="O15" i="133"/>
  <c r="R13" i="133"/>
  <c r="P13" i="133"/>
  <c r="Q13" i="133" s="1"/>
  <c r="T13" i="133"/>
  <c r="V13" i="133"/>
  <c r="V11" i="121"/>
  <c r="T11" i="121"/>
  <c r="M8" i="121"/>
  <c r="Q24" i="121"/>
  <c r="T21" i="121"/>
  <c r="R21" i="121"/>
  <c r="P21" i="121"/>
  <c r="Q21" i="121" s="1"/>
  <c r="V21" i="121"/>
  <c r="T22" i="121"/>
  <c r="V22" i="121"/>
  <c r="R22" i="121"/>
  <c r="P22" i="121"/>
  <c r="Q22" i="121" s="1"/>
  <c r="P12" i="121"/>
  <c r="Q12" i="121" s="1"/>
  <c r="T12" i="121"/>
  <c r="V12" i="121"/>
  <c r="M35" i="121"/>
  <c r="V36" i="121"/>
  <c r="M38" i="121"/>
  <c r="Q36" i="121"/>
  <c r="T23" i="121"/>
  <c r="T36" i="121"/>
  <c r="R39" i="121"/>
  <c r="R36" i="121"/>
  <c r="P39" i="121"/>
  <c r="Q39" i="121" s="1"/>
  <c r="V23" i="121"/>
  <c r="T39" i="121"/>
  <c r="P23" i="121"/>
  <c r="Q23" i="121" s="1"/>
  <c r="Q11" i="121"/>
  <c r="R23" i="121"/>
  <c r="M26" i="120"/>
  <c r="R12" i="121"/>
  <c r="O41" i="121"/>
  <c r="V9" i="121"/>
  <c r="P9" i="121"/>
  <c r="T9" i="121"/>
  <c r="R9" i="121"/>
  <c r="N41" i="121"/>
  <c r="O26" i="120"/>
  <c r="N26" i="120"/>
  <c r="R47" i="123"/>
  <c r="P47" i="123"/>
  <c r="Q47" i="123" s="1"/>
  <c r="V47" i="123"/>
  <c r="T47" i="123"/>
  <c r="N23" i="123"/>
  <c r="M13" i="123"/>
  <c r="V45" i="123"/>
  <c r="T45" i="123"/>
  <c r="R45" i="123"/>
  <c r="P45" i="123"/>
  <c r="Q45" i="123" s="1"/>
  <c r="V46" i="123"/>
  <c r="T46" i="123"/>
  <c r="R46" i="123"/>
  <c r="P46" i="123"/>
  <c r="Q46" i="123" s="1"/>
  <c r="O9" i="123"/>
  <c r="V9" i="123" s="1"/>
  <c r="V15" i="123"/>
  <c r="V13" i="123" s="1"/>
  <c r="O13" i="123"/>
  <c r="V22" i="123"/>
  <c r="M23" i="123"/>
  <c r="R22" i="123"/>
  <c r="N13" i="123"/>
  <c r="M34" i="123"/>
  <c r="T22" i="123"/>
  <c r="Q22" i="123"/>
  <c r="T37" i="123"/>
  <c r="P37" i="123"/>
  <c r="Q37" i="123" s="1"/>
  <c r="V37" i="123"/>
  <c r="R37" i="123"/>
  <c r="R24" i="123"/>
  <c r="P24" i="123"/>
  <c r="Q24" i="123" s="1"/>
  <c r="V36" i="123"/>
  <c r="V26" i="123"/>
  <c r="P15" i="123"/>
  <c r="P13" i="123" s="1"/>
  <c r="T36" i="123"/>
  <c r="T15" i="123"/>
  <c r="T13" i="123" s="1"/>
  <c r="R36" i="123"/>
  <c r="V24" i="123"/>
  <c r="R15" i="123"/>
  <c r="R13" i="123" s="1"/>
  <c r="P26" i="123"/>
  <c r="Q26" i="123" s="1"/>
  <c r="S26" i="123" s="1"/>
  <c r="Q36" i="123"/>
  <c r="T26" i="123"/>
  <c r="O23" i="123"/>
  <c r="S9" i="134" l="1"/>
  <c r="U9" i="134" s="1"/>
  <c r="W9" i="134" s="1"/>
  <c r="X9" i="134" s="1"/>
  <c r="S22" i="131"/>
  <c r="S9" i="120"/>
  <c r="U9" i="120" s="1"/>
  <c r="W9" i="120" s="1"/>
  <c r="S24" i="119"/>
  <c r="O24" i="131"/>
  <c r="M41" i="121"/>
  <c r="S10" i="119"/>
  <c r="U10" i="119" s="1"/>
  <c r="W10" i="119" s="1"/>
  <c r="Y10" i="119" s="1"/>
  <c r="AA10" i="119" s="1"/>
  <c r="AB24" i="119"/>
  <c r="AB23" i="119" s="1"/>
  <c r="S20" i="131"/>
  <c r="U20" i="131" s="1"/>
  <c r="W20" i="131" s="1"/>
  <c r="X20" i="131" s="1"/>
  <c r="S13" i="131"/>
  <c r="U13" i="131" s="1"/>
  <c r="W13" i="131" s="1"/>
  <c r="Y13" i="131" s="1"/>
  <c r="AA13" i="131" s="1"/>
  <c r="S21" i="131"/>
  <c r="U21" i="131" s="1"/>
  <c r="W21" i="131" s="1"/>
  <c r="Y21" i="131" s="1"/>
  <c r="AA21" i="131" s="1"/>
  <c r="S13" i="134"/>
  <c r="U13" i="134" s="1"/>
  <c r="W13" i="134" s="1"/>
  <c r="Y13" i="134" s="1"/>
  <c r="U11" i="134"/>
  <c r="W11" i="134" s="1"/>
  <c r="S22" i="119"/>
  <c r="U22" i="119" s="1"/>
  <c r="W22" i="119" s="1"/>
  <c r="Y22" i="119" s="1"/>
  <c r="U22" i="131"/>
  <c r="W22" i="131" s="1"/>
  <c r="X22" i="131" s="1"/>
  <c r="S19" i="131"/>
  <c r="U19" i="131" s="1"/>
  <c r="W19" i="131" s="1"/>
  <c r="S10" i="131"/>
  <c r="U10" i="131" s="1"/>
  <c r="W10" i="131" s="1"/>
  <c r="P9" i="131"/>
  <c r="Q9" i="131" s="1"/>
  <c r="S9" i="131" s="1"/>
  <c r="T9" i="131"/>
  <c r="T24" i="131" s="1"/>
  <c r="V9" i="131"/>
  <c r="V24" i="131" s="1"/>
  <c r="S12" i="131"/>
  <c r="U12" i="131" s="1"/>
  <c r="W12" i="131" s="1"/>
  <c r="Q11" i="131"/>
  <c r="S11" i="131" s="1"/>
  <c r="U11" i="131" s="1"/>
  <c r="W11" i="131" s="1"/>
  <c r="R24" i="131"/>
  <c r="U24" i="119"/>
  <c r="W24" i="119" s="1"/>
  <c r="S11" i="119"/>
  <c r="U11" i="119" s="1"/>
  <c r="W11" i="119" s="1"/>
  <c r="P14" i="118"/>
  <c r="T14" i="118"/>
  <c r="S13" i="119"/>
  <c r="U13" i="119" s="1"/>
  <c r="W13" i="119" s="1"/>
  <c r="Y13" i="119" s="1"/>
  <c r="U19" i="119"/>
  <c r="W19" i="119" s="1"/>
  <c r="X19" i="119" s="1"/>
  <c r="S22" i="121"/>
  <c r="U22" i="121" s="1"/>
  <c r="W22" i="121" s="1"/>
  <c r="Y22" i="121" s="1"/>
  <c r="AA22" i="121" s="1"/>
  <c r="S39" i="121"/>
  <c r="U39" i="121" s="1"/>
  <c r="W39" i="121" s="1"/>
  <c r="X39" i="121" s="1"/>
  <c r="S10" i="133"/>
  <c r="U10" i="133" s="1"/>
  <c r="W10" i="133" s="1"/>
  <c r="X10" i="133" s="1"/>
  <c r="S46" i="123"/>
  <c r="U46" i="123" s="1"/>
  <c r="W46" i="123" s="1"/>
  <c r="Y46" i="123" s="1"/>
  <c r="AA46" i="123" s="1"/>
  <c r="Q10" i="118"/>
  <c r="V14" i="118"/>
  <c r="R14" i="118"/>
  <c r="S13" i="133"/>
  <c r="U13" i="133" s="1"/>
  <c r="W13" i="133" s="1"/>
  <c r="S9" i="133"/>
  <c r="U9" i="133" s="1"/>
  <c r="W9" i="133" s="1"/>
  <c r="Y9" i="133" s="1"/>
  <c r="AA9" i="133" s="1"/>
  <c r="S14" i="133"/>
  <c r="U14" i="133" s="1"/>
  <c r="W14" i="133" s="1"/>
  <c r="T26" i="119"/>
  <c r="S9" i="119"/>
  <c r="Q26" i="119"/>
  <c r="R26" i="119"/>
  <c r="V26" i="119"/>
  <c r="P26" i="119"/>
  <c r="S21" i="121"/>
  <c r="U21" i="121" s="1"/>
  <c r="W21" i="121" s="1"/>
  <c r="Y21" i="121" s="1"/>
  <c r="AA21" i="121" s="1"/>
  <c r="S24" i="121"/>
  <c r="U24" i="121" s="1"/>
  <c r="W24" i="121" s="1"/>
  <c r="S13" i="120"/>
  <c r="U13" i="120" s="1"/>
  <c r="W13" i="120" s="1"/>
  <c r="Y13" i="120" s="1"/>
  <c r="AA13" i="120" s="1"/>
  <c r="S14" i="135"/>
  <c r="U14" i="135" s="1"/>
  <c r="W14" i="135" s="1"/>
  <c r="S11" i="121"/>
  <c r="U11" i="121" s="1"/>
  <c r="W11" i="121" s="1"/>
  <c r="S20" i="120"/>
  <c r="U20" i="120" s="1"/>
  <c r="W20" i="120" s="1"/>
  <c r="T15" i="133"/>
  <c r="V15" i="133"/>
  <c r="P38" i="135"/>
  <c r="V38" i="135"/>
  <c r="R38" i="135"/>
  <c r="T38" i="135"/>
  <c r="S11" i="120"/>
  <c r="U11" i="120" s="1"/>
  <c r="W11" i="120" s="1"/>
  <c r="X11" i="120" s="1"/>
  <c r="S10" i="120"/>
  <c r="U10" i="120" s="1"/>
  <c r="W10" i="120" s="1"/>
  <c r="P15" i="133"/>
  <c r="R15" i="133"/>
  <c r="M52" i="123"/>
  <c r="P26" i="120"/>
  <c r="R9" i="123"/>
  <c r="R8" i="123" s="1"/>
  <c r="S47" i="123"/>
  <c r="U47" i="123" s="1"/>
  <c r="W47" i="123" s="1"/>
  <c r="Y47" i="123" s="1"/>
  <c r="AA47" i="123" s="1"/>
  <c r="S24" i="123"/>
  <c r="U24" i="123" s="1"/>
  <c r="W24" i="123" s="1"/>
  <c r="X24" i="123" s="1"/>
  <c r="S45" i="123"/>
  <c r="U45" i="123" s="1"/>
  <c r="W45" i="123" s="1"/>
  <c r="O8" i="123"/>
  <c r="O52" i="123" s="1"/>
  <c r="N52" i="123"/>
  <c r="P9" i="123"/>
  <c r="Q9" i="123" s="1"/>
  <c r="V8" i="123"/>
  <c r="S12" i="121"/>
  <c r="U12" i="121" s="1"/>
  <c r="W12" i="121" s="1"/>
  <c r="Y12" i="121" s="1"/>
  <c r="AA12" i="121" s="1"/>
  <c r="S23" i="121"/>
  <c r="U23" i="121" s="1"/>
  <c r="W23" i="121" s="1"/>
  <c r="X23" i="121" s="1"/>
  <c r="T41" i="121"/>
  <c r="S36" i="121"/>
  <c r="U36" i="121" s="1"/>
  <c r="W36" i="121" s="1"/>
  <c r="R41" i="121"/>
  <c r="V41" i="121"/>
  <c r="P41" i="121"/>
  <c r="R26" i="120"/>
  <c r="V26" i="120"/>
  <c r="T26" i="120"/>
  <c r="Q9" i="121"/>
  <c r="T9" i="123"/>
  <c r="T8" i="123" s="1"/>
  <c r="U26" i="123"/>
  <c r="W26" i="123" s="1"/>
  <c r="X26" i="123" s="1"/>
  <c r="S22" i="123"/>
  <c r="U22" i="123" s="1"/>
  <c r="W22" i="123" s="1"/>
  <c r="S36" i="123"/>
  <c r="U36" i="123" s="1"/>
  <c r="W36" i="123" s="1"/>
  <c r="S37" i="123"/>
  <c r="U37" i="123" s="1"/>
  <c r="W37" i="123" s="1"/>
  <c r="Y37" i="123" s="1"/>
  <c r="AA37" i="123" s="1"/>
  <c r="V23" i="123"/>
  <c r="Q23" i="123"/>
  <c r="Q15" i="123"/>
  <c r="T23" i="123"/>
  <c r="R23" i="123"/>
  <c r="P23" i="123"/>
  <c r="Y9" i="134" l="1"/>
  <c r="AA9" i="134" s="1"/>
  <c r="AA8" i="134" s="1"/>
  <c r="Y9" i="120"/>
  <c r="AA9" i="120" s="1"/>
  <c r="X9" i="120"/>
  <c r="X21" i="131"/>
  <c r="AB21" i="131" s="1"/>
  <c r="X13" i="134"/>
  <c r="X12" i="134" s="1"/>
  <c r="X22" i="119"/>
  <c r="X13" i="131"/>
  <c r="AB13" i="131" s="1"/>
  <c r="Y22" i="131"/>
  <c r="AA22" i="131" s="1"/>
  <c r="X14" i="133"/>
  <c r="Y14" i="133"/>
  <c r="AA14" i="133" s="1"/>
  <c r="X24" i="121"/>
  <c r="Y24" i="121"/>
  <c r="AA24" i="121" s="1"/>
  <c r="Y12" i="134"/>
  <c r="AA13" i="134"/>
  <c r="AA12" i="134" s="1"/>
  <c r="X11" i="134"/>
  <c r="Y11" i="134"/>
  <c r="X8" i="134"/>
  <c r="X10" i="119"/>
  <c r="AB10" i="119" s="1"/>
  <c r="Y20" i="131"/>
  <c r="AA20" i="131" s="1"/>
  <c r="AB20" i="131" s="1"/>
  <c r="Y10" i="131"/>
  <c r="AA10" i="131" s="1"/>
  <c r="X10" i="131"/>
  <c r="P24" i="131"/>
  <c r="X22" i="121"/>
  <c r="AB22" i="121" s="1"/>
  <c r="Y19" i="119"/>
  <c r="AA19" i="119" s="1"/>
  <c r="AA18" i="119" s="1"/>
  <c r="X13" i="119"/>
  <c r="X12" i="119" s="1"/>
  <c r="X11" i="131"/>
  <c r="Y11" i="131"/>
  <c r="AA11" i="131" s="1"/>
  <c r="Q24" i="131"/>
  <c r="X12" i="131"/>
  <c r="Y12" i="131"/>
  <c r="AA12" i="131" s="1"/>
  <c r="X19" i="131"/>
  <c r="Y19" i="131"/>
  <c r="AA19" i="131" s="1"/>
  <c r="U9" i="131"/>
  <c r="S24" i="131"/>
  <c r="AB22" i="131"/>
  <c r="Y10" i="133"/>
  <c r="AA10" i="133" s="1"/>
  <c r="AB10" i="133" s="1"/>
  <c r="X9" i="133"/>
  <c r="AB9" i="133" s="1"/>
  <c r="S9" i="123"/>
  <c r="U9" i="123" s="1"/>
  <c r="W9" i="123" s="1"/>
  <c r="Q14" i="118"/>
  <c r="S10" i="118"/>
  <c r="Y11" i="120"/>
  <c r="AA11" i="120" s="1"/>
  <c r="AB11" i="120" s="1"/>
  <c r="Y11" i="119"/>
  <c r="AA11" i="119" s="1"/>
  <c r="X11" i="119"/>
  <c r="U9" i="119"/>
  <c r="S26" i="119"/>
  <c r="Y21" i="119"/>
  <c r="AA22" i="119"/>
  <c r="AA21" i="119" s="1"/>
  <c r="X18" i="119"/>
  <c r="AA13" i="119"/>
  <c r="AA12" i="119" s="1"/>
  <c r="Y12" i="119"/>
  <c r="X21" i="119"/>
  <c r="X12" i="121"/>
  <c r="AB12" i="121" s="1"/>
  <c r="Y39" i="121"/>
  <c r="AA39" i="121" s="1"/>
  <c r="Y23" i="121"/>
  <c r="AA23" i="121" s="1"/>
  <c r="AB23" i="121" s="1"/>
  <c r="X21" i="121"/>
  <c r="AB21" i="121" s="1"/>
  <c r="X46" i="123"/>
  <c r="AB46" i="123" s="1"/>
  <c r="Y11" i="121"/>
  <c r="AA11" i="121" s="1"/>
  <c r="X11" i="121"/>
  <c r="X14" i="135"/>
  <c r="Y14" i="135"/>
  <c r="AA14" i="135" s="1"/>
  <c r="X13" i="120"/>
  <c r="AB13" i="120" s="1"/>
  <c r="Y10" i="120"/>
  <c r="AA10" i="120" s="1"/>
  <c r="X10" i="120"/>
  <c r="X20" i="120"/>
  <c r="Y20" i="120"/>
  <c r="AA20" i="120" s="1"/>
  <c r="Q8" i="123"/>
  <c r="Q38" i="135"/>
  <c r="R52" i="123"/>
  <c r="X47" i="123"/>
  <c r="AB47" i="123" s="1"/>
  <c r="P8" i="123"/>
  <c r="P52" i="123" s="1"/>
  <c r="V52" i="123"/>
  <c r="Y13" i="133"/>
  <c r="AA13" i="133" s="1"/>
  <c r="X13" i="133"/>
  <c r="Q15" i="133"/>
  <c r="Y36" i="121"/>
  <c r="X36" i="121"/>
  <c r="X38" i="121"/>
  <c r="Q41" i="121"/>
  <c r="S9" i="121"/>
  <c r="Q26" i="120"/>
  <c r="Y24" i="123"/>
  <c r="AA24" i="123" s="1"/>
  <c r="AB24" i="123" s="1"/>
  <c r="Y26" i="123"/>
  <c r="Y25" i="123" s="1"/>
  <c r="Y45" i="123"/>
  <c r="AA45" i="123" s="1"/>
  <c r="X45" i="123"/>
  <c r="X37" i="123"/>
  <c r="AB37" i="123" s="1"/>
  <c r="X22" i="123"/>
  <c r="Y22" i="123"/>
  <c r="T52" i="123"/>
  <c r="Q13" i="123"/>
  <c r="S15" i="123"/>
  <c r="S23" i="123"/>
  <c r="X36" i="123"/>
  <c r="Y36" i="123"/>
  <c r="AA36" i="123" s="1"/>
  <c r="X25" i="123"/>
  <c r="Y8" i="134" l="1"/>
  <c r="AB9" i="120"/>
  <c r="S8" i="123"/>
  <c r="AB22" i="119"/>
  <c r="AB21" i="119" s="1"/>
  <c r="AB10" i="131"/>
  <c r="AB9" i="134"/>
  <c r="AB8" i="134" s="1"/>
  <c r="AB14" i="133"/>
  <c r="AB15" i="133" s="1"/>
  <c r="U8" i="123"/>
  <c r="AB24" i="121"/>
  <c r="AB13" i="134"/>
  <c r="AB12" i="134" s="1"/>
  <c r="AA11" i="134"/>
  <c r="AA10" i="134" s="1"/>
  <c r="AA14" i="134" s="1"/>
  <c r="Y10" i="134"/>
  <c r="Y14" i="134" s="1"/>
  <c r="X10" i="134"/>
  <c r="X14" i="134" s="1"/>
  <c r="Y18" i="119"/>
  <c r="AB19" i="119"/>
  <c r="AB18" i="119" s="1"/>
  <c r="AB19" i="131"/>
  <c r="W9" i="131"/>
  <c r="U24" i="131"/>
  <c r="AB12" i="131"/>
  <c r="AB11" i="131"/>
  <c r="AB11" i="119"/>
  <c r="AB11" i="121"/>
  <c r="AA38" i="121"/>
  <c r="AB39" i="121"/>
  <c r="AB38" i="121" s="1"/>
  <c r="Y38" i="121"/>
  <c r="U10" i="118"/>
  <c r="S14" i="118"/>
  <c r="AB13" i="119"/>
  <c r="AB12" i="119" s="1"/>
  <c r="W9" i="119"/>
  <c r="U26" i="119"/>
  <c r="Q52" i="123"/>
  <c r="AB14" i="135"/>
  <c r="AB10" i="120"/>
  <c r="AB20" i="120"/>
  <c r="S38" i="135"/>
  <c r="AB45" i="123"/>
  <c r="AA26" i="123"/>
  <c r="AA25" i="123" s="1"/>
  <c r="AB13" i="133"/>
  <c r="S15" i="133"/>
  <c r="X35" i="121"/>
  <c r="AA36" i="121"/>
  <c r="AA35" i="121" s="1"/>
  <c r="Y35" i="121"/>
  <c r="U9" i="121"/>
  <c r="S41" i="121"/>
  <c r="S26" i="120"/>
  <c r="AA22" i="123"/>
  <c r="AA13" i="123" s="1"/>
  <c r="Y13" i="123"/>
  <c r="AB36" i="123"/>
  <c r="U23" i="123"/>
  <c r="AA34" i="123"/>
  <c r="Y34" i="123"/>
  <c r="Y9" i="123"/>
  <c r="X9" i="123"/>
  <c r="W8" i="123"/>
  <c r="S13" i="123"/>
  <c r="U15" i="123"/>
  <c r="X34" i="123"/>
  <c r="AB11" i="134" l="1"/>
  <c r="AB10" i="134" s="1"/>
  <c r="S52" i="123"/>
  <c r="AB26" i="120"/>
  <c r="AB34" i="123"/>
  <c r="AB14" i="134"/>
  <c r="X9" i="131"/>
  <c r="W24" i="131"/>
  <c r="Y9" i="131"/>
  <c r="AB26" i="123"/>
  <c r="AB25" i="123" s="1"/>
  <c r="U14" i="118"/>
  <c r="W10" i="118"/>
  <c r="W26" i="119"/>
  <c r="X9" i="119"/>
  <c r="Y9" i="119"/>
  <c r="U38" i="135"/>
  <c r="U15" i="133"/>
  <c r="AB36" i="121"/>
  <c r="AB35" i="121" s="1"/>
  <c r="U41" i="121"/>
  <c r="W9" i="121"/>
  <c r="U26" i="120"/>
  <c r="AB22" i="123"/>
  <c r="X8" i="123"/>
  <c r="W15" i="123"/>
  <c r="U13" i="123"/>
  <c r="U52" i="123" s="1"/>
  <c r="Y8" i="123"/>
  <c r="AA9" i="123"/>
  <c r="AA8" i="123" s="1"/>
  <c r="W23" i="123"/>
  <c r="Y24" i="131" l="1"/>
  <c r="AA9" i="131"/>
  <c r="AA24" i="131" s="1"/>
  <c r="X24" i="131"/>
  <c r="W14" i="118"/>
  <c r="X10" i="118"/>
  <c r="Y10" i="118"/>
  <c r="AA9" i="119"/>
  <c r="AA8" i="119" s="1"/>
  <c r="AA26" i="119" s="1"/>
  <c r="Y8" i="119"/>
  <c r="Y26" i="119" s="1"/>
  <c r="X8" i="119"/>
  <c r="X26" i="119" s="1"/>
  <c r="W38" i="135"/>
  <c r="W15" i="133"/>
  <c r="Y9" i="121"/>
  <c r="W41" i="121"/>
  <c r="X9" i="121"/>
  <c r="W26" i="120"/>
  <c r="X23" i="123"/>
  <c r="Y23" i="123"/>
  <c r="Y52" i="123" s="1"/>
  <c r="AA23" i="123"/>
  <c r="AA52" i="123" s="1"/>
  <c r="X15" i="123"/>
  <c r="W13" i="123"/>
  <c r="W52" i="123" s="1"/>
  <c r="AB9" i="123"/>
  <c r="AB8" i="123" s="1"/>
  <c r="AB9" i="131" l="1"/>
  <c r="AB24" i="131" s="1"/>
  <c r="AB9" i="119"/>
  <c r="AB8" i="119" s="1"/>
  <c r="AB26" i="119" s="1"/>
  <c r="AA10" i="118"/>
  <c r="AA14" i="118" s="1"/>
  <c r="Y14" i="118"/>
  <c r="X14" i="118"/>
  <c r="X38" i="135"/>
  <c r="AB9" i="135"/>
  <c r="AB38" i="135" s="1"/>
  <c r="AA38" i="135"/>
  <c r="Y38" i="135"/>
  <c r="Y15" i="133"/>
  <c r="AA15" i="133"/>
  <c r="X15" i="133"/>
  <c r="X8" i="121"/>
  <c r="X41" i="121" s="1"/>
  <c r="Y8" i="121"/>
  <c r="Y41" i="121" s="1"/>
  <c r="AA9" i="121"/>
  <c r="AA8" i="121" s="1"/>
  <c r="AA41" i="121" s="1"/>
  <c r="Y26" i="120"/>
  <c r="AA26" i="120"/>
  <c r="X26" i="120"/>
  <c r="X13" i="123"/>
  <c r="X52" i="123" s="1"/>
  <c r="AB15" i="123"/>
  <c r="AB13" i="123" s="1"/>
  <c r="AB23" i="123"/>
  <c r="AB10" i="118" l="1"/>
  <c r="AB14" i="118" s="1"/>
  <c r="AB52" i="123"/>
  <c r="AB9" i="121"/>
  <c r="AB8" i="121" l="1"/>
  <c r="AB41" i="121" s="1"/>
</calcChain>
</file>

<file path=xl/sharedStrings.xml><?xml version="1.0" encoding="utf-8"?>
<sst xmlns="http://schemas.openxmlformats.org/spreadsheetml/2006/main" count="1778" uniqueCount="657">
  <si>
    <t>TOTAL</t>
  </si>
  <si>
    <t>P E R C E P C I O N E S</t>
  </si>
  <si>
    <t xml:space="preserve">D E D U C C I O N E S </t>
  </si>
  <si>
    <t xml:space="preserve">A </t>
  </si>
  <si>
    <t>PAGAR</t>
  </si>
  <si>
    <t>Sueldo</t>
  </si>
  <si>
    <t>Total</t>
  </si>
  <si>
    <t xml:space="preserve">  %</t>
  </si>
  <si>
    <t>TARIFA</t>
  </si>
  <si>
    <t>I.S.R.</t>
  </si>
  <si>
    <t>T A R I F A</t>
  </si>
  <si>
    <t>Limite</t>
  </si>
  <si>
    <t>Inferior</t>
  </si>
  <si>
    <t>Cuota</t>
  </si>
  <si>
    <t>Fija</t>
  </si>
  <si>
    <t>S/Excedente</t>
  </si>
  <si>
    <t>De.......A</t>
  </si>
  <si>
    <t>Credito al</t>
  </si>
  <si>
    <t>Salario</t>
  </si>
  <si>
    <t>NOTA:</t>
  </si>
  <si>
    <t>Num.</t>
  </si>
  <si>
    <t>Nombre</t>
  </si>
  <si>
    <t>Dias</t>
  </si>
  <si>
    <t>Trab.</t>
  </si>
  <si>
    <t>diario</t>
  </si>
  <si>
    <t>Horas</t>
  </si>
  <si>
    <t>Extras</t>
  </si>
  <si>
    <t>total</t>
  </si>
  <si>
    <t>Percepcion</t>
  </si>
  <si>
    <t>Credito</t>
  </si>
  <si>
    <t>Al</t>
  </si>
  <si>
    <t>Base</t>
  </si>
  <si>
    <t>Gravable</t>
  </si>
  <si>
    <t>Excedente</t>
  </si>
  <si>
    <t>Limite Inf.</t>
  </si>
  <si>
    <t>%/S exced.</t>
  </si>
  <si>
    <t>Impuesto</t>
  </si>
  <si>
    <t>Marginal</t>
  </si>
  <si>
    <t>Bruto</t>
  </si>
  <si>
    <t xml:space="preserve">Al </t>
  </si>
  <si>
    <t>a Cargo</t>
  </si>
  <si>
    <r>
      <t>o</t>
    </r>
    <r>
      <rPr>
        <b/>
        <sz val="8"/>
        <color indexed="10"/>
        <rFont val="Arial"/>
        <family val="2"/>
      </rPr>
      <t xml:space="preserve"> (A Favor)</t>
    </r>
  </si>
  <si>
    <t>Gravadas</t>
  </si>
  <si>
    <t>Deduc.</t>
  </si>
  <si>
    <t>T O T A L E S</t>
  </si>
  <si>
    <t>CONVERSION DE TABLAS A QUINCENALES</t>
  </si>
  <si>
    <t>Quincenal</t>
  </si>
  <si>
    <t>TABLAS DE TARIFA Y CREDITO AL SALARIO PARA CALCULO DE I.S.P.T.</t>
  </si>
  <si>
    <t>SUBSIDO AL EMPLEO</t>
  </si>
  <si>
    <t>MENSUAL</t>
  </si>
  <si>
    <t>Subsidio al</t>
  </si>
  <si>
    <t>Empleo</t>
  </si>
  <si>
    <t>Subsidio</t>
  </si>
  <si>
    <t>SUBSIDIO AL</t>
  </si>
  <si>
    <t>EMPLEO</t>
  </si>
  <si>
    <t>NOMBRE DE LA EMPRESA</t>
  </si>
  <si>
    <t>Prestamo</t>
  </si>
  <si>
    <t>F   I   R   M   A</t>
  </si>
  <si>
    <t>TIEMPO</t>
  </si>
  <si>
    <t>EXTRA</t>
  </si>
  <si>
    <t>SALA DE REGIDORES</t>
  </si>
  <si>
    <t>PUESTO</t>
  </si>
  <si>
    <t>PRESIDENCIA</t>
  </si>
  <si>
    <t>SECRETARIA</t>
  </si>
  <si>
    <t>RFC MSC 850101 FR1</t>
  </si>
  <si>
    <t>MARIA GUADALUPE PEREZ LLAMAS</t>
  </si>
  <si>
    <t>DIRECTOR</t>
  </si>
  <si>
    <t>CHOFER CAMION VOLTEO</t>
  </si>
  <si>
    <t>OBRAS PUBLICAS</t>
  </si>
  <si>
    <t>SERVICIOS PUBLICOS</t>
  </si>
  <si>
    <t>EVERARDO RODRIGUEZ ARTEAGA</t>
  </si>
  <si>
    <t>ELECTRICISTA</t>
  </si>
  <si>
    <t>SINDICATURA</t>
  </si>
  <si>
    <t>R E G I D O R</t>
  </si>
  <si>
    <t>JURIDICO</t>
  </si>
  <si>
    <t>MUNICIPIO DE : SAN CRISTÒBAL DE LA BARRANCA, JALISCO</t>
  </si>
  <si>
    <t>MUNICIPIO DE : SAN CRISTÒBAL DE LA BARRANCA,JALISCO</t>
  </si>
  <si>
    <t>COMANDANTE</t>
  </si>
  <si>
    <t>POLICIA DE LINEA</t>
  </si>
  <si>
    <t>LORENZO FLORES VAZQUEZ</t>
  </si>
  <si>
    <t>1</t>
  </si>
  <si>
    <t>2</t>
  </si>
  <si>
    <t>3</t>
  </si>
  <si>
    <t>4</t>
  </si>
  <si>
    <t>5</t>
  </si>
  <si>
    <t>6</t>
  </si>
  <si>
    <t>7</t>
  </si>
  <si>
    <t>8</t>
  </si>
  <si>
    <t>9</t>
  </si>
  <si>
    <t>JULIAN URZUA AVILA</t>
  </si>
  <si>
    <t>DIRECTORA DEL INSTITUTO MUNICIPAL DE LA MUJER</t>
  </si>
  <si>
    <t>Núm de Empleado</t>
  </si>
  <si>
    <t>RFC</t>
  </si>
  <si>
    <t>AFANADOR PARQUE LA ISLA</t>
  </si>
  <si>
    <t>052</t>
  </si>
  <si>
    <t>ROAE8305268D9</t>
  </si>
  <si>
    <t>088</t>
  </si>
  <si>
    <t>N°</t>
  </si>
  <si>
    <t>007</t>
  </si>
  <si>
    <t>PELG8902233V7</t>
  </si>
  <si>
    <t>HACIENDA PÚBLICA MPAL</t>
  </si>
  <si>
    <t>111</t>
  </si>
  <si>
    <t>UUAJ620306516</t>
  </si>
  <si>
    <t>FOVL7103088Q9</t>
  </si>
  <si>
    <t>SEGURIDAD PÚLICA</t>
  </si>
  <si>
    <t>03</t>
  </si>
  <si>
    <t>FORMA DE PAGO</t>
  </si>
  <si>
    <t xml:space="preserve">CHOFER </t>
  </si>
  <si>
    <t>REGISTRO CIVIL</t>
  </si>
  <si>
    <t>CATASTRO MUNICIPAL</t>
  </si>
  <si>
    <t>AGUA POTABLE</t>
  </si>
  <si>
    <t>Forma de Pago</t>
  </si>
  <si>
    <r>
      <t>o</t>
    </r>
    <r>
      <rPr>
        <b/>
        <sz val="9"/>
        <color indexed="10"/>
        <rFont val="Arial"/>
        <family val="2"/>
      </rPr>
      <t xml:space="preserve"> (A Favor)</t>
    </r>
  </si>
  <si>
    <t>PROTECCIÓN CIVIL</t>
  </si>
  <si>
    <t>INSTITUTO MUNICIPAL DE LA MUJER</t>
  </si>
  <si>
    <r>
      <t>o</t>
    </r>
    <r>
      <rPr>
        <sz val="10"/>
        <color indexed="10"/>
        <rFont val="Arial"/>
        <family val="2"/>
      </rPr>
      <t xml:space="preserve"> (A Favor)</t>
    </r>
  </si>
  <si>
    <t>MARCO ANTONIO IBARRA RODRIGUEZ</t>
  </si>
  <si>
    <t>141</t>
  </si>
  <si>
    <t>IARM881208T31</t>
  </si>
  <si>
    <t>SAUL CASTRO CASTAÑEDA</t>
  </si>
  <si>
    <t>PARAMÉDICO</t>
  </si>
  <si>
    <t>CHOFER AMBULANCIA</t>
  </si>
  <si>
    <t>SERVICIOS MÉDICOS MUNICIPALES</t>
  </si>
  <si>
    <t>153</t>
  </si>
  <si>
    <t>CACS7103203Q9</t>
  </si>
  <si>
    <t>FRED DE JESUS VILLALOBOS CASTILLO</t>
  </si>
  <si>
    <t>AUXILIAR DISTRIBUCIÓN DE AGUA POTABLE</t>
  </si>
  <si>
    <t>JOSE MAGDALENO CASTRO AVELAR</t>
  </si>
  <si>
    <t>RASTRO</t>
  </si>
  <si>
    <t>PROYECTOS PRODUCTIVOS</t>
  </si>
  <si>
    <t>EDUARDO CASILLAS SOLIS</t>
  </si>
  <si>
    <t>VICF940917FW7</t>
  </si>
  <si>
    <t>CAAM750115HV3</t>
  </si>
  <si>
    <t>CASE8710163P8</t>
  </si>
  <si>
    <t>158</t>
  </si>
  <si>
    <t>168</t>
  </si>
  <si>
    <t>173</t>
  </si>
  <si>
    <t>JORGE CASTRO SANDOVAL</t>
  </si>
  <si>
    <t>DAVID CASTRO RAMIREZ</t>
  </si>
  <si>
    <t>CHOFER DE ASEO PUBLICO</t>
  </si>
  <si>
    <t>SANTIAGO SOLIS CASILLAS</t>
  </si>
  <si>
    <t>CARD630626GL5</t>
  </si>
  <si>
    <t>SOCS710314EB3</t>
  </si>
  <si>
    <t>195</t>
  </si>
  <si>
    <t>198</t>
  </si>
  <si>
    <t>SERGIO ARCINIEGA PERESCHICA</t>
  </si>
  <si>
    <t>AIPS720724KB4</t>
  </si>
  <si>
    <t>210</t>
  </si>
  <si>
    <t>MARIO AVILA AVILA</t>
  </si>
  <si>
    <t>AIAM870428GG7</t>
  </si>
  <si>
    <t>220</t>
  </si>
  <si>
    <t>226</t>
  </si>
  <si>
    <t>HERIBERTA AVILA VEGA</t>
  </si>
  <si>
    <t>AIVH7703037R6</t>
  </si>
  <si>
    <t>248</t>
  </si>
  <si>
    <t>GILBERTO CASTRO BALTIERRA</t>
  </si>
  <si>
    <t>CABG900204C29</t>
  </si>
  <si>
    <t>EMILIA RAMIREZ CASTRO</t>
  </si>
  <si>
    <t>RACE731012RZ4</t>
  </si>
  <si>
    <t>251</t>
  </si>
  <si>
    <t xml:space="preserve">SALARIO MINIMO GENERAL </t>
  </si>
  <si>
    <t>UMA</t>
  </si>
  <si>
    <t>DIAS</t>
  </si>
  <si>
    <t xml:space="preserve"> Descuentos</t>
  </si>
  <si>
    <t>PRESIDENTE MUNICIPAL</t>
  </si>
  <si>
    <t xml:space="preserve">SECRETARIO GENERAL </t>
  </si>
  <si>
    <t>170</t>
  </si>
  <si>
    <t>CARLOS ADRIAN AVILA LLAMAS</t>
  </si>
  <si>
    <t>AILC9808299Q6</t>
  </si>
  <si>
    <r>
      <t>o</t>
    </r>
    <r>
      <rPr>
        <b/>
        <sz val="12"/>
        <color indexed="10"/>
        <rFont val="Arial"/>
        <family val="2"/>
      </rPr>
      <t xml:space="preserve"> (A Favor)</t>
    </r>
  </si>
  <si>
    <t>ENCARGADO DE LA HACIENDA MUNICIPAL</t>
  </si>
  <si>
    <t>270</t>
  </si>
  <si>
    <t>271</t>
  </si>
  <si>
    <t>ROSA ESMERALDA SANDOVAL MACHUCA</t>
  </si>
  <si>
    <t>SAMR9804042T6</t>
  </si>
  <si>
    <t>MARGARITA SOLIS CASILLAS</t>
  </si>
  <si>
    <t>SOCM780618J44</t>
  </si>
  <si>
    <t>VICTORIANO SANDOVAL FLORES</t>
  </si>
  <si>
    <t>SAFV890702G75</t>
  </si>
  <si>
    <t xml:space="preserve">                              TESORERO ENC. DE LA HACIENDA MPAL.</t>
  </si>
  <si>
    <t xml:space="preserve">                  TESORERO ENC. DE LA HACIENDA MPAL.</t>
  </si>
  <si>
    <t xml:space="preserve">                    TESORERO ENC. DE LA HACIENDA MPAL.</t>
  </si>
  <si>
    <t>AFANADORA PRESIDENCIA MUNICIPAL</t>
  </si>
  <si>
    <t xml:space="preserve">                       TESORERO ENC. DE LA HACIENDA MPAL.</t>
  </si>
  <si>
    <t xml:space="preserve">                           TESORERO ENC. DE LA HACIENDA MPAL.</t>
  </si>
  <si>
    <t xml:space="preserve">              TESORERO ENC. DE LA HACIENDA MPAL.</t>
  </si>
  <si>
    <t>136</t>
  </si>
  <si>
    <t xml:space="preserve">                          TESORERO ENC. DE LA HACIENDA MPAL.</t>
  </si>
  <si>
    <t>SINDICO MUNICIPAL</t>
  </si>
  <si>
    <t>CURP</t>
  </si>
  <si>
    <t>PELG890223MJCRLD06</t>
  </si>
  <si>
    <t>ROAE830526HJCDRV07</t>
  </si>
  <si>
    <t>FOVL710308HHGLZR08</t>
  </si>
  <si>
    <t>UUAJ620306HJCRVL01</t>
  </si>
  <si>
    <t>SOCM780618MJCLSR05</t>
  </si>
  <si>
    <t>IARM881208HZSBDR03</t>
  </si>
  <si>
    <t>CACS710320HJCSSL08</t>
  </si>
  <si>
    <t>VICF940917HJCLSR05</t>
  </si>
  <si>
    <t>CAAM750115HJCSVG03</t>
  </si>
  <si>
    <t>AILC980829HJCVLR00</t>
  </si>
  <si>
    <t>CASE871016HJCSLD02</t>
  </si>
  <si>
    <t>SOCS710314HJCLSN05</t>
  </si>
  <si>
    <t>CARD630626HJCSMV08</t>
  </si>
  <si>
    <t>AIPS720724HJCRRR09</t>
  </si>
  <si>
    <t>AIAM870428HJCVVR02</t>
  </si>
  <si>
    <t>AIVH770303MJCVGR09</t>
  </si>
  <si>
    <t>CABG900204HJCSLL01</t>
  </si>
  <si>
    <t>RACE731012MJCMSM04</t>
  </si>
  <si>
    <t>SAMR980404MJCNCS05</t>
  </si>
  <si>
    <t>SAFV890702HJCNLC08</t>
  </si>
  <si>
    <t xml:space="preserve">                             TESORERO ENC. DE LA HACIENDA MPAL.</t>
  </si>
  <si>
    <t>SUPERVISOR DE TURNO</t>
  </si>
  <si>
    <t>296</t>
  </si>
  <si>
    <t>RAMIRO CASTRO HORTA</t>
  </si>
  <si>
    <t>CAHR900320NQ0</t>
  </si>
  <si>
    <t>CAHR900320HJCSRN09</t>
  </si>
  <si>
    <t>BAFJ64022457A</t>
  </si>
  <si>
    <t>BAFJ640224HJCLRS16</t>
  </si>
  <si>
    <t>JOSE BLANCO FRIAS</t>
  </si>
  <si>
    <t>MECANICO MUNICIPAL</t>
  </si>
  <si>
    <t>032</t>
  </si>
  <si>
    <t>298</t>
  </si>
  <si>
    <t>AUXILIAR DEL REGISTRO CIVIL</t>
  </si>
  <si>
    <t>ANGELBERTO CASILLAS SOLIS</t>
  </si>
  <si>
    <t>CASA730128UJ7</t>
  </si>
  <si>
    <t>CASA730128HJCSLN01</t>
  </si>
  <si>
    <t>CULTURA</t>
  </si>
  <si>
    <t>ISR Salarios</t>
  </si>
  <si>
    <t>FEHA DE INGRESO</t>
  </si>
  <si>
    <t>FECHA DE INGRESO</t>
  </si>
  <si>
    <t>CARG920319CA1</t>
  </si>
  <si>
    <t>113</t>
  </si>
  <si>
    <t>MA. GUADALUPE CASTRO RAMIREZ</t>
  </si>
  <si>
    <t>CARG920319MJCSMD07</t>
  </si>
  <si>
    <t>318</t>
  </si>
  <si>
    <t>PEDRO RAMIREZ CONTRERAS</t>
  </si>
  <si>
    <t>RACP571107NX8</t>
  </si>
  <si>
    <t>RACP571107HJCMNS05</t>
  </si>
  <si>
    <t>323</t>
  </si>
  <si>
    <t>PATSY JANETH GARCIA CONTRERAS</t>
  </si>
  <si>
    <t>GACP870318ECA</t>
  </si>
  <si>
    <t>GACP870318MVZRNT04</t>
  </si>
  <si>
    <t>326</t>
  </si>
  <si>
    <t>TURISMO</t>
  </si>
  <si>
    <t>LUZ MARIA GARCIA LOPEZ</t>
  </si>
  <si>
    <t>GALL760906NQ1</t>
  </si>
  <si>
    <t>GALL760906MJCRPZ09</t>
  </si>
  <si>
    <t>AFANADOR UNIDAD DEPORTIVA</t>
  </si>
  <si>
    <t>J JESUS PEREZ RODRIGUEZ</t>
  </si>
  <si>
    <t>027</t>
  </si>
  <si>
    <t>PERJ580103KC6</t>
  </si>
  <si>
    <t>PERJ580103HJCRDS17</t>
  </si>
  <si>
    <t>HORTENCIA SANDOVAL GONZALEZ</t>
  </si>
  <si>
    <t>SAGH920520275</t>
  </si>
  <si>
    <t>SAGH920520MJCNNR08</t>
  </si>
  <si>
    <t>327</t>
  </si>
  <si>
    <t>335</t>
  </si>
  <si>
    <t>LUIS ENRIQUE GARCIA PEREZ</t>
  </si>
  <si>
    <t>GAPL911031163</t>
  </si>
  <si>
    <t>GAPL911031HHGRRS01</t>
  </si>
  <si>
    <t>336</t>
  </si>
  <si>
    <t>LAURA AZUCENA AVILA ORTEGA</t>
  </si>
  <si>
    <t>AIOL8510192M4</t>
  </si>
  <si>
    <t>AIOL851019MCVRR02</t>
  </si>
  <si>
    <t>342</t>
  </si>
  <si>
    <t>ELPIDIA VEGA RENTERIA</t>
  </si>
  <si>
    <t>VERE950508M25GNL03</t>
  </si>
  <si>
    <t>SUELDO  DEL 01 AL 15 DE OCTUBRE DE 2023</t>
  </si>
  <si>
    <t>VERE950508GB2</t>
  </si>
  <si>
    <t>245</t>
  </si>
  <si>
    <t>DAVID CASTRO AVILA</t>
  </si>
  <si>
    <t>CAAD880427EC1</t>
  </si>
  <si>
    <t>CAAD880427HZSSVV05</t>
  </si>
  <si>
    <t>344</t>
  </si>
  <si>
    <t>MECA970101512</t>
  </si>
  <si>
    <t>MECA970101HNTRHN03</t>
  </si>
  <si>
    <t>JOSE ANTONIO MERCADO CHAMORRO</t>
  </si>
  <si>
    <t xml:space="preserve"> </t>
  </si>
  <si>
    <t>347</t>
  </si>
  <si>
    <t>LUIS RICARDO ALVAREZ CARRILLO</t>
  </si>
  <si>
    <t>AACL880412AB8</t>
  </si>
  <si>
    <t>AACL880412HJCLRS00</t>
  </si>
  <si>
    <t>348</t>
  </si>
  <si>
    <t>MARCO DAMIAN ORTIZ ALVAREZ</t>
  </si>
  <si>
    <t>OIAM010904JQ7</t>
  </si>
  <si>
    <t>OIAM010904HJCRLRA7</t>
  </si>
  <si>
    <t>349</t>
  </si>
  <si>
    <t>PAVM920430D21</t>
  </si>
  <si>
    <t>PAVM920430HJCLLG06</t>
  </si>
  <si>
    <t>350</t>
  </si>
  <si>
    <t>PAVK981111IE6</t>
  </si>
  <si>
    <t>PAVK981111MJCLLR04</t>
  </si>
  <si>
    <t>351</t>
  </si>
  <si>
    <t>AACS920605825</t>
  </si>
  <si>
    <t>AACS920605MZSLRN02</t>
  </si>
  <si>
    <t>MARIA VIRGINIA ESPARZA REYNOSO</t>
  </si>
  <si>
    <t>EARV8111118S8</t>
  </si>
  <si>
    <t>EARV811111MJCSYR03</t>
  </si>
  <si>
    <t>SE APLICARON CAMBIOS EN SUBSIDIO AL EMPLEO POR DECRETO PRESIDENCIAL DEL 01 MAY 2024</t>
  </si>
  <si>
    <t>356</t>
  </si>
  <si>
    <t>LEONARDO HERNANDEZ HERNADEZ</t>
  </si>
  <si>
    <t>HEHL7708068N9</t>
  </si>
  <si>
    <t>HEHL770806HSPRRN02</t>
  </si>
  <si>
    <t>MUNICIPIO DE: SAN CRISTÓBAL DE LA BARRANCA, JALISCO</t>
  </si>
  <si>
    <t>RFC MSC850101FR1</t>
  </si>
  <si>
    <t>359</t>
  </si>
  <si>
    <t>FRANCISCO DANIEL DE LEON BAÑUELOS</t>
  </si>
  <si>
    <t>LEBF000322HJCNXRA6</t>
  </si>
  <si>
    <t>COMPUTO E INFÓRMATICA</t>
  </si>
  <si>
    <t>OOVL880419UZ9</t>
  </si>
  <si>
    <t>OOVL880419MJCRLD03</t>
  </si>
  <si>
    <t>AUXILIAR DE COMPUTACION</t>
  </si>
  <si>
    <t>LEBF000322B94</t>
  </si>
  <si>
    <t>360</t>
  </si>
  <si>
    <t>ENRIQUE CASTRO CASTRO</t>
  </si>
  <si>
    <t>CACE181220RTA</t>
  </si>
  <si>
    <t>CACE001218HJCSSNA5</t>
  </si>
  <si>
    <t>AUXILIAR</t>
  </si>
  <si>
    <t>366</t>
  </si>
  <si>
    <t>HECTOR ALEJANDRO VILLALOBOS GARCIA</t>
  </si>
  <si>
    <t>VIGH0107213X9</t>
  </si>
  <si>
    <t>VIGH010721HJCLRCA4</t>
  </si>
  <si>
    <t>367</t>
  </si>
  <si>
    <t>GERMAN FLORES VEGA</t>
  </si>
  <si>
    <t>FOVG991130U73</t>
  </si>
  <si>
    <t>FOVG991130HJCLGR03</t>
  </si>
  <si>
    <t>KARINA GUZMAN CARDONA</t>
  </si>
  <si>
    <t>GUCK940424FP5</t>
  </si>
  <si>
    <t>378</t>
  </si>
  <si>
    <t>GUCK940424MJCZRR08</t>
  </si>
  <si>
    <t>013</t>
  </si>
  <si>
    <t>YADIRA SARAY OROZCO VILLALOBOS</t>
  </si>
  <si>
    <t>OOVY861212GH1</t>
  </si>
  <si>
    <t>OOVY861212MJCRLD02</t>
  </si>
  <si>
    <t>384</t>
  </si>
  <si>
    <t>AUXILIAR  DE BIBLIOTECA MUNICIPAL</t>
  </si>
  <si>
    <t>TATIANA ESTEPHANY GONZALEZ CASTRO</t>
  </si>
  <si>
    <t>GOCT960620MJCNST03</t>
  </si>
  <si>
    <t>379</t>
  </si>
  <si>
    <t>AFANADORA DE LA PLAZA PRINCIPAL</t>
  </si>
  <si>
    <t>J GUADALUPE IBARRA RODRIGUEZ</t>
  </si>
  <si>
    <t>DIRECTOR DEL RASTRO</t>
  </si>
  <si>
    <t>GABRIELA CASTRO RAMIREZ</t>
  </si>
  <si>
    <t>CARG9002271P5</t>
  </si>
  <si>
    <t>CARG900227MJCSMB16</t>
  </si>
  <si>
    <t>375</t>
  </si>
  <si>
    <t>MAURICIO CASTRO CASTRO</t>
  </si>
  <si>
    <t>370</t>
  </si>
  <si>
    <t>CACM851016JW3</t>
  </si>
  <si>
    <t>CACM851016HJCSSR03</t>
  </si>
  <si>
    <t>369</t>
  </si>
  <si>
    <t>IARG6001143M1</t>
  </si>
  <si>
    <t>IARG600114HJCBDD00</t>
  </si>
  <si>
    <t>DEPORTE</t>
  </si>
  <si>
    <t>299</t>
  </si>
  <si>
    <t>JORGE ALBERTO CASTRO RODRIGUEZ</t>
  </si>
  <si>
    <t>CARJ880410LP2</t>
  </si>
  <si>
    <t>CARJ880410HJCSDR09</t>
  </si>
  <si>
    <t>386</t>
  </si>
  <si>
    <t>EFRAIN RAMIREZ CASTRO</t>
  </si>
  <si>
    <t>RACE671101261</t>
  </si>
  <si>
    <t>RACE671101HJCMSF05</t>
  </si>
  <si>
    <t>MARÍA DE LOURDES ALVARADO CONTRERAS</t>
  </si>
  <si>
    <t>JUAN JOSÉ MARIZCAL FLORES</t>
  </si>
  <si>
    <t xml:space="preserve">FIDEL FLORES RODRÍGUEZ </t>
  </si>
  <si>
    <t>LOIDA MARÍA OROZCO VILLALOBOS</t>
  </si>
  <si>
    <t>FORF900218HR9</t>
  </si>
  <si>
    <t>FORF900218HJCLDD05</t>
  </si>
  <si>
    <t>MAFJ820903QI2</t>
  </si>
  <si>
    <t>MAFJ820903HJCRLN01</t>
  </si>
  <si>
    <t>MARIA DE JESUS FLORES CASTRO</t>
  </si>
  <si>
    <t>046</t>
  </si>
  <si>
    <t>FOCJ85091119A</t>
  </si>
  <si>
    <t>FOCJ850911MJCLSS04</t>
  </si>
  <si>
    <t>147</t>
  </si>
  <si>
    <t>JOSÉ DE JESÚS VALENCIA CERROS</t>
  </si>
  <si>
    <t>ALDO JOSUE RUIZ GONZALEZ</t>
  </si>
  <si>
    <t>RUGA920901MA1</t>
  </si>
  <si>
    <t>RUGA920901HJCZNL07</t>
  </si>
  <si>
    <t>MARIA ABRIL SANCHEZ CHAVEZ</t>
  </si>
  <si>
    <t>JOSÉ LÓPEZ CASTRO</t>
  </si>
  <si>
    <t>VACJ89121139A</t>
  </si>
  <si>
    <t>VACJ891211HJCLRS00</t>
  </si>
  <si>
    <t>MARÍA GUADALUPE RODRÍGUEZ AVELAR</t>
  </si>
  <si>
    <t>381</t>
  </si>
  <si>
    <t>372</t>
  </si>
  <si>
    <t>380</t>
  </si>
  <si>
    <t>385</t>
  </si>
  <si>
    <t>AACL931230CDA</t>
  </si>
  <si>
    <t>AACL931230MJCLNR02</t>
  </si>
  <si>
    <t>096</t>
  </si>
  <si>
    <t>ROAG890304MJCDVD00</t>
  </si>
  <si>
    <t>387</t>
  </si>
  <si>
    <t>388</t>
  </si>
  <si>
    <t>SACA810413MJCNHB03</t>
  </si>
  <si>
    <t>LOCJ781215QJ3</t>
  </si>
  <si>
    <t>LOCJ781215HJCPSS05</t>
  </si>
  <si>
    <t>ROAG890304HN1</t>
  </si>
  <si>
    <t>02</t>
  </si>
  <si>
    <t>GOCT960620IJ3</t>
  </si>
  <si>
    <t xml:space="preserve">                                          LIC. KARINA GUZMAN CARDONA</t>
  </si>
  <si>
    <t>JUZGADO MUNICIPAL</t>
  </si>
  <si>
    <t xml:space="preserve">JUEZ MUNICIPAL </t>
  </si>
  <si>
    <t>PCH941018MU7</t>
  </si>
  <si>
    <t>PECH941018HJCRRR08</t>
  </si>
  <si>
    <t>190</t>
  </si>
  <si>
    <t>ABRAHAM ANCO GARCIA</t>
  </si>
  <si>
    <t>AOGA8509167A4</t>
  </si>
  <si>
    <t>AOGA850916HJCNRB08</t>
  </si>
  <si>
    <t>SANDRA MARYEL ALVAREZ CARRILLO</t>
  </si>
  <si>
    <t>MIGUEL ANGEL PLASCENCIA VILLEGAS</t>
  </si>
  <si>
    <t>KARINA PLASCENCIA VILLEGAS</t>
  </si>
  <si>
    <t>393</t>
  </si>
  <si>
    <t xml:space="preserve">                                                PRESIDENTA MUNICIPAL </t>
  </si>
  <si>
    <t xml:space="preserve">                                                PRESIDENTA MUNICIPAL</t>
  </si>
  <si>
    <t>261</t>
  </si>
  <si>
    <t>ERIDANI OROZCO VILLALOBOS</t>
  </si>
  <si>
    <t>OOVE840411MK4</t>
  </si>
  <si>
    <t>OOVE840411MJCRLR07</t>
  </si>
  <si>
    <t>SACA8104131B5</t>
  </si>
  <si>
    <t>ARACELI AVELAR VALDEZ</t>
  </si>
  <si>
    <t>AEVA930930QJ2</t>
  </si>
  <si>
    <t>AEVA930930MJCVLR07</t>
  </si>
  <si>
    <t>EDUCACIÓN</t>
  </si>
  <si>
    <t>HERIBERTO PEREZ CRUZ</t>
  </si>
  <si>
    <t>OPERADOR EXCAVADORA</t>
  </si>
  <si>
    <t>AUXILIAR DE OPERADOR</t>
  </si>
  <si>
    <t>AUXILIAR OBRAS PÚBLICAS</t>
  </si>
  <si>
    <t>AUXILIAR DE ASEO PUBLICO</t>
  </si>
  <si>
    <t>AFANADOR PANTEÓN MUNICIPAL</t>
  </si>
  <si>
    <t>BODEGUERO</t>
  </si>
  <si>
    <t xml:space="preserve">ALBAÑIL Y FONTANERO </t>
  </si>
  <si>
    <t>191</t>
  </si>
  <si>
    <t>402</t>
  </si>
  <si>
    <t>MARIO ERNESTO AVILA HERRERA</t>
  </si>
  <si>
    <t>AIHM9301091E4</t>
  </si>
  <si>
    <t>AIHM930109HJCVRR08</t>
  </si>
  <si>
    <t>IMELDA AVELAR GARCIA</t>
  </si>
  <si>
    <t>AEIG730513K85</t>
  </si>
  <si>
    <t>AEGI730513MJCVRM08</t>
  </si>
  <si>
    <t>AFANADORA</t>
  </si>
  <si>
    <t>TRANSPARENCIA</t>
  </si>
  <si>
    <t>CIPRIANO JOSE DE JESUS BALADRAN ALVARADO</t>
  </si>
  <si>
    <t>BAAC950909HZSLLP10</t>
  </si>
  <si>
    <t>ALEJANDRO LOPEZ AVILA</t>
  </si>
  <si>
    <t>LOAA8106039Y4</t>
  </si>
  <si>
    <t>LOAA810603HJCPVL15</t>
  </si>
  <si>
    <t>407</t>
  </si>
  <si>
    <t>408</t>
  </si>
  <si>
    <t>MECG030503QW9</t>
  </si>
  <si>
    <t>MECG030503HJCNRLA2</t>
  </si>
  <si>
    <t>410</t>
  </si>
  <si>
    <t>GUILLEN DE LAMPORT MENDOZA CRUZ</t>
  </si>
  <si>
    <t>BAAC95090985A</t>
  </si>
  <si>
    <t>412</t>
  </si>
  <si>
    <t>413</t>
  </si>
  <si>
    <t>MARIA LETICIA SANDOVAL SOTO</t>
  </si>
  <si>
    <t>SASL921030NT2</t>
  </si>
  <si>
    <t>SASL921030MJCNTT09</t>
  </si>
  <si>
    <t>ESTEBAN AGUAYO CASTRO</t>
  </si>
  <si>
    <t>AUCE9304272R9</t>
  </si>
  <si>
    <t>AUCE930427HJCGSS05</t>
  </si>
  <si>
    <t>415</t>
  </si>
  <si>
    <t>PRUDENCIO BALTIERRA ESPINOZA</t>
  </si>
  <si>
    <t>BAEP730428LL0</t>
  </si>
  <si>
    <t>BAEP730428HJCLSR09</t>
  </si>
  <si>
    <t>416</t>
  </si>
  <si>
    <t>DAVID GALVEZ ALVARADO</t>
  </si>
  <si>
    <t>GAAD7002191Y2</t>
  </si>
  <si>
    <t>GAAD700219HJCLLV00</t>
  </si>
  <si>
    <t>417</t>
  </si>
  <si>
    <t>418</t>
  </si>
  <si>
    <t>419</t>
  </si>
  <si>
    <t>ALENJANDRO CASTRO PEREZ</t>
  </si>
  <si>
    <t>CAPA890501LI7</t>
  </si>
  <si>
    <t>CAPA890501HJCSRL04</t>
  </si>
  <si>
    <t>LUIS GERARDO GONZALEZ JIMENEZ</t>
  </si>
  <si>
    <t>GOJL960401MD1</t>
  </si>
  <si>
    <t>GOJL960401HJCNMS00</t>
  </si>
  <si>
    <t>CARLOS ANTONIO CASTRO PEREZ</t>
  </si>
  <si>
    <t>CAPC981029TP1</t>
  </si>
  <si>
    <t>CAPC981029HJCSRR03</t>
  </si>
  <si>
    <t>420</t>
  </si>
  <si>
    <t>FELIPE IBARRA CASTRO</t>
  </si>
  <si>
    <t>IACF7405269Q4</t>
  </si>
  <si>
    <t>IACF740526HJCBSL05</t>
  </si>
  <si>
    <t>272</t>
  </si>
  <si>
    <t>EFRAIN ROBLES FLORES</t>
  </si>
  <si>
    <t>ROFE870509J60</t>
  </si>
  <si>
    <t>ROFE870509HDGBLF05</t>
  </si>
  <si>
    <t>DIRECTORA DE TURISMO, CULTURA Y FOMENTO ARTESANAL</t>
  </si>
  <si>
    <t>MARIA GUADALUPE BAÑUELOS RAMIREZ</t>
  </si>
  <si>
    <t>421</t>
  </si>
  <si>
    <t>BARG880329217</t>
  </si>
  <si>
    <t>BARG880329MJCXMD06</t>
  </si>
  <si>
    <t>RICARDO MARIZCAL REYNOSO</t>
  </si>
  <si>
    <t>MARR820114HJCRYC04</t>
  </si>
  <si>
    <t>MARR820114RC4</t>
  </si>
  <si>
    <t>425</t>
  </si>
  <si>
    <t>CRISTIAN ALEJANDRO PEREZ RAMIREZ</t>
  </si>
  <si>
    <t>PERC9302173N5</t>
  </si>
  <si>
    <t>PERC930217HJCRMR03</t>
  </si>
  <si>
    <t>426</t>
  </si>
  <si>
    <t>LUIS CESAR GOMEZ CASTRO</t>
  </si>
  <si>
    <t>GOCL070702QI5</t>
  </si>
  <si>
    <t>GOCL070702HJCMSSA0</t>
  </si>
  <si>
    <t>MATANCERO</t>
  </si>
  <si>
    <t>CONTRALORIA MUNICIPAL</t>
  </si>
  <si>
    <t>428</t>
  </si>
  <si>
    <t>BRAULIO ANTONIO DE LEON BAÑUELOS</t>
  </si>
  <si>
    <t>LEBB040506JMA</t>
  </si>
  <si>
    <t>LEBB040506HJCNXRA6</t>
  </si>
  <si>
    <t>429</t>
  </si>
  <si>
    <t>VAVA990314UL5</t>
  </si>
  <si>
    <t>VAVA990314HJCZGN06</t>
  </si>
  <si>
    <t>395</t>
  </si>
  <si>
    <t>JOSE RIVERA FLORES</t>
  </si>
  <si>
    <t>RIFJ771230D57</t>
  </si>
  <si>
    <t>RIFJ771230HJCVLS00</t>
  </si>
  <si>
    <t>FRANCISCO JAVIER CASTRO ULLOA</t>
  </si>
  <si>
    <t>CAUF070427CV5</t>
  </si>
  <si>
    <t>CAUF070427HJCSLRA1</t>
  </si>
  <si>
    <t>ANTONIO DE JESUS VAZQUEZ VEGA</t>
  </si>
  <si>
    <t>430</t>
  </si>
  <si>
    <t>431</t>
  </si>
  <si>
    <t>LUIS DANIEL RESENDEZ SALAZAR</t>
  </si>
  <si>
    <t>RESL930622D49</t>
  </si>
  <si>
    <t>RESL930622HZSSLS02</t>
  </si>
  <si>
    <t>432</t>
  </si>
  <si>
    <t>JANETH DEL CARMEN VALENZUELA MONTOYA</t>
  </si>
  <si>
    <t>VAMJ870716MJCLNN06</t>
  </si>
  <si>
    <t>VAMJ870716KV7</t>
  </si>
  <si>
    <t>433</t>
  </si>
  <si>
    <t>MYRIAM ALONDRA MURILLO RAMIREZ</t>
  </si>
  <si>
    <t>MURM981221VC3</t>
  </si>
  <si>
    <t>MURM951221MJCRMY01</t>
  </si>
  <si>
    <t>MÉDICO VETERINARIO ZOOTECNISTA</t>
  </si>
  <si>
    <t>COORDINADOR DE MAQUINARIA Y ALMACEN MUNICIPAL</t>
  </si>
  <si>
    <t>435</t>
  </si>
  <si>
    <t>JOSE ACUÑA RUIZ</t>
  </si>
  <si>
    <t>AURJ821018HI2</t>
  </si>
  <si>
    <t>AURJ821018HZSCZS05</t>
  </si>
  <si>
    <t xml:space="preserve">                               MTRO. JOSÉ ACUÑA RUIZ</t>
  </si>
  <si>
    <t xml:space="preserve">                  MTRO. JOSÉ ACUÑA RUIZ</t>
  </si>
  <si>
    <t xml:space="preserve">                                       MTRO. JOSÉ ACUÑA RUIZ</t>
  </si>
  <si>
    <t xml:space="preserve">                                    MTRO. JOSÉ ACUÑA RUIZ</t>
  </si>
  <si>
    <t xml:space="preserve">                                            MTRO. JOSÉ ACUÑA RUIZ</t>
  </si>
  <si>
    <t xml:space="preserve">                                             MTRO. JOSÉ ACUÑA RUIZ</t>
  </si>
  <si>
    <t xml:space="preserve">                                MTRO. JOSÉ ACUÑA RUIZ</t>
  </si>
  <si>
    <t xml:space="preserve">                                         MTRO. JOSÉ ACUÑA RUIZ</t>
  </si>
  <si>
    <t xml:space="preserve">                                 MTRO. JOSÉ ACUÑA RUIZ</t>
  </si>
  <si>
    <t>EJERCICIO 2026</t>
  </si>
  <si>
    <t>TABLAS PUBLICADAS En DICIEMBRE DE 2025</t>
  </si>
  <si>
    <t>VIGENTES PARA 2026</t>
  </si>
  <si>
    <t>ALEJANDRO MAGALLANES ÁVILA</t>
  </si>
  <si>
    <t>MAAA951108638</t>
  </si>
  <si>
    <t>MAAA951108HJCGVL06</t>
  </si>
  <si>
    <t>434</t>
  </si>
  <si>
    <t>436</t>
  </si>
  <si>
    <t>MARIANA GUADALUPE GALLEGOS GONZALEZ</t>
  </si>
  <si>
    <t>GAGM041126K73</t>
  </si>
  <si>
    <t>GAGM041126MJCLNRA5</t>
  </si>
  <si>
    <t>AUXILIAR ADMINISTRATIVO</t>
  </si>
  <si>
    <t>DIRECTORA DE DESARROLLO AGROPECUARIO</t>
  </si>
  <si>
    <t>DIRECTORA DE COMUNICACIÓN SOCIAL Y MEDIOS</t>
  </si>
  <si>
    <t>DIRECTOR DE UNIDAD DEPORTIVA</t>
  </si>
  <si>
    <t>DIRECTOR DE CATASTRO Y REGULARIZACIÓN DE PREDIOS RÚSTICOS</t>
  </si>
  <si>
    <t>TITULAR DE TRANPARENCIA Y ARCHIVO</t>
  </si>
  <si>
    <t>AUXILIAR ADMINISTRATIVO DE HACIENDA PÚBLICA MUNICIPAL</t>
  </si>
  <si>
    <t>ÓRGANO INTERNO DE CONTROL</t>
  </si>
  <si>
    <t xml:space="preserve">Días </t>
  </si>
  <si>
    <t>Trabajados</t>
  </si>
  <si>
    <t>15</t>
  </si>
  <si>
    <t>AUXILIAR CASA DE LA CULTURA</t>
  </si>
  <si>
    <t>OMAR ARTURO GALLEGOS DIAZ</t>
  </si>
  <si>
    <t>GADO9426HJCLZM00</t>
  </si>
  <si>
    <t>GAD0940126AQA</t>
  </si>
  <si>
    <t>AUXILIAR CONTABLE DE HACIENDA PÚBLICA MUNICIPAL</t>
  </si>
  <si>
    <t>437</t>
  </si>
  <si>
    <t>439</t>
  </si>
  <si>
    <t>PATRICIO EDUARDO REYES HERNÁNDEZ</t>
  </si>
  <si>
    <t>REHP021028230</t>
  </si>
  <si>
    <t>REHP021028HJCYRTA8</t>
  </si>
  <si>
    <t>PABLO SANCHEZ REYES</t>
  </si>
  <si>
    <t>SARP0002263Z7</t>
  </si>
  <si>
    <t>SARP000226HJCNYBA5</t>
  </si>
  <si>
    <t>441</t>
  </si>
  <si>
    <t>ALEJANDRO MARQUEZ AGUAYO</t>
  </si>
  <si>
    <t>MAAA000201HZSRGLA4</t>
  </si>
  <si>
    <t>MAAA00201BT1</t>
  </si>
  <si>
    <t>CASJ6506153H7</t>
  </si>
  <si>
    <t>CASJ650615HJCSNR03</t>
  </si>
  <si>
    <t>442</t>
  </si>
  <si>
    <t>MAGALI ORTIZ NAVARRO</t>
  </si>
  <si>
    <t>QINM861111TZ2</t>
  </si>
  <si>
    <t>QINM861111MJCRVG07</t>
  </si>
  <si>
    <t>DIRECTOR DE PROTECCIÓN CIVIL</t>
  </si>
  <si>
    <t>AUXILIAR OBRAS PUBLICAS</t>
  </si>
  <si>
    <t>405</t>
  </si>
  <si>
    <t>JUAN JOSE GONZALEZ GONZALEZ</t>
  </si>
  <si>
    <t>GOGJ950930TI9</t>
  </si>
  <si>
    <t>GOGJ950930HJCNNN09</t>
  </si>
  <si>
    <t>LORENZO ANTONIO JUAREZ SANCHEZ</t>
  </si>
  <si>
    <t>JUSL990313NP6</t>
  </si>
  <si>
    <t>JUSL990313HZSRNR01</t>
  </si>
  <si>
    <t>ROBERTO HERNANDEZ DE LEON</t>
  </si>
  <si>
    <t>HELR920914GK6</t>
  </si>
  <si>
    <t>HELR920914HBCRNB03</t>
  </si>
  <si>
    <t>444</t>
  </si>
  <si>
    <t>445</t>
  </si>
  <si>
    <t>FERNANDO ROBLES MARTINEZ</t>
  </si>
  <si>
    <t>ROMF770608HG5</t>
  </si>
  <si>
    <t>ROMF770608HJCBRR05</t>
  </si>
  <si>
    <t>AUXILIAR DE PROTECCIÓN CIVIL</t>
  </si>
  <si>
    <t>446</t>
  </si>
  <si>
    <t>447</t>
  </si>
  <si>
    <t>JOSE GIL SERRANO SALOMON</t>
  </si>
  <si>
    <t>SESG011105P52</t>
  </si>
  <si>
    <t>SESG011105HSLRLLA3</t>
  </si>
  <si>
    <t>015</t>
  </si>
  <si>
    <t>GUADALUPE DE LOS ANGELES CASTRO CASTRO</t>
  </si>
  <si>
    <t>CACG8412204R1</t>
  </si>
  <si>
    <t>CACG841220MJCSSD03</t>
  </si>
  <si>
    <t>ENCARGADA DEL COMEDOR ESCOLAR</t>
  </si>
  <si>
    <t>DIRECTOR GENERAL DE INFRAESTRUCTURA Y DESARROLLO SOCIAL</t>
  </si>
  <si>
    <t>184</t>
  </si>
  <si>
    <t>EDUARDO ROBLES CORONA</t>
  </si>
  <si>
    <t>ROCE781126IN0</t>
  </si>
  <si>
    <t>ROCE781126HJCBRD03</t>
  </si>
  <si>
    <t>MARCOS NUÑEZ SILVA</t>
  </si>
  <si>
    <t>NUSM8008193D2</t>
  </si>
  <si>
    <t>NUSM800819HJCXLR05</t>
  </si>
  <si>
    <t>CHOFER DE AUTOBUS</t>
  </si>
  <si>
    <t>194</t>
  </si>
  <si>
    <t>EFRAIN SILVA NUÑEZ</t>
  </si>
  <si>
    <t>SINE910215840</t>
  </si>
  <si>
    <t>SINE910215HJCLXF01</t>
  </si>
  <si>
    <t>AGUSTIN ROBLES LUNA</t>
  </si>
  <si>
    <t>ROLA7708063DA</t>
  </si>
  <si>
    <t>ROLA770806HJCBNG08</t>
  </si>
  <si>
    <t>JOSE AVELAR FRIAS</t>
  </si>
  <si>
    <t>AEFJ640826BG5</t>
  </si>
  <si>
    <t>AEFJ640826HJCVRS09</t>
  </si>
  <si>
    <t>448</t>
  </si>
  <si>
    <t>ISMAEL LOZANO CAMPOS</t>
  </si>
  <si>
    <t>LOCI971020AY5</t>
  </si>
  <si>
    <t>LOCI97102HJCZMS00</t>
  </si>
  <si>
    <t>SUELDO  DEL 15 AL 30 DE SEPTIEMBRE DE 2026</t>
  </si>
  <si>
    <t>449</t>
  </si>
  <si>
    <t>ANA CECILIA MARQUEZ GARCIA</t>
  </si>
  <si>
    <t>130</t>
  </si>
  <si>
    <t>J. NIEVES AVELAR RAMIREZ</t>
  </si>
  <si>
    <t>AERJ860323SE7</t>
  </si>
  <si>
    <t>AERN860323HJCVMV12</t>
  </si>
  <si>
    <t xml:space="preserve">OPERADOR MOTOCONFORMADORA </t>
  </si>
  <si>
    <t>MAGA940301VA2</t>
  </si>
  <si>
    <t>MAGA940301MJCRRN06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</si>
</sst>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[$€]* #,##0.00_-;\-[$€]* #,##0.00_-;_-[$€]* &quot;-&quot;??_-;_-@_-"/>
    <numFmt numFmtId="165" formatCode="#,##0.00_ ;[Red]\-#,##0.00\ "/>
    <numFmt numFmtId="166" formatCode="#,##0.00_ ;\-#,##0.00\ "/>
  </numFmts>
  <fonts count="4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color indexed="10"/>
      <name val="Arial"/>
      <family val="2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color indexed="10"/>
      <name val="Times New Roman"/>
      <family val="1"/>
    </font>
    <font>
      <sz val="8"/>
      <name val="Arial"/>
      <family val="2"/>
    </font>
    <font>
      <b/>
      <sz val="8"/>
      <color indexed="10"/>
      <name val="Arial"/>
      <family val="2"/>
    </font>
    <font>
      <b/>
      <sz val="14"/>
      <color indexed="18"/>
      <name val="Verdana"/>
      <family val="2"/>
    </font>
    <font>
      <b/>
      <sz val="8"/>
      <color indexed="10"/>
      <name val="Times New Roman"/>
      <family val="1"/>
    </font>
    <font>
      <b/>
      <sz val="12"/>
      <color indexed="18"/>
      <name val="Verdana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2"/>
      <color indexed="18"/>
      <name val="Verdana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2"/>
      <color indexed="10"/>
      <name val="Arial"/>
      <family val="2"/>
    </font>
    <font>
      <b/>
      <sz val="16"/>
      <color indexed="18"/>
      <name val="Verdana"/>
      <family val="2"/>
    </font>
    <font>
      <b/>
      <sz val="14"/>
      <name val="Arial"/>
      <family val="2"/>
    </font>
    <font>
      <sz val="16"/>
      <name val="Arial"/>
      <family val="2"/>
    </font>
    <font>
      <sz val="8"/>
      <name val="Arial"/>
      <family val="2"/>
    </font>
    <font>
      <sz val="14"/>
      <color rgb="FF404041"/>
      <name val="Arial"/>
      <family val="2"/>
    </font>
    <font>
      <b/>
      <sz val="10"/>
      <color theme="6" tint="-0.499984740745262"/>
      <name val="Arial"/>
      <family val="2"/>
    </font>
    <font>
      <b/>
      <sz val="14"/>
      <color rgb="FF000099"/>
      <name val="Arial"/>
      <family val="2"/>
    </font>
    <font>
      <b/>
      <sz val="10"/>
      <color rgb="FF000099"/>
      <name val="Arial"/>
      <family val="2"/>
    </font>
    <font>
      <sz val="14"/>
      <color rgb="FF606C76"/>
      <name val="Arial"/>
      <family val="2"/>
    </font>
    <font>
      <sz val="18"/>
      <name val="Arial"/>
      <family val="2"/>
    </font>
    <font>
      <b/>
      <sz val="16"/>
      <name val="Arial"/>
      <family val="2"/>
    </font>
    <font>
      <b/>
      <sz val="16"/>
      <color rgb="FF000099"/>
      <name val="Arial"/>
      <family val="2"/>
    </font>
    <font>
      <b/>
      <sz val="16"/>
      <color theme="3" tint="-0.249977111117893"/>
      <name val="Arial"/>
      <family val="2"/>
    </font>
    <font>
      <sz val="13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</cellStyleXfs>
  <cellXfs count="518">
    <xf numFmtId="0" fontId="0" fillId="0" borderId="0" xfId="0"/>
    <xf numFmtId="39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fill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fill"/>
    </xf>
    <xf numFmtId="0" fontId="8" fillId="0" borderId="0" xfId="0" applyFont="1" applyAlignment="1">
      <alignment horizontal="fill"/>
    </xf>
    <xf numFmtId="39" fontId="8" fillId="0" borderId="1" xfId="0" applyNumberFormat="1" applyFont="1" applyBorder="1"/>
    <xf numFmtId="10" fontId="8" fillId="0" borderId="1" xfId="0" applyNumberFormat="1" applyFont="1" applyBorder="1"/>
    <xf numFmtId="39" fontId="8" fillId="0" borderId="0" xfId="0" applyNumberFormat="1" applyFont="1"/>
    <xf numFmtId="39" fontId="8" fillId="0" borderId="2" xfId="0" applyNumberFormat="1" applyFont="1" applyBorder="1"/>
    <xf numFmtId="10" fontId="8" fillId="0" borderId="2" xfId="0" applyNumberFormat="1" applyFont="1" applyBorder="1"/>
    <xf numFmtId="0" fontId="8" fillId="0" borderId="2" xfId="0" applyFont="1" applyBorder="1"/>
    <xf numFmtId="0" fontId="10" fillId="0" borderId="0" xfId="0" applyFont="1"/>
    <xf numFmtId="0" fontId="9" fillId="0" borderId="0" xfId="0" applyFont="1" applyProtection="1">
      <protection locked="0"/>
    </xf>
    <xf numFmtId="39" fontId="8" fillId="0" borderId="1" xfId="0" applyNumberFormat="1" applyFont="1" applyBorder="1" applyProtection="1">
      <protection locked="0"/>
    </xf>
    <xf numFmtId="10" fontId="8" fillId="0" borderId="1" xfId="0" applyNumberFormat="1" applyFont="1" applyBorder="1" applyProtection="1">
      <protection locked="0"/>
    </xf>
    <xf numFmtId="0" fontId="11" fillId="0" borderId="3" xfId="0" applyFont="1" applyBorder="1"/>
    <xf numFmtId="0" fontId="3" fillId="0" borderId="3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43" fontId="3" fillId="0" borderId="1" xfId="2" applyFont="1" applyBorder="1" applyAlignment="1" applyProtection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4" fillId="0" borderId="0" xfId="0" applyFont="1"/>
    <xf numFmtId="0" fontId="0" fillId="0" borderId="3" xfId="0" applyBorder="1"/>
    <xf numFmtId="0" fontId="0" fillId="0" borderId="2" xfId="0" applyBorder="1"/>
    <xf numFmtId="0" fontId="2" fillId="0" borderId="1" xfId="0" applyFont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0" fillId="4" borderId="2" xfId="0" applyFill="1" applyBorder="1"/>
    <xf numFmtId="0" fontId="15" fillId="0" borderId="0" xfId="0" applyFont="1" applyAlignment="1" applyProtection="1">
      <alignment horizontal="center"/>
      <protection locked="0"/>
    </xf>
    <xf numFmtId="0" fontId="2" fillId="0" borderId="0" xfId="0" applyFont="1"/>
    <xf numFmtId="165" fontId="0" fillId="0" borderId="0" xfId="0" applyNumberFormat="1"/>
    <xf numFmtId="49" fontId="1" fillId="0" borderId="7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49" fontId="4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8" fillId="0" borderId="3" xfId="0" applyFont="1" applyBorder="1"/>
    <xf numFmtId="0" fontId="17" fillId="0" borderId="3" xfId="0" applyFont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18" fillId="0" borderId="0" xfId="0" applyFont="1"/>
    <xf numFmtId="0" fontId="17" fillId="0" borderId="1" xfId="0" applyFont="1" applyBorder="1" applyAlignment="1">
      <alignment horizontal="center"/>
    </xf>
    <xf numFmtId="43" fontId="17" fillId="0" borderId="1" xfId="2" applyFont="1" applyBorder="1" applyAlignment="1" applyProtection="1">
      <alignment horizontal="center"/>
    </xf>
    <xf numFmtId="0" fontId="17" fillId="2" borderId="1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/>
    </xf>
    <xf numFmtId="0" fontId="18" fillId="0" borderId="1" xfId="0" applyFont="1" applyBorder="1"/>
    <xf numFmtId="0" fontId="18" fillId="0" borderId="2" xfId="0" applyFont="1" applyBorder="1"/>
    <xf numFmtId="0" fontId="18" fillId="0" borderId="4" xfId="0" applyFont="1" applyBorder="1"/>
    <xf numFmtId="43" fontId="18" fillId="0" borderId="0" xfId="2" applyFont="1" applyProtection="1"/>
    <xf numFmtId="0" fontId="17" fillId="0" borderId="0" xfId="0" applyFont="1"/>
    <xf numFmtId="0" fontId="17" fillId="0" borderId="2" xfId="0" applyFont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17" fillId="4" borderId="1" xfId="0" applyFont="1" applyFill="1" applyBorder="1" applyAlignment="1">
      <alignment horizontal="center"/>
    </xf>
    <xf numFmtId="0" fontId="18" fillId="4" borderId="1" xfId="0" applyFont="1" applyFill="1" applyBorder="1"/>
    <xf numFmtId="9" fontId="18" fillId="0" borderId="0" xfId="0" applyNumberFormat="1" applyFont="1"/>
    <xf numFmtId="0" fontId="21" fillId="0" borderId="0" xfId="0" applyFont="1"/>
    <xf numFmtId="0" fontId="23" fillId="0" borderId="3" xfId="0" applyFont="1" applyBorder="1"/>
    <xf numFmtId="0" fontId="24" fillId="0" borderId="3" xfId="0" applyFont="1" applyBorder="1" applyAlignment="1">
      <alignment horizontal="center"/>
    </xf>
    <xf numFmtId="0" fontId="24" fillId="2" borderId="3" xfId="0" applyFont="1" applyFill="1" applyBorder="1" applyAlignment="1">
      <alignment horizontal="center"/>
    </xf>
    <xf numFmtId="0" fontId="24" fillId="2" borderId="4" xfId="0" applyFont="1" applyFill="1" applyBorder="1" applyAlignment="1">
      <alignment horizontal="center"/>
    </xf>
    <xf numFmtId="0" fontId="21" fillId="0" borderId="3" xfId="0" applyFont="1" applyBorder="1"/>
    <xf numFmtId="0" fontId="24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 wrapText="1"/>
    </xf>
    <xf numFmtId="43" fontId="24" fillId="0" borderId="1" xfId="2" applyFont="1" applyBorder="1" applyAlignment="1" applyProtection="1">
      <alignment horizontal="center"/>
    </xf>
    <xf numFmtId="0" fontId="24" fillId="2" borderId="1" xfId="0" applyFont="1" applyFill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24" fillId="2" borderId="5" xfId="0" applyFont="1" applyFill="1" applyBorder="1" applyAlignment="1">
      <alignment horizontal="center"/>
    </xf>
    <xf numFmtId="0" fontId="21" fillId="0" borderId="1" xfId="0" applyFont="1" applyBorder="1"/>
    <xf numFmtId="0" fontId="24" fillId="4" borderId="1" xfId="0" applyFont="1" applyFill="1" applyBorder="1" applyAlignment="1">
      <alignment horizontal="center"/>
    </xf>
    <xf numFmtId="0" fontId="24" fillId="4" borderId="4" xfId="0" applyFont="1" applyFill="1" applyBorder="1" applyAlignment="1">
      <alignment horizontal="center"/>
    </xf>
    <xf numFmtId="0" fontId="26" fillId="4" borderId="4" xfId="0" applyFont="1" applyFill="1" applyBorder="1" applyAlignment="1">
      <alignment horizontal="center"/>
    </xf>
    <xf numFmtId="0" fontId="21" fillId="4" borderId="4" xfId="0" applyFont="1" applyFill="1" applyBorder="1"/>
    <xf numFmtId="0" fontId="25" fillId="0" borderId="0" xfId="0" applyFont="1"/>
    <xf numFmtId="0" fontId="17" fillId="7" borderId="4" xfId="0" applyFont="1" applyFill="1" applyBorder="1" applyAlignment="1">
      <alignment horizontal="center"/>
    </xf>
    <xf numFmtId="0" fontId="17" fillId="7" borderId="3" xfId="0" applyFont="1" applyFill="1" applyBorder="1" applyAlignment="1">
      <alignment horizontal="center"/>
    </xf>
    <xf numFmtId="0" fontId="22" fillId="0" borderId="0" xfId="0" applyFont="1" applyAlignment="1" applyProtection="1">
      <alignment horizontal="center"/>
      <protection locked="0"/>
    </xf>
    <xf numFmtId="0" fontId="5" fillId="4" borderId="3" xfId="0" applyFont="1" applyFill="1" applyBorder="1" applyAlignment="1">
      <alignment horizontal="center"/>
    </xf>
    <xf numFmtId="0" fontId="0" fillId="4" borderId="1" xfId="0" applyFill="1" applyBorder="1"/>
    <xf numFmtId="0" fontId="4" fillId="0" borderId="0" xfId="0" applyFont="1"/>
    <xf numFmtId="165" fontId="4" fillId="0" borderId="0" xfId="0" applyNumberFormat="1" applyFont="1"/>
    <xf numFmtId="43" fontId="4" fillId="0" borderId="0" xfId="2" applyFont="1" applyProtection="1"/>
    <xf numFmtId="0" fontId="5" fillId="0" borderId="0" xfId="0" applyFont="1"/>
    <xf numFmtId="0" fontId="2" fillId="4" borderId="4" xfId="0" applyFont="1" applyFill="1" applyBorder="1" applyAlignment="1">
      <alignment horizontal="center"/>
    </xf>
    <xf numFmtId="0" fontId="1" fillId="4" borderId="4" xfId="0" applyFont="1" applyFill="1" applyBorder="1"/>
    <xf numFmtId="0" fontId="4" fillId="4" borderId="4" xfId="0" applyFont="1" applyFill="1" applyBorder="1"/>
    <xf numFmtId="0" fontId="5" fillId="4" borderId="4" xfId="0" applyFont="1" applyFill="1" applyBorder="1" applyAlignment="1">
      <alignment horizontal="center" wrapText="1"/>
    </xf>
    <xf numFmtId="0" fontId="1" fillId="4" borderId="1" xfId="0" applyFont="1" applyFill="1" applyBorder="1"/>
    <xf numFmtId="0" fontId="3" fillId="4" borderId="4" xfId="0" applyFont="1" applyFill="1" applyBorder="1" applyAlignment="1">
      <alignment horizontal="center"/>
    </xf>
    <xf numFmtId="0" fontId="1" fillId="0" borderId="3" xfId="0" applyFont="1" applyBorder="1"/>
    <xf numFmtId="0" fontId="1" fillId="0" borderId="1" xfId="0" applyFont="1" applyBorder="1"/>
    <xf numFmtId="0" fontId="5" fillId="0" borderId="0" xfId="0" applyFont="1" applyAlignment="1">
      <alignment horizontal="center"/>
    </xf>
    <xf numFmtId="165" fontId="5" fillId="0" borderId="0" xfId="2" applyNumberFormat="1" applyFont="1" applyBorder="1" applyAlignment="1" applyProtection="1">
      <alignment horizontal="right"/>
    </xf>
    <xf numFmtId="165" fontId="5" fillId="2" borderId="0" xfId="2" applyNumberFormat="1" applyFont="1" applyFill="1" applyBorder="1" applyAlignment="1" applyProtection="1">
      <alignment horizontal="right"/>
    </xf>
    <xf numFmtId="49" fontId="27" fillId="0" borderId="7" xfId="0" applyNumberFormat="1" applyFont="1" applyBorder="1" applyAlignment="1">
      <alignment horizontal="center"/>
    </xf>
    <xf numFmtId="0" fontId="29" fillId="0" borderId="4" xfId="0" applyFont="1" applyBorder="1"/>
    <xf numFmtId="0" fontId="29" fillId="0" borderId="0" xfId="0" applyFont="1"/>
    <xf numFmtId="43" fontId="2" fillId="3" borderId="0" xfId="2" applyFont="1" applyFill="1" applyProtection="1"/>
    <xf numFmtId="0" fontId="3" fillId="8" borderId="0" xfId="0" applyFont="1" applyFill="1" applyAlignment="1">
      <alignment horizontal="center" wrapText="1"/>
    </xf>
    <xf numFmtId="0" fontId="28" fillId="6" borderId="4" xfId="0" applyFont="1" applyFill="1" applyBorder="1" applyAlignment="1">
      <alignment horizontal="center" wrapText="1"/>
    </xf>
    <xf numFmtId="0" fontId="28" fillId="4" borderId="4" xfId="0" applyFont="1" applyFill="1" applyBorder="1" applyAlignment="1">
      <alignment horizontal="center"/>
    </xf>
    <xf numFmtId="0" fontId="28" fillId="7" borderId="4" xfId="0" applyFont="1" applyFill="1" applyBorder="1" applyAlignment="1">
      <alignment horizontal="center"/>
    </xf>
    <xf numFmtId="0" fontId="27" fillId="0" borderId="3" xfId="0" applyFont="1" applyBorder="1"/>
    <xf numFmtId="0" fontId="28" fillId="0" borderId="3" xfId="0" applyFont="1" applyBorder="1" applyAlignment="1">
      <alignment horizontal="center"/>
    </xf>
    <xf numFmtId="0" fontId="28" fillId="2" borderId="3" xfId="0" applyFont="1" applyFill="1" applyBorder="1" applyAlignment="1">
      <alignment horizontal="center"/>
    </xf>
    <xf numFmtId="0" fontId="28" fillId="2" borderId="4" xfId="0" applyFont="1" applyFill="1" applyBorder="1" applyAlignment="1">
      <alignment horizontal="center"/>
    </xf>
    <xf numFmtId="0" fontId="28" fillId="0" borderId="1" xfId="0" applyFont="1" applyBorder="1" applyAlignment="1">
      <alignment horizontal="center" wrapText="1"/>
    </xf>
    <xf numFmtId="0" fontId="28" fillId="0" borderId="1" xfId="0" applyFont="1" applyBorder="1" applyAlignment="1">
      <alignment horizontal="center"/>
    </xf>
    <xf numFmtId="0" fontId="28" fillId="2" borderId="1" xfId="0" applyFont="1" applyFill="1" applyBorder="1" applyAlignment="1">
      <alignment horizontal="center"/>
    </xf>
    <xf numFmtId="0" fontId="28" fillId="0" borderId="2" xfId="0" applyFont="1" applyBorder="1" applyAlignment="1">
      <alignment horizontal="center" wrapText="1"/>
    </xf>
    <xf numFmtId="0" fontId="28" fillId="0" borderId="2" xfId="0" applyFont="1" applyBorder="1" applyAlignment="1">
      <alignment horizontal="center"/>
    </xf>
    <xf numFmtId="0" fontId="28" fillId="2" borderId="2" xfId="0" applyFont="1" applyFill="1" applyBorder="1" applyAlignment="1">
      <alignment horizontal="center"/>
    </xf>
    <xf numFmtId="0" fontId="28" fillId="2" borderId="5" xfId="0" applyFont="1" applyFill="1" applyBorder="1" applyAlignment="1">
      <alignment horizontal="center"/>
    </xf>
    <xf numFmtId="0" fontId="28" fillId="4" borderId="1" xfId="0" applyFont="1" applyFill="1" applyBorder="1" applyAlignment="1">
      <alignment horizontal="center" wrapText="1"/>
    </xf>
    <xf numFmtId="0" fontId="28" fillId="4" borderId="3" xfId="0" applyFont="1" applyFill="1" applyBorder="1" applyAlignment="1">
      <alignment horizontal="center"/>
    </xf>
    <xf numFmtId="0" fontId="28" fillId="4" borderId="1" xfId="0" applyFont="1" applyFill="1" applyBorder="1" applyAlignment="1">
      <alignment horizontal="center"/>
    </xf>
    <xf numFmtId="0" fontId="28" fillId="4" borderId="0" xfId="0" applyFont="1" applyFill="1" applyAlignment="1">
      <alignment horizontal="center"/>
    </xf>
    <xf numFmtId="0" fontId="28" fillId="4" borderId="4" xfId="0" applyFont="1" applyFill="1" applyBorder="1" applyAlignment="1">
      <alignment horizontal="center" wrapText="1"/>
    </xf>
    <xf numFmtId="0" fontId="28" fillId="0" borderId="0" xfId="0" applyFont="1" applyAlignment="1">
      <alignment horizontal="center"/>
    </xf>
    <xf numFmtId="165" fontId="28" fillId="0" borderId="0" xfId="2" applyNumberFormat="1" applyFont="1" applyBorder="1" applyAlignment="1" applyProtection="1">
      <alignment horizontal="right"/>
    </xf>
    <xf numFmtId="165" fontId="28" fillId="2" borderId="0" xfId="2" applyNumberFormat="1" applyFont="1" applyFill="1" applyBorder="1" applyAlignment="1" applyProtection="1">
      <alignment horizontal="right"/>
    </xf>
    <xf numFmtId="49" fontId="29" fillId="0" borderId="4" xfId="0" applyNumberFormat="1" applyFont="1" applyBorder="1" applyAlignment="1">
      <alignment horizontal="center"/>
    </xf>
    <xf numFmtId="49" fontId="29" fillId="0" borderId="4" xfId="5" applyNumberFormat="1" applyFont="1" applyBorder="1" applyAlignment="1" applyProtection="1">
      <alignment vertical="center" wrapText="1"/>
      <protection locked="0"/>
    </xf>
    <xf numFmtId="49" fontId="29" fillId="5" borderId="4" xfId="5" applyNumberFormat="1" applyFont="1" applyFill="1" applyBorder="1" applyAlignment="1" applyProtection="1">
      <alignment vertical="center" wrapText="1"/>
      <protection locked="0"/>
    </xf>
    <xf numFmtId="165" fontId="32" fillId="0" borderId="8" xfId="2" applyNumberFormat="1" applyFont="1" applyBorder="1" applyAlignment="1" applyProtection="1">
      <alignment horizontal="right"/>
    </xf>
    <xf numFmtId="165" fontId="32" fillId="2" borderId="8" xfId="2" applyNumberFormat="1" applyFont="1" applyFill="1" applyBorder="1" applyAlignment="1" applyProtection="1">
      <alignment horizontal="right"/>
    </xf>
    <xf numFmtId="0" fontId="29" fillId="0" borderId="0" xfId="0" applyFont="1" applyAlignment="1">
      <alignment horizontal="center"/>
    </xf>
    <xf numFmtId="0" fontId="29" fillId="0" borderId="6" xfId="0" applyFont="1" applyBorder="1" applyAlignment="1">
      <alignment horizontal="center"/>
    </xf>
    <xf numFmtId="1" fontId="32" fillId="0" borderId="6" xfId="2" applyNumberFormat="1" applyFont="1" applyBorder="1" applyAlignment="1" applyProtection="1">
      <alignment horizontal="right"/>
    </xf>
    <xf numFmtId="1" fontId="32" fillId="0" borderId="6" xfId="2" applyNumberFormat="1" applyFont="1" applyFill="1" applyBorder="1" applyAlignment="1" applyProtection="1">
      <alignment horizontal="right"/>
    </xf>
    <xf numFmtId="1" fontId="32" fillId="0" borderId="0" xfId="2" applyNumberFormat="1" applyFont="1" applyFill="1" applyBorder="1" applyAlignment="1" applyProtection="1">
      <alignment horizontal="right"/>
    </xf>
    <xf numFmtId="49" fontId="29" fillId="0" borderId="18" xfId="0" applyNumberFormat="1" applyFont="1" applyBorder="1" applyAlignment="1">
      <alignment horizontal="center"/>
    </xf>
    <xf numFmtId="1" fontId="32" fillId="0" borderId="0" xfId="2" applyNumberFormat="1" applyFont="1" applyBorder="1" applyAlignment="1" applyProtection="1">
      <alignment horizontal="right"/>
    </xf>
    <xf numFmtId="49" fontId="29" fillId="5" borderId="2" xfId="5" applyNumberFormat="1" applyFont="1" applyFill="1" applyBorder="1" applyAlignment="1" applyProtection="1">
      <alignment vertical="center" wrapText="1"/>
      <protection locked="0"/>
    </xf>
    <xf numFmtId="49" fontId="29" fillId="0" borderId="0" xfId="0" applyNumberFormat="1" applyFont="1" applyAlignment="1">
      <alignment horizontal="center"/>
    </xf>
    <xf numFmtId="0" fontId="29" fillId="0" borderId="16" xfId="0" applyFont="1" applyBorder="1" applyAlignment="1" applyProtection="1">
      <alignment horizontal="center"/>
      <protection locked="0"/>
    </xf>
    <xf numFmtId="0" fontId="32" fillId="4" borderId="4" xfId="0" applyFont="1" applyFill="1" applyBorder="1" applyAlignment="1">
      <alignment horizontal="center" wrapText="1"/>
    </xf>
    <xf numFmtId="0" fontId="31" fillId="0" borderId="0" xfId="0" applyFont="1" applyAlignment="1" applyProtection="1">
      <alignment horizontal="center"/>
      <protection locked="0"/>
    </xf>
    <xf numFmtId="0" fontId="29" fillId="0" borderId="0" xfId="0" applyFont="1" applyAlignment="1" applyProtection="1">
      <alignment horizontal="left" wrapText="1"/>
      <protection locked="0"/>
    </xf>
    <xf numFmtId="0" fontId="29" fillId="0" borderId="0" xfId="0" applyFont="1" applyAlignment="1" applyProtection="1">
      <alignment horizontal="center"/>
      <protection locked="0"/>
    </xf>
    <xf numFmtId="2" fontId="29" fillId="0" borderId="0" xfId="0" applyNumberFormat="1" applyFont="1" applyAlignment="1" applyProtection="1">
      <alignment horizontal="right"/>
      <protection locked="0"/>
    </xf>
    <xf numFmtId="49" fontId="4" fillId="0" borderId="15" xfId="0" applyNumberFormat="1" applyFont="1" applyBorder="1" applyAlignment="1">
      <alignment horizontal="center"/>
    </xf>
    <xf numFmtId="165" fontId="32" fillId="0" borderId="4" xfId="2" applyNumberFormat="1" applyFont="1" applyFill="1" applyBorder="1" applyAlignment="1" applyProtection="1">
      <alignment horizontal="right"/>
    </xf>
    <xf numFmtId="0" fontId="2" fillId="0" borderId="3" xfId="0" applyFont="1" applyBorder="1" applyAlignment="1">
      <alignment horizontal="center"/>
    </xf>
    <xf numFmtId="0" fontId="32" fillId="4" borderId="1" xfId="0" applyFont="1" applyFill="1" applyBorder="1" applyAlignment="1">
      <alignment horizontal="center"/>
    </xf>
    <xf numFmtId="14" fontId="29" fillId="5" borderId="4" xfId="5" applyNumberFormat="1" applyFont="1" applyFill="1" applyBorder="1" applyAlignment="1" applyProtection="1">
      <alignment horizontal="center" vertical="center" wrapText="1"/>
      <protection locked="0"/>
    </xf>
    <xf numFmtId="0" fontId="29" fillId="0" borderId="4" xfId="0" applyFont="1" applyBorder="1" applyAlignment="1">
      <alignment horizontal="center"/>
    </xf>
    <xf numFmtId="0" fontId="32" fillId="4" borderId="3" xfId="0" applyFont="1" applyFill="1" applyBorder="1" applyAlignment="1">
      <alignment horizontal="center"/>
    </xf>
    <xf numFmtId="165" fontId="32" fillId="4" borderId="1" xfId="0" applyNumberFormat="1" applyFont="1" applyFill="1" applyBorder="1" applyAlignment="1">
      <alignment horizontal="center"/>
    </xf>
    <xf numFmtId="0" fontId="32" fillId="4" borderId="0" xfId="0" applyFont="1" applyFill="1" applyAlignment="1">
      <alignment horizontal="center"/>
    </xf>
    <xf numFmtId="0" fontId="32" fillId="7" borderId="1" xfId="0" applyFont="1" applyFill="1" applyBorder="1" applyAlignment="1">
      <alignment horizontal="center"/>
    </xf>
    <xf numFmtId="14" fontId="32" fillId="4" borderId="1" xfId="0" applyNumberFormat="1" applyFont="1" applyFill="1" applyBorder="1" applyAlignment="1">
      <alignment horizontal="center"/>
    </xf>
    <xf numFmtId="49" fontId="29" fillId="0" borderId="15" xfId="0" applyNumberFormat="1" applyFont="1" applyBorder="1" applyAlignment="1">
      <alignment horizontal="center"/>
    </xf>
    <xf numFmtId="49" fontId="29" fillId="0" borderId="16" xfId="0" applyNumberFormat="1" applyFont="1" applyBorder="1" applyAlignment="1">
      <alignment horizontal="center"/>
    </xf>
    <xf numFmtId="0" fontId="29" fillId="0" borderId="16" xfId="0" applyFont="1" applyBorder="1" applyAlignment="1" applyProtection="1">
      <alignment horizontal="left"/>
      <protection locked="0"/>
    </xf>
    <xf numFmtId="2" fontId="29" fillId="0" borderId="17" xfId="0" applyNumberFormat="1" applyFont="1" applyBorder="1" applyAlignment="1" applyProtection="1">
      <alignment horizontal="right"/>
      <protection locked="0"/>
    </xf>
    <xf numFmtId="165" fontId="29" fillId="0" borderId="3" xfId="2" applyNumberFormat="1" applyFont="1" applyFill="1" applyBorder="1" applyAlignment="1" applyProtection="1">
      <alignment horizontal="right"/>
    </xf>
    <xf numFmtId="165" fontId="29" fillId="0" borderId="3" xfId="2" applyNumberFormat="1" applyFont="1" applyBorder="1" applyAlignment="1" applyProtection="1">
      <alignment horizontal="right"/>
      <protection locked="0"/>
    </xf>
    <xf numFmtId="165" fontId="29" fillId="0" borderId="3" xfId="2" applyNumberFormat="1" applyFont="1" applyBorder="1" applyAlignment="1" applyProtection="1">
      <alignment horizontal="right"/>
    </xf>
    <xf numFmtId="165" fontId="29" fillId="2" borderId="3" xfId="2" applyNumberFormat="1" applyFont="1" applyFill="1" applyBorder="1" applyAlignment="1" applyProtection="1">
      <alignment horizontal="right"/>
    </xf>
    <xf numFmtId="10" fontId="29" fillId="2" borderId="3" xfId="3" applyNumberFormat="1" applyFont="1" applyFill="1" applyBorder="1" applyAlignment="1" applyProtection="1">
      <alignment horizontal="right"/>
    </xf>
    <xf numFmtId="166" fontId="29" fillId="0" borderId="3" xfId="2" applyNumberFormat="1" applyFont="1" applyBorder="1" applyAlignment="1" applyProtection="1">
      <alignment horizontal="right"/>
      <protection locked="0"/>
    </xf>
    <xf numFmtId="0" fontId="32" fillId="4" borderId="3" xfId="0" applyFont="1" applyFill="1" applyBorder="1" applyAlignment="1">
      <alignment horizontal="center" wrapText="1"/>
    </xf>
    <xf numFmtId="0" fontId="32" fillId="4" borderId="4" xfId="0" applyFont="1" applyFill="1" applyBorder="1" applyAlignment="1">
      <alignment horizontal="center"/>
    </xf>
    <xf numFmtId="165" fontId="32" fillId="4" borderId="4" xfId="0" applyNumberFormat="1" applyFont="1" applyFill="1" applyBorder="1" applyAlignment="1">
      <alignment horizontal="center"/>
    </xf>
    <xf numFmtId="0" fontId="29" fillId="4" borderId="2" xfId="0" applyFont="1" applyFill="1" applyBorder="1"/>
    <xf numFmtId="0" fontId="32" fillId="7" borderId="4" xfId="0" applyFont="1" applyFill="1" applyBorder="1" applyAlignment="1">
      <alignment horizontal="center"/>
    </xf>
    <xf numFmtId="0" fontId="29" fillId="4" borderId="4" xfId="0" applyFont="1" applyFill="1" applyBorder="1"/>
    <xf numFmtId="1" fontId="32" fillId="0" borderId="4" xfId="2" applyNumberFormat="1" applyFont="1" applyBorder="1" applyAlignment="1" applyProtection="1">
      <alignment horizontal="right"/>
    </xf>
    <xf numFmtId="1" fontId="32" fillId="0" borderId="4" xfId="2" applyNumberFormat="1" applyFont="1" applyFill="1" applyBorder="1" applyAlignment="1" applyProtection="1">
      <alignment horizontal="right"/>
    </xf>
    <xf numFmtId="0" fontId="28" fillId="7" borderId="3" xfId="0" applyFont="1" applyFill="1" applyBorder="1" applyAlignment="1">
      <alignment horizontal="center"/>
    </xf>
    <xf numFmtId="49" fontId="29" fillId="0" borderId="9" xfId="0" applyNumberFormat="1" applyFont="1" applyBorder="1" applyAlignment="1">
      <alignment horizontal="center"/>
    </xf>
    <xf numFmtId="0" fontId="27" fillId="0" borderId="9" xfId="0" applyFont="1" applyBorder="1"/>
    <xf numFmtId="0" fontId="28" fillId="0" borderId="11" xfId="0" applyFont="1" applyBorder="1" applyAlignment="1">
      <alignment horizontal="center"/>
    </xf>
    <xf numFmtId="0" fontId="28" fillId="0" borderId="13" xfId="0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0" fontId="28" fillId="0" borderId="12" xfId="0" applyFont="1" applyBorder="1" applyAlignment="1">
      <alignment horizontal="center"/>
    </xf>
    <xf numFmtId="0" fontId="28" fillId="0" borderId="14" xfId="0" applyFont="1" applyBorder="1" applyAlignment="1">
      <alignment horizontal="center"/>
    </xf>
    <xf numFmtId="43" fontId="28" fillId="0" borderId="1" xfId="2" applyFont="1" applyBorder="1" applyAlignment="1" applyProtection="1">
      <alignment horizontal="center"/>
    </xf>
    <xf numFmtId="0" fontId="5" fillId="4" borderId="1" xfId="0" applyFont="1" applyFill="1" applyBorder="1" applyAlignment="1">
      <alignment horizontal="center" wrapText="1"/>
    </xf>
    <xf numFmtId="0" fontId="0" fillId="3" borderId="0" xfId="0" applyFill="1"/>
    <xf numFmtId="0" fontId="36" fillId="3" borderId="0" xfId="0" applyFont="1" applyFill="1"/>
    <xf numFmtId="49" fontId="1" fillId="0" borderId="0" xfId="0" applyNumberFormat="1" applyFont="1" applyAlignment="1">
      <alignment horizontal="center"/>
    </xf>
    <xf numFmtId="0" fontId="32" fillId="4" borderId="2" xfId="0" applyFont="1" applyFill="1" applyBorder="1" applyAlignment="1">
      <alignment horizontal="center" wrapText="1"/>
    </xf>
    <xf numFmtId="0" fontId="33" fillId="0" borderId="0" xfId="0" applyFont="1" applyAlignment="1" applyProtection="1">
      <alignment horizontal="left" wrapText="1"/>
      <protection locked="0"/>
    </xf>
    <xf numFmtId="0" fontId="29" fillId="0" borderId="0" xfId="0" applyFont="1" applyAlignment="1" applyProtection="1">
      <alignment horizontal="left"/>
      <protection locked="0"/>
    </xf>
    <xf numFmtId="165" fontId="41" fillId="0" borderId="8" xfId="2" applyNumberFormat="1" applyFont="1" applyBorder="1" applyAlignment="1" applyProtection="1">
      <alignment horizontal="right"/>
    </xf>
    <xf numFmtId="165" fontId="41" fillId="2" borderId="8" xfId="2" applyNumberFormat="1" applyFont="1" applyFill="1" applyBorder="1" applyAlignment="1" applyProtection="1">
      <alignment horizontal="right"/>
    </xf>
    <xf numFmtId="14" fontId="33" fillId="0" borderId="4" xfId="5" applyNumberFormat="1" applyFont="1" applyBorder="1" applyAlignment="1" applyProtection="1">
      <alignment horizontal="center" vertical="center" wrapText="1"/>
      <protection locked="0"/>
    </xf>
    <xf numFmtId="0" fontId="41" fillId="0" borderId="0" xfId="0" applyFont="1"/>
    <xf numFmtId="0" fontId="33" fillId="0" borderId="0" xfId="0" applyFont="1"/>
    <xf numFmtId="0" fontId="32" fillId="0" borderId="0" xfId="0" applyFont="1"/>
    <xf numFmtId="49" fontId="33" fillId="0" borderId="0" xfId="0" applyNumberFormat="1" applyFont="1" applyAlignment="1">
      <alignment horizontal="center"/>
    </xf>
    <xf numFmtId="0" fontId="33" fillId="5" borderId="0" xfId="0" applyFont="1" applyFill="1" applyAlignment="1" applyProtection="1">
      <alignment horizontal="left" wrapText="1"/>
      <protection locked="0"/>
    </xf>
    <xf numFmtId="0" fontId="29" fillId="5" borderId="0" xfId="0" applyFont="1" applyFill="1" applyAlignment="1" applyProtection="1">
      <alignment horizontal="left"/>
      <protection locked="0"/>
    </xf>
    <xf numFmtId="14" fontId="33" fillId="5" borderId="0" xfId="0" applyNumberFormat="1" applyFont="1" applyFill="1" applyAlignment="1" applyProtection="1">
      <alignment horizontal="center"/>
      <protection locked="0"/>
    </xf>
    <xf numFmtId="0" fontId="33" fillId="0" borderId="0" xfId="0" applyFont="1" applyAlignment="1" applyProtection="1">
      <alignment horizontal="center"/>
      <protection locked="0"/>
    </xf>
    <xf numFmtId="2" fontId="33" fillId="0" borderId="0" xfId="0" applyNumberFormat="1" applyFont="1" applyAlignment="1" applyProtection="1">
      <alignment horizontal="right"/>
      <protection locked="0"/>
    </xf>
    <xf numFmtId="165" fontId="33" fillId="0" borderId="0" xfId="2" applyNumberFormat="1" applyFont="1" applyFill="1" applyBorder="1" applyAlignment="1" applyProtection="1">
      <alignment horizontal="right"/>
    </xf>
    <xf numFmtId="165" fontId="33" fillId="0" borderId="0" xfId="2" applyNumberFormat="1" applyFont="1" applyBorder="1" applyAlignment="1" applyProtection="1">
      <alignment horizontal="right"/>
      <protection locked="0"/>
    </xf>
    <xf numFmtId="165" fontId="33" fillId="0" borderId="0" xfId="2" applyNumberFormat="1" applyFont="1" applyBorder="1" applyAlignment="1" applyProtection="1">
      <alignment horizontal="right"/>
    </xf>
    <xf numFmtId="165" fontId="33" fillId="2" borderId="0" xfId="2" applyNumberFormat="1" applyFont="1" applyFill="1" applyBorder="1" applyAlignment="1" applyProtection="1">
      <alignment horizontal="right"/>
    </xf>
    <xf numFmtId="10" fontId="33" fillId="2" borderId="0" xfId="3" applyNumberFormat="1" applyFont="1" applyFill="1" applyBorder="1" applyAlignment="1" applyProtection="1">
      <alignment horizontal="right"/>
    </xf>
    <xf numFmtId="165" fontId="33" fillId="7" borderId="0" xfId="2" applyNumberFormat="1" applyFont="1" applyFill="1" applyBorder="1" applyAlignment="1" applyProtection="1">
      <alignment horizontal="right"/>
    </xf>
    <xf numFmtId="166" fontId="33" fillId="0" borderId="0" xfId="2" applyNumberFormat="1" applyFont="1" applyBorder="1" applyAlignment="1" applyProtection="1">
      <alignment horizontal="right"/>
      <protection locked="0"/>
    </xf>
    <xf numFmtId="0" fontId="41" fillId="4" borderId="4" xfId="0" applyFont="1" applyFill="1" applyBorder="1" applyAlignment="1">
      <alignment horizontal="center" wrapText="1"/>
    </xf>
    <xf numFmtId="0" fontId="41" fillId="4" borderId="4" xfId="0" applyFont="1" applyFill="1" applyBorder="1" applyAlignment="1">
      <alignment horizontal="center"/>
    </xf>
    <xf numFmtId="165" fontId="41" fillId="4" borderId="4" xfId="0" applyNumberFormat="1" applyFont="1" applyFill="1" applyBorder="1" applyAlignment="1">
      <alignment horizontal="center"/>
    </xf>
    <xf numFmtId="0" fontId="41" fillId="7" borderId="4" xfId="0" applyFont="1" applyFill="1" applyBorder="1" applyAlignment="1">
      <alignment horizontal="center"/>
    </xf>
    <xf numFmtId="0" fontId="41" fillId="4" borderId="2" xfId="0" applyFont="1" applyFill="1" applyBorder="1" applyAlignment="1">
      <alignment horizontal="center" wrapText="1"/>
    </xf>
    <xf numFmtId="0" fontId="41" fillId="4" borderId="2" xfId="0" applyFont="1" applyFill="1" applyBorder="1" applyAlignment="1">
      <alignment horizontal="center"/>
    </xf>
    <xf numFmtId="165" fontId="41" fillId="4" borderId="2" xfId="0" applyNumberFormat="1" applyFont="1" applyFill="1" applyBorder="1" applyAlignment="1">
      <alignment horizontal="center"/>
    </xf>
    <xf numFmtId="0" fontId="41" fillId="7" borderId="2" xfId="0" applyFont="1" applyFill="1" applyBorder="1" applyAlignment="1">
      <alignment horizontal="center"/>
    </xf>
    <xf numFmtId="165" fontId="41" fillId="0" borderId="4" xfId="2" applyNumberFormat="1" applyFont="1" applyBorder="1" applyAlignment="1" applyProtection="1">
      <alignment horizontal="right"/>
    </xf>
    <xf numFmtId="0" fontId="17" fillId="4" borderId="0" xfId="0" applyFont="1" applyFill="1" applyAlignment="1">
      <alignment horizontal="center"/>
    </xf>
    <xf numFmtId="0" fontId="41" fillId="4" borderId="3" xfId="0" applyFont="1" applyFill="1" applyBorder="1" applyAlignment="1">
      <alignment horizontal="center"/>
    </xf>
    <xf numFmtId="0" fontId="41" fillId="4" borderId="1" xfId="0" applyFont="1" applyFill="1" applyBorder="1" applyAlignment="1">
      <alignment horizontal="center"/>
    </xf>
    <xf numFmtId="0" fontId="41" fillId="4" borderId="1" xfId="0" applyFont="1" applyFill="1" applyBorder="1" applyAlignment="1">
      <alignment horizontal="center" wrapText="1"/>
    </xf>
    <xf numFmtId="0" fontId="41" fillId="4" borderId="9" xfId="0" applyFont="1" applyFill="1" applyBorder="1" applyAlignment="1">
      <alignment horizontal="center"/>
    </xf>
    <xf numFmtId="2" fontId="29" fillId="0" borderId="0" xfId="0" applyNumberFormat="1" applyFont="1" applyAlignment="1" applyProtection="1">
      <alignment horizontal="left"/>
      <protection locked="0"/>
    </xf>
    <xf numFmtId="14" fontId="29" fillId="5" borderId="0" xfId="0" applyNumberFormat="1" applyFont="1" applyFill="1" applyAlignment="1" applyProtection="1">
      <alignment horizontal="center"/>
      <protection locked="0"/>
    </xf>
    <xf numFmtId="49" fontId="33" fillId="5" borderId="0" xfId="0" applyNumberFormat="1" applyFont="1" applyFill="1" applyAlignment="1">
      <alignment horizontal="center"/>
    </xf>
    <xf numFmtId="0" fontId="29" fillId="5" borderId="0" xfId="0" applyFont="1" applyFill="1" applyAlignment="1" applyProtection="1">
      <alignment horizontal="center"/>
      <protection locked="0"/>
    </xf>
    <xf numFmtId="49" fontId="1" fillId="0" borderId="18" xfId="0" applyNumberFormat="1" applyFont="1" applyBorder="1" applyAlignment="1">
      <alignment horizontal="center"/>
    </xf>
    <xf numFmtId="0" fontId="32" fillId="4" borderId="2" xfId="0" applyFont="1" applyFill="1" applyBorder="1" applyAlignment="1">
      <alignment horizontal="center"/>
    </xf>
    <xf numFmtId="165" fontId="32" fillId="4" borderId="2" xfId="0" applyNumberFormat="1" applyFont="1" applyFill="1" applyBorder="1" applyAlignment="1">
      <alignment horizontal="center"/>
    </xf>
    <xf numFmtId="0" fontId="32" fillId="7" borderId="2" xfId="0" applyFont="1" applyFill="1" applyBorder="1" applyAlignment="1">
      <alignment horizontal="center"/>
    </xf>
    <xf numFmtId="14" fontId="33" fillId="0" borderId="0" xfId="0" applyNumberFormat="1" applyFont="1" applyAlignment="1" applyProtection="1">
      <alignment horizontal="center"/>
      <protection locked="0"/>
    </xf>
    <xf numFmtId="14" fontId="29" fillId="0" borderId="0" xfId="0" applyNumberFormat="1" applyFont="1" applyAlignment="1" applyProtection="1">
      <alignment horizontal="left"/>
      <protection locked="0"/>
    </xf>
    <xf numFmtId="4" fontId="29" fillId="5" borderId="0" xfId="0" applyNumberFormat="1" applyFont="1" applyFill="1" applyAlignment="1" applyProtection="1">
      <alignment horizontal="right"/>
      <protection locked="0"/>
    </xf>
    <xf numFmtId="0" fontId="33" fillId="5" borderId="0" xfId="0" applyFont="1" applyFill="1" applyAlignment="1">
      <alignment horizontal="center"/>
    </xf>
    <xf numFmtId="49" fontId="33" fillId="5" borderId="0" xfId="5" applyNumberFormat="1" applyFont="1" applyFill="1" applyAlignment="1" applyProtection="1">
      <alignment vertical="center" wrapText="1"/>
      <protection locked="0"/>
    </xf>
    <xf numFmtId="49" fontId="29" fillId="5" borderId="0" xfId="5" applyNumberFormat="1" applyFont="1" applyFill="1" applyAlignment="1" applyProtection="1">
      <alignment vertical="center" wrapText="1"/>
      <protection locked="0"/>
    </xf>
    <xf numFmtId="14" fontId="33" fillId="5" borderId="0" xfId="5" applyNumberFormat="1" applyFont="1" applyFill="1" applyAlignment="1" applyProtection="1">
      <alignment horizontal="center" vertical="center" wrapText="1"/>
      <protection locked="0"/>
    </xf>
    <xf numFmtId="0" fontId="33" fillId="0" borderId="0" xfId="0" applyFont="1" applyAlignment="1" applyProtection="1">
      <alignment horizontal="left"/>
      <protection locked="0"/>
    </xf>
    <xf numFmtId="14" fontId="33" fillId="5" borderId="4" xfId="5" applyNumberFormat="1" applyFont="1" applyFill="1" applyBorder="1" applyAlignment="1" applyProtection="1">
      <alignment horizontal="center" vertical="center" wrapText="1"/>
      <protection locked="0"/>
    </xf>
    <xf numFmtId="49" fontId="40" fillId="5" borderId="2" xfId="5" applyNumberFormat="1" applyFont="1" applyFill="1" applyBorder="1" applyAlignment="1" applyProtection="1">
      <alignment vertical="center" wrapText="1"/>
      <protection locked="0"/>
    </xf>
    <xf numFmtId="49" fontId="40" fillId="5" borderId="4" xfId="5" applyNumberFormat="1" applyFont="1" applyFill="1" applyBorder="1" applyAlignment="1" applyProtection="1">
      <alignment vertical="center" wrapText="1"/>
      <protection locked="0"/>
    </xf>
    <xf numFmtId="49" fontId="29" fillId="0" borderId="7" xfId="0" applyNumberFormat="1" applyFont="1" applyBorder="1" applyAlignment="1">
      <alignment horizontal="center" vertical="center"/>
    </xf>
    <xf numFmtId="49" fontId="29" fillId="5" borderId="4" xfId="0" applyNumberFormat="1" applyFont="1" applyFill="1" applyBorder="1" applyAlignment="1">
      <alignment horizontal="center" vertical="center"/>
    </xf>
    <xf numFmtId="49" fontId="29" fillId="0" borderId="4" xfId="0" applyNumberFormat="1" applyFont="1" applyBorder="1" applyAlignment="1">
      <alignment horizontal="center" vertical="center"/>
    </xf>
    <xf numFmtId="0" fontId="40" fillId="0" borderId="4" xfId="0" applyFont="1" applyBorder="1" applyAlignment="1" applyProtection="1">
      <alignment horizontal="left" vertical="center" wrapText="1"/>
      <protection locked="0"/>
    </xf>
    <xf numFmtId="0" fontId="29" fillId="0" borderId="4" xfId="0" applyFont="1" applyBorder="1" applyAlignment="1" applyProtection="1">
      <alignment horizontal="left" vertical="center"/>
      <protection locked="0"/>
    </xf>
    <xf numFmtId="14" fontId="33" fillId="0" borderId="4" xfId="0" applyNumberFormat="1" applyFont="1" applyBorder="1" applyAlignment="1" applyProtection="1">
      <alignment horizontal="center" vertical="center"/>
      <protection locked="0"/>
    </xf>
    <xf numFmtId="0" fontId="33" fillId="0" borderId="4" xfId="0" applyFont="1" applyBorder="1" applyAlignment="1" applyProtection="1">
      <alignment horizontal="left" vertical="center" wrapText="1"/>
      <protection locked="0"/>
    </xf>
    <xf numFmtId="0" fontId="33" fillId="0" borderId="4" xfId="0" applyFont="1" applyBorder="1" applyAlignment="1" applyProtection="1">
      <alignment horizontal="center" vertical="center"/>
      <protection locked="0"/>
    </xf>
    <xf numFmtId="2" fontId="33" fillId="0" borderId="4" xfId="0" applyNumberFormat="1" applyFont="1" applyBorder="1" applyAlignment="1" applyProtection="1">
      <alignment horizontal="right" vertical="center"/>
      <protection locked="0"/>
    </xf>
    <xf numFmtId="165" fontId="33" fillId="0" borderId="4" xfId="2" applyNumberFormat="1" applyFont="1" applyFill="1" applyBorder="1" applyAlignment="1" applyProtection="1">
      <alignment horizontal="right" vertical="center"/>
    </xf>
    <xf numFmtId="165" fontId="33" fillId="0" borderId="4" xfId="2" applyNumberFormat="1" applyFont="1" applyBorder="1" applyAlignment="1" applyProtection="1">
      <alignment horizontal="right" vertical="center"/>
      <protection locked="0"/>
    </xf>
    <xf numFmtId="165" fontId="33" fillId="0" borderId="4" xfId="2" applyNumberFormat="1" applyFont="1" applyBorder="1" applyAlignment="1" applyProtection="1">
      <alignment horizontal="right" vertical="center"/>
    </xf>
    <xf numFmtId="166" fontId="33" fillId="0" borderId="4" xfId="2" applyNumberFormat="1" applyFont="1" applyBorder="1" applyAlignment="1" applyProtection="1">
      <alignment horizontal="right" vertical="center"/>
      <protection locked="0"/>
    </xf>
    <xf numFmtId="0" fontId="29" fillId="0" borderId="4" xfId="0" applyFont="1" applyBorder="1" applyAlignment="1">
      <alignment vertical="center"/>
    </xf>
    <xf numFmtId="165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43" fontId="4" fillId="0" borderId="0" xfId="2" applyFont="1" applyAlignment="1" applyProtection="1">
      <alignment vertical="center"/>
    </xf>
    <xf numFmtId="49" fontId="33" fillId="0" borderId="4" xfId="0" applyNumberFormat="1" applyFont="1" applyBorder="1" applyAlignment="1">
      <alignment horizontal="center" vertical="center"/>
    </xf>
    <xf numFmtId="0" fontId="29" fillId="0" borderId="2" xfId="0" applyFont="1" applyBorder="1" applyAlignment="1">
      <alignment vertical="center"/>
    </xf>
    <xf numFmtId="0" fontId="29" fillId="0" borderId="4" xfId="0" applyFont="1" applyBorder="1" applyAlignment="1" applyProtection="1">
      <alignment horizontal="left" vertical="center" wrapText="1"/>
      <protection locked="0"/>
    </xf>
    <xf numFmtId="0" fontId="29" fillId="0" borderId="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vertical="center"/>
    </xf>
    <xf numFmtId="49" fontId="33" fillId="5" borderId="4" xfId="0" applyNumberFormat="1" applyFont="1" applyFill="1" applyBorder="1" applyAlignment="1">
      <alignment horizontal="center" vertical="center"/>
    </xf>
    <xf numFmtId="0" fontId="40" fillId="5" borderId="4" xfId="0" applyFont="1" applyFill="1" applyBorder="1" applyAlignment="1" applyProtection="1">
      <alignment horizontal="left" vertical="center" wrapText="1"/>
      <protection locked="0"/>
    </xf>
    <xf numFmtId="0" fontId="29" fillId="5" borderId="4" xfId="0" applyFont="1" applyFill="1" applyBorder="1" applyAlignment="1" applyProtection="1">
      <alignment horizontal="left" vertical="center"/>
      <protection locked="0"/>
    </xf>
    <xf numFmtId="14" fontId="29" fillId="5" borderId="4" xfId="0" applyNumberFormat="1" applyFont="1" applyFill="1" applyBorder="1" applyAlignment="1" applyProtection="1">
      <alignment horizontal="center" vertical="center"/>
      <protection locked="0"/>
    </xf>
    <xf numFmtId="2" fontId="29" fillId="0" borderId="4" xfId="0" applyNumberFormat="1" applyFont="1" applyBorder="1" applyAlignment="1" applyProtection="1">
      <alignment horizontal="left" vertical="center"/>
      <protection locked="0"/>
    </xf>
    <xf numFmtId="14" fontId="29" fillId="0" borderId="4" xfId="0" applyNumberFormat="1" applyFont="1" applyBorder="1" applyAlignment="1" applyProtection="1">
      <alignment horizontal="center" vertical="center"/>
      <protection locked="0"/>
    </xf>
    <xf numFmtId="165" fontId="29" fillId="0" borderId="4" xfId="2" applyNumberFormat="1" applyFont="1" applyFill="1" applyBorder="1" applyAlignment="1" applyProtection="1">
      <alignment horizontal="right" vertical="center"/>
    </xf>
    <xf numFmtId="165" fontId="29" fillId="0" borderId="4" xfId="2" applyNumberFormat="1" applyFont="1" applyBorder="1" applyAlignment="1" applyProtection="1">
      <alignment horizontal="right" vertical="center"/>
      <protection locked="0"/>
    </xf>
    <xf numFmtId="165" fontId="29" fillId="0" borderId="4" xfId="2" applyNumberFormat="1" applyFont="1" applyBorder="1" applyAlignment="1" applyProtection="1">
      <alignment horizontal="right" vertical="center"/>
    </xf>
    <xf numFmtId="165" fontId="29" fillId="2" borderId="4" xfId="2" applyNumberFormat="1" applyFont="1" applyFill="1" applyBorder="1" applyAlignment="1" applyProtection="1">
      <alignment horizontal="right" vertical="center"/>
    </xf>
    <xf numFmtId="10" fontId="29" fillId="2" borderId="4" xfId="3" applyNumberFormat="1" applyFont="1" applyFill="1" applyBorder="1" applyAlignment="1" applyProtection="1">
      <alignment horizontal="right" vertical="center"/>
    </xf>
    <xf numFmtId="165" fontId="29" fillId="7" borderId="4" xfId="2" applyNumberFormat="1" applyFont="1" applyFill="1" applyBorder="1" applyAlignment="1" applyProtection="1">
      <alignment horizontal="right" vertical="center"/>
    </xf>
    <xf numFmtId="166" fontId="29" fillId="0" borderId="4" xfId="2" applyNumberFormat="1" applyFont="1" applyBorder="1" applyAlignment="1" applyProtection="1">
      <alignment horizontal="right" vertical="center"/>
      <protection locked="0"/>
    </xf>
    <xf numFmtId="0" fontId="18" fillId="0" borderId="4" xfId="0" applyFont="1" applyBorder="1" applyAlignment="1">
      <alignment vertical="center"/>
    </xf>
    <xf numFmtId="0" fontId="18" fillId="0" borderId="0" xfId="0" applyFont="1" applyAlignment="1">
      <alignment vertical="center"/>
    </xf>
    <xf numFmtId="2" fontId="27" fillId="0" borderId="4" xfId="0" applyNumberFormat="1" applyFont="1" applyBorder="1" applyAlignment="1" applyProtection="1">
      <alignment horizontal="right" vertical="center"/>
      <protection locked="0"/>
    </xf>
    <xf numFmtId="49" fontId="29" fillId="0" borderId="9" xfId="0" applyNumberFormat="1" applyFont="1" applyBorder="1" applyAlignment="1">
      <alignment horizontal="center" vertical="center"/>
    </xf>
    <xf numFmtId="0" fontId="29" fillId="0" borderId="1" xfId="0" applyFont="1" applyBorder="1" applyAlignment="1" applyProtection="1">
      <alignment horizontal="left" vertical="center" wrapText="1"/>
      <protection locked="0"/>
    </xf>
    <xf numFmtId="0" fontId="29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>
      <alignment vertical="center"/>
    </xf>
    <xf numFmtId="0" fontId="29" fillId="5" borderId="4" xfId="0" applyFont="1" applyFill="1" applyBorder="1" applyAlignment="1" applyProtection="1">
      <alignment horizontal="left" vertical="center" wrapText="1"/>
      <protection locked="0"/>
    </xf>
    <xf numFmtId="0" fontId="29" fillId="5" borderId="4" xfId="0" applyFont="1" applyFill="1" applyBorder="1" applyAlignment="1" applyProtection="1">
      <alignment horizontal="center" vertical="center"/>
      <protection locked="0"/>
    </xf>
    <xf numFmtId="165" fontId="29" fillId="5" borderId="4" xfId="2" applyNumberFormat="1" applyFont="1" applyFill="1" applyBorder="1" applyAlignment="1" applyProtection="1">
      <alignment horizontal="right" vertical="center"/>
    </xf>
    <xf numFmtId="0" fontId="18" fillId="5" borderId="4" xfId="0" applyFont="1" applyFill="1" applyBorder="1" applyAlignment="1">
      <alignment vertical="center"/>
    </xf>
    <xf numFmtId="165" fontId="27" fillId="2" borderId="4" xfId="2" applyNumberFormat="1" applyFont="1" applyFill="1" applyBorder="1" applyAlignment="1" applyProtection="1">
      <alignment horizontal="right" vertical="center"/>
    </xf>
    <xf numFmtId="0" fontId="29" fillId="0" borderId="0" xfId="0" applyFont="1" applyAlignment="1">
      <alignment horizontal="center" vertical="center"/>
    </xf>
    <xf numFmtId="0" fontId="29" fillId="0" borderId="7" xfId="0" applyFont="1" applyBorder="1" applyAlignment="1" applyProtection="1">
      <alignment horizontal="center" vertical="center"/>
      <protection locked="0"/>
    </xf>
    <xf numFmtId="2" fontId="4" fillId="0" borderId="7" xfId="0" applyNumberFormat="1" applyFont="1" applyBorder="1" applyAlignment="1" applyProtection="1">
      <alignment horizontal="right" vertical="center"/>
      <protection locked="0"/>
    </xf>
    <xf numFmtId="0" fontId="0" fillId="0" borderId="0" xfId="0" applyAlignment="1">
      <alignment vertical="center"/>
    </xf>
    <xf numFmtId="0" fontId="33" fillId="5" borderId="4" xfId="0" applyFont="1" applyFill="1" applyBorder="1" applyAlignment="1">
      <alignment horizontal="center" vertical="center"/>
    </xf>
    <xf numFmtId="0" fontId="33" fillId="0" borderId="4" xfId="0" applyFont="1" applyBorder="1" applyAlignment="1" applyProtection="1">
      <alignment horizontal="left" vertical="center"/>
      <protection locked="0"/>
    </xf>
    <xf numFmtId="165" fontId="29" fillId="0" borderId="7" xfId="2" applyNumberFormat="1" applyFont="1" applyFill="1" applyBorder="1" applyAlignment="1" applyProtection="1">
      <alignment horizontal="right" vertical="center"/>
    </xf>
    <xf numFmtId="165" fontId="29" fillId="0" borderId="7" xfId="2" applyNumberFormat="1" applyFont="1" applyBorder="1" applyAlignment="1" applyProtection="1">
      <alignment horizontal="right" vertical="center"/>
      <protection locked="0"/>
    </xf>
    <xf numFmtId="165" fontId="29" fillId="0" borderId="7" xfId="2" applyNumberFormat="1" applyFont="1" applyBorder="1" applyAlignment="1" applyProtection="1">
      <alignment horizontal="right" vertical="center"/>
    </xf>
    <xf numFmtId="14" fontId="33" fillId="0" borderId="4" xfId="0" applyNumberFormat="1" applyFont="1" applyBorder="1" applyAlignment="1">
      <alignment horizontal="center" vertical="center"/>
    </xf>
    <xf numFmtId="0" fontId="29" fillId="0" borderId="4" xfId="0" applyFont="1" applyBorder="1" applyAlignment="1">
      <alignment vertical="center" wrapText="1"/>
    </xf>
    <xf numFmtId="0" fontId="29" fillId="0" borderId="4" xfId="0" applyFont="1" applyBorder="1" applyAlignment="1">
      <alignment horizontal="left" vertical="center" wrapText="1"/>
    </xf>
    <xf numFmtId="49" fontId="29" fillId="0" borderId="18" xfId="0" applyNumberFormat="1" applyFont="1" applyBorder="1" applyAlignment="1">
      <alignment horizontal="center" vertical="center"/>
    </xf>
    <xf numFmtId="49" fontId="40" fillId="0" borderId="4" xfId="5" applyNumberFormat="1" applyFont="1" applyBorder="1" applyAlignment="1" applyProtection="1">
      <alignment vertical="center" wrapText="1"/>
      <protection locked="0"/>
    </xf>
    <xf numFmtId="0" fontId="31" fillId="0" borderId="0" xfId="0" applyFont="1" applyAlignment="1" applyProtection="1">
      <alignment horizontal="center" vertical="center"/>
      <protection locked="0"/>
    </xf>
    <xf numFmtId="14" fontId="33" fillId="0" borderId="4" xfId="0" applyNumberFormat="1" applyFont="1" applyBorder="1" applyAlignment="1" applyProtection="1">
      <alignment horizontal="left" vertical="center" wrapText="1"/>
      <protection locked="0"/>
    </xf>
    <xf numFmtId="14" fontId="33" fillId="5" borderId="4" xfId="0" applyNumberFormat="1" applyFont="1" applyFill="1" applyBorder="1" applyAlignment="1" applyProtection="1">
      <alignment horizontal="center" vertical="center"/>
      <protection locked="0"/>
    </xf>
    <xf numFmtId="49" fontId="1" fillId="0" borderId="7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33" fillId="0" borderId="3" xfId="0" applyNumberFormat="1" applyFont="1" applyBorder="1" applyAlignment="1">
      <alignment horizontal="center" vertical="center"/>
    </xf>
    <xf numFmtId="0" fontId="40" fillId="5" borderId="3" xfId="0" applyFont="1" applyFill="1" applyBorder="1" applyAlignment="1" applyProtection="1">
      <alignment horizontal="left" vertical="center" wrapText="1"/>
      <protection locked="0"/>
    </xf>
    <xf numFmtId="0" fontId="29" fillId="5" borderId="3" xfId="0" applyFont="1" applyFill="1" applyBorder="1" applyAlignment="1" applyProtection="1">
      <alignment horizontal="left" vertical="center"/>
      <protection locked="0"/>
    </xf>
    <xf numFmtId="14" fontId="33" fillId="5" borderId="3" xfId="0" applyNumberFormat="1" applyFont="1" applyFill="1" applyBorder="1" applyAlignment="1" applyProtection="1">
      <alignment horizontal="center" vertical="center"/>
      <protection locked="0"/>
    </xf>
    <xf numFmtId="0" fontId="33" fillId="0" borderId="3" xfId="0" applyFont="1" applyBorder="1" applyAlignment="1" applyProtection="1">
      <alignment horizontal="left" vertical="center" wrapText="1"/>
      <protection locked="0"/>
    </xf>
    <xf numFmtId="165" fontId="33" fillId="0" borderId="3" xfId="2" applyNumberFormat="1" applyFont="1" applyFill="1" applyBorder="1" applyAlignment="1" applyProtection="1">
      <alignment horizontal="right" vertical="center"/>
    </xf>
    <xf numFmtId="165" fontId="33" fillId="0" borderId="3" xfId="2" applyNumberFormat="1" applyFont="1" applyBorder="1" applyAlignment="1" applyProtection="1">
      <alignment horizontal="right" vertical="center"/>
      <protection locked="0"/>
    </xf>
    <xf numFmtId="165" fontId="33" fillId="0" borderId="3" xfId="2" applyNumberFormat="1" applyFont="1" applyBorder="1" applyAlignment="1" applyProtection="1">
      <alignment horizontal="right" vertical="center"/>
    </xf>
    <xf numFmtId="166" fontId="33" fillId="0" borderId="3" xfId="2" applyNumberFormat="1" applyFont="1" applyBorder="1" applyAlignment="1" applyProtection="1">
      <alignment horizontal="right" vertical="center"/>
      <protection locked="0"/>
    </xf>
    <xf numFmtId="0" fontId="1" fillId="0" borderId="3" xfId="0" applyFont="1" applyBorder="1" applyAlignment="1">
      <alignment vertical="center"/>
    </xf>
    <xf numFmtId="43" fontId="1" fillId="0" borderId="0" xfId="2" applyFont="1" applyAlignment="1" applyProtection="1">
      <alignment vertical="center"/>
    </xf>
    <xf numFmtId="0" fontId="5" fillId="4" borderId="4" xfId="0" applyFont="1" applyFill="1" applyBorder="1" applyAlignment="1">
      <alignment horizontal="center" vertical="center"/>
    </xf>
    <xf numFmtId="0" fontId="29" fillId="5" borderId="4" xfId="0" applyFont="1" applyFill="1" applyBorder="1" applyAlignment="1">
      <alignment horizontal="left" vertical="center"/>
    </xf>
    <xf numFmtId="14" fontId="33" fillId="5" borderId="4" xfId="0" applyNumberFormat="1" applyFont="1" applyFill="1" applyBorder="1" applyAlignment="1">
      <alignment horizontal="center" vertical="center"/>
    </xf>
    <xf numFmtId="0" fontId="33" fillId="5" borderId="4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vertical="center"/>
    </xf>
    <xf numFmtId="9" fontId="18" fillId="0" borderId="0" xfId="0" applyNumberFormat="1" applyFont="1" applyAlignment="1">
      <alignment vertical="center"/>
    </xf>
    <xf numFmtId="49" fontId="4" fillId="0" borderId="15" xfId="0" applyNumberFormat="1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29" fillId="0" borderId="4" xfId="0" applyFont="1" applyBorder="1" applyAlignment="1">
      <alignment horizontal="center" vertical="center"/>
    </xf>
    <xf numFmtId="0" fontId="29" fillId="5" borderId="4" xfId="0" applyFont="1" applyFill="1" applyBorder="1" applyAlignment="1">
      <alignment vertical="center"/>
    </xf>
    <xf numFmtId="14" fontId="33" fillId="0" borderId="4" xfId="0" applyNumberFormat="1" applyFont="1" applyBorder="1" applyAlignment="1" applyProtection="1">
      <alignment horizontal="left" vertical="center"/>
      <protection locked="0"/>
    </xf>
    <xf numFmtId="0" fontId="35" fillId="0" borderId="0" xfId="0" applyFont="1" applyAlignment="1">
      <alignment vertical="center"/>
    </xf>
    <xf numFmtId="14" fontId="29" fillId="0" borderId="4" xfId="0" applyNumberFormat="1" applyFont="1" applyBorder="1" applyAlignment="1" applyProtection="1">
      <alignment horizontal="left" vertical="center"/>
      <protection locked="0"/>
    </xf>
    <xf numFmtId="4" fontId="29" fillId="0" borderId="4" xfId="0" applyNumberFormat="1" applyFont="1" applyBorder="1" applyAlignment="1" applyProtection="1">
      <alignment horizontal="right" vertical="center"/>
      <protection locked="0"/>
    </xf>
    <xf numFmtId="0" fontId="0" fillId="0" borderId="4" xfId="0" applyBorder="1" applyAlignment="1">
      <alignment vertical="center"/>
    </xf>
    <xf numFmtId="0" fontId="39" fillId="0" borderId="4" xfId="0" applyFont="1" applyBorder="1" applyAlignment="1">
      <alignment vertical="center"/>
    </xf>
    <xf numFmtId="165" fontId="18" fillId="2" borderId="4" xfId="2" applyNumberFormat="1" applyFont="1" applyFill="1" applyBorder="1" applyAlignment="1" applyProtection="1">
      <alignment horizontal="right" vertical="center"/>
    </xf>
    <xf numFmtId="0" fontId="33" fillId="0" borderId="4" xfId="0" applyFont="1" applyBorder="1" applyAlignment="1">
      <alignment vertical="center"/>
    </xf>
    <xf numFmtId="49" fontId="29" fillId="0" borderId="0" xfId="0" applyNumberFormat="1" applyFont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2" fillId="0" borderId="6" xfId="0" applyFont="1" applyBorder="1" applyAlignment="1">
      <alignment horizontal="center"/>
    </xf>
    <xf numFmtId="0" fontId="40" fillId="0" borderId="4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left" vertical="center"/>
      <protection locked="0"/>
    </xf>
    <xf numFmtId="0" fontId="21" fillId="0" borderId="0" xfId="0" applyFont="1" applyAlignment="1">
      <alignment vertical="center"/>
    </xf>
    <xf numFmtId="49" fontId="40" fillId="5" borderId="4" xfId="0" applyNumberFormat="1" applyFont="1" applyFill="1" applyBorder="1" applyAlignment="1">
      <alignment vertical="center" wrapText="1"/>
    </xf>
    <xf numFmtId="14" fontId="29" fillId="5" borderId="4" xfId="0" applyNumberFormat="1" applyFont="1" applyFill="1" applyBorder="1" applyAlignment="1">
      <alignment horizontal="center" vertical="center"/>
    </xf>
    <xf numFmtId="0" fontId="29" fillId="5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165" fontId="29" fillId="2" borderId="0" xfId="2" applyNumberFormat="1" applyFont="1" applyFill="1" applyBorder="1" applyAlignment="1" applyProtection="1">
      <alignment horizontal="right" vertical="center"/>
    </xf>
    <xf numFmtId="165" fontId="27" fillId="2" borderId="0" xfId="2" applyNumberFormat="1" applyFont="1" applyFill="1" applyBorder="1" applyAlignment="1" applyProtection="1">
      <alignment horizontal="right" vertical="center"/>
    </xf>
    <xf numFmtId="10" fontId="29" fillId="2" borderId="0" xfId="3" applyNumberFormat="1" applyFont="1" applyFill="1" applyBorder="1" applyAlignment="1" applyProtection="1">
      <alignment horizontal="right" vertical="center"/>
    </xf>
    <xf numFmtId="165" fontId="29" fillId="7" borderId="0" xfId="2" applyNumberFormat="1" applyFont="1" applyFill="1" applyBorder="1" applyAlignment="1" applyProtection="1">
      <alignment horizontal="right" vertical="center"/>
    </xf>
    <xf numFmtId="0" fontId="18" fillId="4" borderId="4" xfId="0" applyFont="1" applyFill="1" applyBorder="1"/>
    <xf numFmtId="165" fontId="33" fillId="2" borderId="4" xfId="2" applyNumberFormat="1" applyFont="1" applyFill="1" applyBorder="1" applyAlignment="1" applyProtection="1">
      <alignment horizontal="right" vertical="center"/>
    </xf>
    <xf numFmtId="10" fontId="33" fillId="2" borderId="4" xfId="3" applyNumberFormat="1" applyFont="1" applyFill="1" applyBorder="1" applyAlignment="1" applyProtection="1">
      <alignment horizontal="right" vertical="center"/>
    </xf>
    <xf numFmtId="165" fontId="33" fillId="7" borderId="4" xfId="2" applyNumberFormat="1" applyFont="1" applyFill="1" applyBorder="1" applyAlignment="1" applyProtection="1">
      <alignment horizontal="right" vertical="center"/>
    </xf>
    <xf numFmtId="49" fontId="33" fillId="5" borderId="0" xfId="0" applyNumberFormat="1" applyFont="1" applyFill="1" applyAlignment="1">
      <alignment horizontal="center" vertical="center"/>
    </xf>
    <xf numFmtId="49" fontId="33" fillId="0" borderId="0" xfId="0" applyNumberFormat="1" applyFont="1" applyAlignment="1">
      <alignment horizontal="center" vertical="center"/>
    </xf>
    <xf numFmtId="0" fontId="40" fillId="0" borderId="0" xfId="0" applyFont="1" applyAlignment="1" applyProtection="1">
      <alignment horizontal="left" vertical="center" wrapText="1"/>
      <protection locked="0"/>
    </xf>
    <xf numFmtId="0" fontId="29" fillId="0" borderId="0" xfId="0" applyFont="1" applyAlignment="1" applyProtection="1">
      <alignment horizontal="left" vertical="center"/>
      <protection locked="0"/>
    </xf>
    <xf numFmtId="14" fontId="33" fillId="0" borderId="0" xfId="0" applyNumberFormat="1" applyFont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left" vertical="center" wrapText="1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2" fontId="33" fillId="0" borderId="0" xfId="0" applyNumberFormat="1" applyFont="1" applyAlignment="1" applyProtection="1">
      <alignment horizontal="right" vertical="center"/>
      <protection locked="0"/>
    </xf>
    <xf numFmtId="165" fontId="33" fillId="0" borderId="0" xfId="2" applyNumberFormat="1" applyFont="1" applyFill="1" applyBorder="1" applyAlignment="1" applyProtection="1">
      <alignment horizontal="right" vertical="center"/>
    </xf>
    <xf numFmtId="165" fontId="33" fillId="0" borderId="0" xfId="2" applyNumberFormat="1" applyFont="1" applyBorder="1" applyAlignment="1" applyProtection="1">
      <alignment horizontal="right" vertical="center"/>
      <protection locked="0"/>
    </xf>
    <xf numFmtId="165" fontId="33" fillId="0" borderId="0" xfId="2" applyNumberFormat="1" applyFont="1" applyBorder="1" applyAlignment="1" applyProtection="1">
      <alignment horizontal="right" vertical="center"/>
    </xf>
    <xf numFmtId="166" fontId="33" fillId="0" borderId="0" xfId="2" applyNumberFormat="1" applyFont="1" applyBorder="1" applyAlignment="1" applyProtection="1">
      <alignment horizontal="right" vertical="center"/>
      <protection locked="0"/>
    </xf>
    <xf numFmtId="49" fontId="1" fillId="0" borderId="1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9" fillId="0" borderId="15" xfId="0" applyFont="1" applyBorder="1" applyAlignment="1">
      <alignment horizontal="center" vertical="center"/>
    </xf>
    <xf numFmtId="0" fontId="29" fillId="5" borderId="0" xfId="0" applyFont="1" applyFill="1" applyAlignment="1" applyProtection="1">
      <alignment horizontal="left" vertical="center"/>
      <protection locked="0"/>
    </xf>
    <xf numFmtId="14" fontId="33" fillId="5" borderId="0" xfId="0" applyNumberFormat="1" applyFont="1" applyFill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left" vertical="center" wrapText="1"/>
      <protection locked="0"/>
    </xf>
    <xf numFmtId="0" fontId="29" fillId="5" borderId="0" xfId="0" applyFont="1" applyFill="1" applyAlignment="1">
      <alignment vertical="center"/>
    </xf>
    <xf numFmtId="0" fontId="4" fillId="5" borderId="4" xfId="0" applyFont="1" applyFill="1" applyBorder="1"/>
    <xf numFmtId="0" fontId="13" fillId="0" borderId="0" xfId="0" applyFont="1" applyAlignment="1">
      <alignment horizontal="center"/>
    </xf>
    <xf numFmtId="0" fontId="33" fillId="0" borderId="4" xfId="0" applyFont="1" applyBorder="1" applyAlignment="1">
      <alignment horizontal="center" vertical="center"/>
    </xf>
    <xf numFmtId="49" fontId="44" fillId="0" borderId="4" xfId="5" applyNumberFormat="1" applyFont="1" applyBorder="1" applyAlignment="1" applyProtection="1">
      <alignment vertical="center" wrapText="1"/>
      <protection locked="0"/>
    </xf>
    <xf numFmtId="49" fontId="40" fillId="5" borderId="3" xfId="0" applyNumberFormat="1" applyFont="1" applyFill="1" applyBorder="1" applyAlignment="1">
      <alignment vertical="center" wrapText="1"/>
    </xf>
    <xf numFmtId="0" fontId="29" fillId="5" borderId="3" xfId="0" applyFont="1" applyFill="1" applyBorder="1" applyAlignment="1">
      <alignment vertical="center"/>
    </xf>
    <xf numFmtId="0" fontId="29" fillId="0" borderId="3" xfId="0" applyFont="1" applyBorder="1" applyAlignment="1">
      <alignment vertical="center"/>
    </xf>
    <xf numFmtId="14" fontId="33" fillId="0" borderId="3" xfId="0" applyNumberFormat="1" applyFont="1" applyBorder="1" applyAlignment="1">
      <alignment horizontal="center" vertical="center"/>
    </xf>
    <xf numFmtId="0" fontId="33" fillId="0" borderId="3" xfId="0" applyFont="1" applyBorder="1" applyAlignment="1" applyProtection="1">
      <alignment horizontal="center" vertical="center"/>
      <protection locked="0"/>
    </xf>
    <xf numFmtId="165" fontId="29" fillId="2" borderId="3" xfId="2" applyNumberFormat="1" applyFont="1" applyFill="1" applyBorder="1" applyAlignment="1" applyProtection="1">
      <alignment horizontal="right" vertical="center"/>
    </xf>
    <xf numFmtId="165" fontId="27" fillId="2" borderId="3" xfId="2" applyNumberFormat="1" applyFont="1" applyFill="1" applyBorder="1" applyAlignment="1" applyProtection="1">
      <alignment horizontal="right" vertical="center"/>
    </xf>
    <xf numFmtId="10" fontId="29" fillId="2" borderId="3" xfId="3" applyNumberFormat="1" applyFont="1" applyFill="1" applyBorder="1" applyAlignment="1" applyProtection="1">
      <alignment horizontal="right" vertical="center"/>
    </xf>
    <xf numFmtId="165" fontId="29" fillId="7" borderId="3" xfId="2" applyNumberFormat="1" applyFont="1" applyFill="1" applyBorder="1" applyAlignment="1" applyProtection="1">
      <alignment horizontal="right" vertical="center"/>
    </xf>
    <xf numFmtId="49" fontId="37" fillId="0" borderId="0" xfId="0" applyNumberFormat="1" applyFont="1" applyAlignment="1">
      <alignment horizontal="center" vertical="center"/>
    </xf>
    <xf numFmtId="0" fontId="38" fillId="0" borderId="0" xfId="0" applyFont="1" applyAlignment="1">
      <alignment vertical="center"/>
    </xf>
    <xf numFmtId="165" fontId="42" fillId="0" borderId="0" xfId="2" applyNumberFormat="1" applyFont="1" applyBorder="1" applyAlignment="1" applyProtection="1">
      <alignment horizontal="center" vertical="center"/>
      <protection locked="0"/>
    </xf>
    <xf numFmtId="49" fontId="33" fillId="0" borderId="4" xfId="0" applyNumberFormat="1" applyFont="1" applyBorder="1" applyAlignment="1" applyProtection="1">
      <alignment horizontal="center" vertical="center"/>
      <protection locked="0"/>
    </xf>
    <xf numFmtId="49" fontId="29" fillId="0" borderId="3" xfId="0" applyNumberFormat="1" applyFont="1" applyBorder="1" applyAlignment="1">
      <alignment horizontal="center" vertical="center"/>
    </xf>
    <xf numFmtId="49" fontId="29" fillId="0" borderId="2" xfId="0" applyNumberFormat="1" applyFont="1" applyBorder="1" applyAlignment="1">
      <alignment horizontal="center"/>
    </xf>
    <xf numFmtId="2" fontId="29" fillId="0" borderId="0" xfId="0" applyNumberFormat="1" applyFont="1" applyAlignment="1" applyProtection="1">
      <alignment horizontal="left" vertical="center"/>
      <protection locked="0"/>
    </xf>
    <xf numFmtId="14" fontId="29" fillId="0" borderId="0" xfId="0" applyNumberFormat="1" applyFont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2" fontId="27" fillId="0" borderId="0" xfId="0" applyNumberFormat="1" applyFont="1" applyAlignment="1" applyProtection="1">
      <alignment horizontal="right" vertical="center"/>
      <protection locked="0"/>
    </xf>
    <xf numFmtId="165" fontId="29" fillId="0" borderId="0" xfId="2" applyNumberFormat="1" applyFont="1" applyFill="1" applyBorder="1" applyAlignment="1" applyProtection="1">
      <alignment horizontal="right" vertical="center"/>
    </xf>
    <xf numFmtId="165" fontId="29" fillId="0" borderId="0" xfId="2" applyNumberFormat="1" applyFont="1" applyBorder="1" applyAlignment="1" applyProtection="1">
      <alignment horizontal="right" vertical="center"/>
      <protection locked="0"/>
    </xf>
    <xf numFmtId="165" fontId="29" fillId="0" borderId="0" xfId="2" applyNumberFormat="1" applyFont="1" applyBorder="1" applyAlignment="1" applyProtection="1">
      <alignment horizontal="right" vertical="center"/>
    </xf>
    <xf numFmtId="166" fontId="29" fillId="0" borderId="0" xfId="2" applyNumberFormat="1" applyFont="1" applyBorder="1" applyAlignment="1" applyProtection="1">
      <alignment horizontal="right" vertical="center"/>
      <protection locked="0"/>
    </xf>
    <xf numFmtId="0" fontId="21" fillId="0" borderId="4" xfId="0" applyFont="1" applyBorder="1" applyAlignment="1">
      <alignment vertical="center"/>
    </xf>
    <xf numFmtId="0" fontId="32" fillId="0" borderId="4" xfId="0" applyFont="1" applyBorder="1" applyAlignment="1">
      <alignment horizontal="center"/>
    </xf>
    <xf numFmtId="0" fontId="41" fillId="0" borderId="0" xfId="0" applyFont="1" applyAlignment="1">
      <alignment horizontal="center"/>
    </xf>
    <xf numFmtId="165" fontId="41" fillId="0" borderId="0" xfId="2" applyNumberFormat="1" applyFont="1" applyBorder="1" applyAlignment="1" applyProtection="1">
      <alignment horizontal="right"/>
    </xf>
    <xf numFmtId="165" fontId="41" fillId="2" borderId="0" xfId="2" applyNumberFormat="1" applyFont="1" applyFill="1" applyBorder="1" applyAlignment="1" applyProtection="1">
      <alignment horizontal="right"/>
    </xf>
    <xf numFmtId="49" fontId="33" fillId="0" borderId="2" xfId="0" applyNumberFormat="1" applyFont="1" applyBorder="1" applyAlignment="1">
      <alignment horizontal="center" vertical="center"/>
    </xf>
    <xf numFmtId="49" fontId="40" fillId="5" borderId="14" xfId="5" applyNumberFormat="1" applyFont="1" applyFill="1" applyBorder="1" applyAlignment="1" applyProtection="1">
      <alignment vertical="center" wrapText="1"/>
      <protection locked="0"/>
    </xf>
    <xf numFmtId="14" fontId="33" fillId="5" borderId="2" xfId="5" applyNumberFormat="1" applyFont="1" applyFill="1" applyBorder="1" applyAlignment="1" applyProtection="1">
      <alignment horizontal="center" vertical="center" wrapText="1"/>
      <protection locked="0"/>
    </xf>
    <xf numFmtId="49" fontId="29" fillId="0" borderId="1" xfId="0" applyNumberFormat="1" applyFont="1" applyBorder="1" applyAlignment="1">
      <alignment horizontal="center" vertical="center"/>
    </xf>
    <xf numFmtId="0" fontId="33" fillId="5" borderId="2" xfId="0" applyFont="1" applyFill="1" applyBorder="1" applyAlignment="1">
      <alignment horizontal="center" vertical="center"/>
    </xf>
    <xf numFmtId="0" fontId="40" fillId="0" borderId="2" xfId="0" applyFont="1" applyBorder="1" applyAlignment="1">
      <alignment vertical="center" wrapText="1"/>
    </xf>
    <xf numFmtId="14" fontId="33" fillId="0" borderId="2" xfId="0" applyNumberFormat="1" applyFont="1" applyBorder="1" applyAlignment="1">
      <alignment horizontal="center" vertical="center"/>
    </xf>
    <xf numFmtId="0" fontId="32" fillId="0" borderId="0" xfId="0" applyFont="1" applyBorder="1" applyAlignment="1">
      <alignment horizontal="center"/>
    </xf>
    <xf numFmtId="165" fontId="41" fillId="0" borderId="20" xfId="2" applyNumberFormat="1" applyFont="1" applyBorder="1" applyAlignment="1" applyProtection="1">
      <alignment horizontal="right"/>
    </xf>
    <xf numFmtId="165" fontId="41" fillId="2" borderId="20" xfId="2" applyNumberFormat="1" applyFont="1" applyFill="1" applyBorder="1" applyAlignment="1" applyProtection="1">
      <alignment horizontal="right"/>
    </xf>
    <xf numFmtId="0" fontId="29" fillId="0" borderId="0" xfId="0" applyFont="1" applyBorder="1" applyAlignment="1">
      <alignment vertical="center"/>
    </xf>
    <xf numFmtId="0" fontId="33" fillId="0" borderId="0" xfId="0" applyFont="1" applyBorder="1" applyAlignment="1" applyProtection="1">
      <alignment horizontal="left" vertical="center" wrapText="1"/>
      <protection locked="0"/>
    </xf>
    <xf numFmtId="0" fontId="27" fillId="0" borderId="4" xfId="0" applyFont="1" applyBorder="1" applyAlignment="1" applyProtection="1">
      <alignment horizontal="left" vertical="center" wrapText="1"/>
      <protection locked="0"/>
    </xf>
    <xf numFmtId="0" fontId="40" fillId="0" borderId="4" xfId="0" applyFont="1" applyFill="1" applyBorder="1" applyAlignment="1" applyProtection="1">
      <alignment horizontal="left" vertical="center" wrapText="1"/>
      <protection locked="0"/>
    </xf>
    <xf numFmtId="0" fontId="29" fillId="0" borderId="0" xfId="0" applyFont="1" applyBorder="1" applyAlignment="1" applyProtection="1">
      <alignment horizontal="center" vertical="center"/>
      <protection locked="0"/>
    </xf>
    <xf numFmtId="2" fontId="33" fillId="0" borderId="0" xfId="0" applyNumberFormat="1" applyFont="1" applyBorder="1" applyAlignment="1" applyProtection="1">
      <alignment horizontal="right" vertical="center"/>
      <protection locked="0"/>
    </xf>
    <xf numFmtId="49" fontId="29" fillId="0" borderId="0" xfId="0" applyNumberFormat="1" applyFont="1" applyBorder="1" applyAlignment="1">
      <alignment horizontal="center" vertical="center"/>
    </xf>
    <xf numFmtId="49" fontId="40" fillId="0" borderId="0" xfId="5" applyNumberFormat="1" applyFont="1" applyBorder="1" applyAlignment="1" applyProtection="1">
      <alignment vertical="center" wrapText="1"/>
      <protection locked="0"/>
    </xf>
    <xf numFmtId="49" fontId="29" fillId="0" borderId="0" xfId="5" applyNumberFormat="1" applyFont="1" applyBorder="1" applyAlignment="1" applyProtection="1">
      <alignment vertical="center" wrapText="1"/>
      <protection locked="0"/>
    </xf>
    <xf numFmtId="14" fontId="33" fillId="0" borderId="0" xfId="5" applyNumberFormat="1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32" fillId="0" borderId="15" xfId="0" applyFont="1" applyBorder="1" applyAlignment="1">
      <alignment horizontal="center"/>
    </xf>
    <xf numFmtId="0" fontId="32" fillId="0" borderId="16" xfId="0" applyFont="1" applyBorder="1" applyAlignment="1">
      <alignment horizontal="center"/>
    </xf>
    <xf numFmtId="0" fontId="32" fillId="0" borderId="17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1" fillId="0" borderId="0" xfId="0" applyFont="1" applyAlignment="1" applyProtection="1">
      <alignment horizontal="center"/>
      <protection locked="0"/>
    </xf>
    <xf numFmtId="0" fontId="28" fillId="3" borderId="15" xfId="0" applyFont="1" applyFill="1" applyBorder="1" applyAlignment="1">
      <alignment horizontal="center"/>
    </xf>
    <xf numFmtId="0" fontId="28" fillId="3" borderId="16" xfId="0" applyFont="1" applyFill="1" applyBorder="1" applyAlignment="1">
      <alignment horizontal="center"/>
    </xf>
    <xf numFmtId="0" fontId="28" fillId="3" borderId="17" xfId="0" applyFont="1" applyFill="1" applyBorder="1" applyAlignment="1">
      <alignment horizontal="center"/>
    </xf>
    <xf numFmtId="0" fontId="28" fillId="2" borderId="15" xfId="0" applyFont="1" applyFill="1" applyBorder="1" applyAlignment="1">
      <alignment horizontal="center"/>
    </xf>
    <xf numFmtId="0" fontId="28" fillId="2" borderId="16" xfId="0" applyFont="1" applyFill="1" applyBorder="1" applyAlignment="1">
      <alignment horizontal="center"/>
    </xf>
    <xf numFmtId="0" fontId="28" fillId="2" borderId="17" xfId="0" applyFont="1" applyFill="1" applyBorder="1" applyAlignment="1">
      <alignment horizontal="center"/>
    </xf>
    <xf numFmtId="0" fontId="28" fillId="0" borderId="15" xfId="0" applyFont="1" applyBorder="1" applyAlignment="1">
      <alignment horizontal="center"/>
    </xf>
    <xf numFmtId="0" fontId="28" fillId="0" borderId="16" xfId="0" applyFont="1" applyBorder="1" applyAlignment="1">
      <alignment horizontal="center"/>
    </xf>
    <xf numFmtId="0" fontId="28" fillId="0" borderId="17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17" fillId="0" borderId="3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17" fillId="0" borderId="2" xfId="0" applyFont="1" applyBorder="1" applyAlignment="1">
      <alignment horizontal="center" wrapText="1"/>
    </xf>
    <xf numFmtId="0" fontId="17" fillId="3" borderId="15" xfId="0" applyFont="1" applyFill="1" applyBorder="1" applyAlignment="1">
      <alignment horizontal="center"/>
    </xf>
    <xf numFmtId="0" fontId="17" fillId="3" borderId="16" xfId="0" applyFont="1" applyFill="1" applyBorder="1" applyAlignment="1">
      <alignment horizontal="center"/>
    </xf>
    <xf numFmtId="0" fontId="17" fillId="3" borderId="17" xfId="0" applyFont="1" applyFill="1" applyBorder="1" applyAlignment="1">
      <alignment horizontal="center"/>
    </xf>
    <xf numFmtId="0" fontId="17" fillId="2" borderId="15" xfId="0" applyFont="1" applyFill="1" applyBorder="1" applyAlignment="1">
      <alignment horizontal="center"/>
    </xf>
    <xf numFmtId="0" fontId="17" fillId="2" borderId="16" xfId="0" applyFont="1" applyFill="1" applyBorder="1" applyAlignment="1">
      <alignment horizontal="center"/>
    </xf>
    <xf numFmtId="0" fontId="17" fillId="2" borderId="17" xfId="0" applyFont="1" applyFill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165" fontId="42" fillId="0" borderId="0" xfId="2" applyNumberFormat="1" applyFont="1" applyFill="1" applyBorder="1" applyAlignment="1" applyProtection="1">
      <alignment horizontal="center"/>
    </xf>
    <xf numFmtId="0" fontId="42" fillId="0" borderId="0" xfId="0" applyFont="1" applyAlignment="1" applyProtection="1">
      <alignment horizontal="center" wrapText="1"/>
      <protection locked="0"/>
    </xf>
    <xf numFmtId="0" fontId="31" fillId="0" borderId="11" xfId="0" applyFont="1" applyBorder="1" applyAlignment="1" applyProtection="1">
      <alignment horizontal="center"/>
      <protection locked="0"/>
    </xf>
    <xf numFmtId="0" fontId="32" fillId="0" borderId="4" xfId="0" applyFont="1" applyBorder="1" applyAlignment="1">
      <alignment horizontal="center"/>
    </xf>
    <xf numFmtId="165" fontId="43" fillId="0" borderId="0" xfId="2" applyNumberFormat="1" applyFont="1" applyFill="1" applyBorder="1" applyAlignment="1" applyProtection="1">
      <alignment horizontal="center" vertical="center"/>
    </xf>
    <xf numFmtId="0" fontId="28" fillId="0" borderId="3" xfId="0" applyFont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28" fillId="0" borderId="2" xfId="0" applyFont="1" applyBorder="1" applyAlignment="1">
      <alignment horizontal="center" wrapText="1"/>
    </xf>
    <xf numFmtId="0" fontId="28" fillId="4" borderId="15" xfId="0" applyFont="1" applyFill="1" applyBorder="1" applyAlignment="1">
      <alignment horizontal="center"/>
    </xf>
    <xf numFmtId="0" fontId="28" fillId="4" borderId="16" xfId="0" applyFont="1" applyFill="1" applyBorder="1" applyAlignment="1">
      <alignment horizontal="center"/>
    </xf>
    <xf numFmtId="0" fontId="28" fillId="4" borderId="17" xfId="0" applyFont="1" applyFill="1" applyBorder="1" applyAlignment="1">
      <alignment horizontal="center"/>
    </xf>
    <xf numFmtId="0" fontId="13" fillId="0" borderId="0" xfId="0" applyFont="1" applyAlignment="1" applyProtection="1">
      <alignment horizontal="center"/>
      <protection locked="0"/>
    </xf>
    <xf numFmtId="0" fontId="32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7" fillId="0" borderId="0" xfId="0" applyFont="1" applyAlignment="1">
      <alignment horizontal="center" wrapText="1"/>
    </xf>
    <xf numFmtId="49" fontId="37" fillId="0" borderId="0" xfId="0" applyNumberFormat="1" applyFont="1" applyAlignment="1">
      <alignment horizontal="center" wrapText="1"/>
    </xf>
    <xf numFmtId="0" fontId="38" fillId="0" borderId="0" xfId="0" applyFont="1" applyAlignment="1">
      <alignment wrapText="1"/>
    </xf>
    <xf numFmtId="49" fontId="29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0" fontId="41" fillId="4" borderId="15" xfId="0" applyFont="1" applyFill="1" applyBorder="1" applyAlignment="1">
      <alignment horizontal="center"/>
    </xf>
    <xf numFmtId="0" fontId="41" fillId="4" borderId="16" xfId="0" applyFont="1" applyFill="1" applyBorder="1" applyAlignment="1">
      <alignment horizontal="center"/>
    </xf>
    <xf numFmtId="0" fontId="41" fillId="4" borderId="17" xfId="0" applyFont="1" applyFill="1" applyBorder="1" applyAlignment="1">
      <alignment horizontal="center"/>
    </xf>
    <xf numFmtId="165" fontId="42" fillId="0" borderId="0" xfId="2" applyNumberFormat="1" applyFont="1" applyBorder="1" applyAlignment="1" applyProtection="1">
      <alignment horizontal="center" vertical="center"/>
      <protection locked="0"/>
    </xf>
    <xf numFmtId="0" fontId="32" fillId="0" borderId="19" xfId="0" applyFont="1" applyBorder="1" applyAlignment="1">
      <alignment horizontal="center"/>
    </xf>
    <xf numFmtId="0" fontId="24" fillId="3" borderId="15" xfId="0" applyFont="1" applyFill="1" applyBorder="1" applyAlignment="1">
      <alignment horizontal="center"/>
    </xf>
    <xf numFmtId="0" fontId="24" fillId="3" borderId="16" xfId="0" applyFont="1" applyFill="1" applyBorder="1" applyAlignment="1">
      <alignment horizontal="center"/>
    </xf>
    <xf numFmtId="0" fontId="24" fillId="3" borderId="17" xfId="0" applyFont="1" applyFill="1" applyBorder="1" applyAlignment="1">
      <alignment horizontal="center"/>
    </xf>
    <xf numFmtId="0" fontId="24" fillId="2" borderId="15" xfId="0" applyFont="1" applyFill="1" applyBorder="1" applyAlignment="1">
      <alignment horizontal="center"/>
    </xf>
    <xf numFmtId="0" fontId="24" fillId="2" borderId="16" xfId="0" applyFont="1" applyFill="1" applyBorder="1" applyAlignment="1">
      <alignment horizontal="center"/>
    </xf>
    <xf numFmtId="0" fontId="24" fillId="2" borderId="17" xfId="0" applyFont="1" applyFill="1" applyBorder="1" applyAlignment="1">
      <alignment horizontal="center"/>
    </xf>
    <xf numFmtId="0" fontId="24" fillId="0" borderId="15" xfId="0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0" fontId="24" fillId="0" borderId="17" xfId="0" applyFont="1" applyBorder="1" applyAlignment="1">
      <alignment horizontal="center"/>
    </xf>
  </cellXfs>
  <cellStyles count="6">
    <cellStyle name="Euro" xfId="1"/>
    <cellStyle name="Millares" xfId="2" builtinId="3"/>
    <cellStyle name="Normal" xfId="0" builtinId="0"/>
    <cellStyle name="Normal 2" xfId="4"/>
    <cellStyle name="Normal_~9885111" xfId="5"/>
    <cellStyle name="Porcentaje" xfId="3" builtinId="5"/>
  </cellStyles>
  <dxfs count="0"/>
  <tableStyles count="0" defaultTableStyle="TableStyleMedium9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664029</xdr:colOff>
      <xdr:row>0</xdr:row>
      <xdr:rowOff>0</xdr:rowOff>
    </xdr:from>
    <xdr:to>
      <xdr:col>3</xdr:col>
      <xdr:colOff>1143000</xdr:colOff>
      <xdr:row>3</xdr:row>
      <xdr:rowOff>81643</xdr:rowOff>
    </xdr:to>
    <xdr:pic>
      <xdr:nvPicPr>
        <xdr:cNvPr id="4" name="2 Imagen" descr="14071">
          <a:extLst>
            <a:ext uri="{FF2B5EF4-FFF2-40B4-BE49-F238E27FC236}">
              <a16:creationId xmlns:a16="http://schemas.microsoft.com/office/drawing/2014/main" id="{0D23DF88-52B2-4855-9535-482329DD8544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458" y="0"/>
          <a:ext cx="1145721" cy="816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358775</xdr:colOff>
      <xdr:row>0</xdr:row>
      <xdr:rowOff>28575</xdr:rowOff>
    </xdr:from>
    <xdr:to>
      <xdr:col>3</xdr:col>
      <xdr:colOff>1504496</xdr:colOff>
      <xdr:row>4</xdr:row>
      <xdr:rowOff>31582</xdr:rowOff>
    </xdr:to>
    <xdr:pic>
      <xdr:nvPicPr>
        <xdr:cNvPr id="3" name="2 Imagen" descr="14071">
          <a:extLst>
            <a:ext uri="{FF2B5EF4-FFF2-40B4-BE49-F238E27FC236}">
              <a16:creationId xmlns:a16="http://schemas.microsoft.com/office/drawing/2014/main" id="{DB33F908-AB02-4EB3-8FB8-C7893CB33979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28575"/>
          <a:ext cx="1145721" cy="904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510474</xdr:colOff>
      <xdr:row>0</xdr:row>
      <xdr:rowOff>0</xdr:rowOff>
    </xdr:from>
    <xdr:to>
      <xdr:col>6</xdr:col>
      <xdr:colOff>268267</xdr:colOff>
      <xdr:row>3</xdr:row>
      <xdr:rowOff>541519</xdr:rowOff>
    </xdr:to>
    <xdr:pic>
      <xdr:nvPicPr>
        <xdr:cNvPr id="2" name="2 Imagen" descr="14071">
          <a:extLst>
            <a:ext uri="{FF2B5EF4-FFF2-40B4-BE49-F238E27FC236}">
              <a16:creationId xmlns:a16="http://schemas.microsoft.com/office/drawing/2014/main" id="{C640D6D3-0348-45FF-9CAE-A41D6C0F5BC4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99153" y="0"/>
          <a:ext cx="1145721" cy="12763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363682</xdr:colOff>
      <xdr:row>0</xdr:row>
      <xdr:rowOff>17317</xdr:rowOff>
    </xdr:from>
    <xdr:to>
      <xdr:col>7</xdr:col>
      <xdr:colOff>276925</xdr:colOff>
      <xdr:row>3</xdr:row>
      <xdr:rowOff>346362</xdr:rowOff>
    </xdr:to>
    <xdr:pic>
      <xdr:nvPicPr>
        <xdr:cNvPr id="4" name="2 Imagen" descr="14071">
          <a:extLst>
            <a:ext uri="{FF2B5EF4-FFF2-40B4-BE49-F238E27FC236}">
              <a16:creationId xmlns:a16="http://schemas.microsoft.com/office/drawing/2014/main" id="{B47055A7-9597-4BCD-8EA9-E2DA08BF4F64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52409" y="17317"/>
          <a:ext cx="1108198" cy="10564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5</xdr:col>
      <xdr:colOff>2095500</xdr:colOff>
      <xdr:row>15</xdr:row>
      <xdr:rowOff>675410</xdr:rowOff>
    </xdr:from>
    <xdr:ext cx="1368136" cy="1350818"/>
    <xdr:pic>
      <xdr:nvPicPr>
        <xdr:cNvPr id="2" name="2 Imagen" descr="14071">
          <a:extLst>
            <a:ext uri="{FF2B5EF4-FFF2-40B4-BE49-F238E27FC236}">
              <a16:creationId xmlns:a16="http://schemas.microsoft.com/office/drawing/2014/main" id="{4F471F24-8008-4F5B-B79E-DC97D522610A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54091" y="20158365"/>
          <a:ext cx="1368136" cy="1350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538370</xdr:colOff>
      <xdr:row>0</xdr:row>
      <xdr:rowOff>0</xdr:rowOff>
    </xdr:from>
    <xdr:to>
      <xdr:col>3</xdr:col>
      <xdr:colOff>1684091</xdr:colOff>
      <xdr:row>3</xdr:row>
      <xdr:rowOff>186881</xdr:rowOff>
    </xdr:to>
    <xdr:pic>
      <xdr:nvPicPr>
        <xdr:cNvPr id="5" name="2 Imagen" descr="14071">
          <a:extLst>
            <a:ext uri="{FF2B5EF4-FFF2-40B4-BE49-F238E27FC236}">
              <a16:creationId xmlns:a16="http://schemas.microsoft.com/office/drawing/2014/main" id="{2DD8ABD7-99D1-4F8F-A5EE-D86925D22A12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15435" y="0"/>
          <a:ext cx="1145721" cy="904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289891</xdr:colOff>
      <xdr:row>16</xdr:row>
      <xdr:rowOff>317501</xdr:rowOff>
    </xdr:from>
    <xdr:to>
      <xdr:col>3</xdr:col>
      <xdr:colOff>1435612</xdr:colOff>
      <xdr:row>19</xdr:row>
      <xdr:rowOff>186881</xdr:rowOff>
    </xdr:to>
    <xdr:pic>
      <xdr:nvPicPr>
        <xdr:cNvPr id="2" name="2 Imagen" descr="14071">
          <a:extLst>
            <a:ext uri="{FF2B5EF4-FFF2-40B4-BE49-F238E27FC236}">
              <a16:creationId xmlns:a16="http://schemas.microsoft.com/office/drawing/2014/main" id="{DA6A873F-2BE8-4FDA-9840-0C3A42B9B2BE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22174" y="15888805"/>
          <a:ext cx="1145721" cy="904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</xdr:col>
      <xdr:colOff>262283</xdr:colOff>
      <xdr:row>28</xdr:row>
      <xdr:rowOff>124241</xdr:rowOff>
    </xdr:from>
    <xdr:ext cx="1145721" cy="959924"/>
    <xdr:pic>
      <xdr:nvPicPr>
        <xdr:cNvPr id="4" name="2 Imagen" descr="14071">
          <a:extLst>
            <a:ext uri="{FF2B5EF4-FFF2-40B4-BE49-F238E27FC236}">
              <a16:creationId xmlns:a16="http://schemas.microsoft.com/office/drawing/2014/main" id="{4F78BE8B-C1F3-40D8-B43A-B5B83F247E8C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94566" y="40653806"/>
          <a:ext cx="1145721" cy="959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311727</xdr:colOff>
      <xdr:row>0</xdr:row>
      <xdr:rowOff>1</xdr:rowOff>
    </xdr:from>
    <xdr:to>
      <xdr:col>3</xdr:col>
      <xdr:colOff>1457448</xdr:colOff>
      <xdr:row>4</xdr:row>
      <xdr:rowOff>21481</xdr:rowOff>
    </xdr:to>
    <xdr:pic>
      <xdr:nvPicPr>
        <xdr:cNvPr id="5" name="2 Imagen" descr="14071">
          <a:extLst>
            <a:ext uri="{FF2B5EF4-FFF2-40B4-BE49-F238E27FC236}">
              <a16:creationId xmlns:a16="http://schemas.microsoft.com/office/drawing/2014/main" id="{2CDC97BE-DEAF-4C42-A420-CB8A8E9523FA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82091" y="1"/>
          <a:ext cx="1145721" cy="939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502228</xdr:colOff>
      <xdr:row>17</xdr:row>
      <xdr:rowOff>242454</xdr:rowOff>
    </xdr:from>
    <xdr:to>
      <xdr:col>3</xdr:col>
      <xdr:colOff>851312</xdr:colOff>
      <xdr:row>20</xdr:row>
      <xdr:rowOff>156069</xdr:rowOff>
    </xdr:to>
    <xdr:pic>
      <xdr:nvPicPr>
        <xdr:cNvPr id="2" name="2 Imagen" descr="14071">
          <a:extLst>
            <a:ext uri="{FF2B5EF4-FFF2-40B4-BE49-F238E27FC236}">
              <a16:creationId xmlns:a16="http://schemas.microsoft.com/office/drawing/2014/main" id="{B48F73C0-C0A6-498C-924B-E85738A6A7EC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5955" y="19742727"/>
          <a:ext cx="1145721" cy="9393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5</xdr:col>
      <xdr:colOff>465117</xdr:colOff>
      <xdr:row>29</xdr:row>
      <xdr:rowOff>81642</xdr:rowOff>
    </xdr:from>
    <xdr:ext cx="1344633" cy="1287731"/>
    <xdr:pic>
      <xdr:nvPicPr>
        <xdr:cNvPr id="8" name="2 Imagen" descr="14071">
          <a:extLst>
            <a:ext uri="{FF2B5EF4-FFF2-40B4-BE49-F238E27FC236}">
              <a16:creationId xmlns:a16="http://schemas.microsoft.com/office/drawing/2014/main" id="{339CBAE4-9C52-4CCE-9DE0-EE76C849C30A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35188" y="40154678"/>
          <a:ext cx="1344633" cy="12877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1909330</xdr:colOff>
      <xdr:row>40</xdr:row>
      <xdr:rowOff>4613852</xdr:rowOff>
    </xdr:from>
    <xdr:ext cx="1541318" cy="1489364"/>
    <xdr:pic>
      <xdr:nvPicPr>
        <xdr:cNvPr id="7" name="2 Imagen" descr="14071">
          <a:extLst>
            <a:ext uri="{FF2B5EF4-FFF2-40B4-BE49-F238E27FC236}">
              <a16:creationId xmlns:a16="http://schemas.microsoft.com/office/drawing/2014/main" id="{3E13C997-5623-43AD-A157-A77D5A19E37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70330" y="64494352"/>
          <a:ext cx="1541318" cy="14893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434474</xdr:colOff>
      <xdr:row>0</xdr:row>
      <xdr:rowOff>100264</xdr:rowOff>
    </xdr:from>
    <xdr:to>
      <xdr:col>3</xdr:col>
      <xdr:colOff>1580195</xdr:colOff>
      <xdr:row>4</xdr:row>
      <xdr:rowOff>102603</xdr:rowOff>
    </xdr:to>
    <xdr:pic>
      <xdr:nvPicPr>
        <xdr:cNvPr id="3" name="2 Imagen" descr="14071">
          <a:extLst>
            <a:ext uri="{FF2B5EF4-FFF2-40B4-BE49-F238E27FC236}">
              <a16:creationId xmlns:a16="http://schemas.microsoft.com/office/drawing/2014/main" id="{C198BC4F-77D6-4531-815C-B4074261EE55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87500" y="100264"/>
          <a:ext cx="1145721" cy="904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416035</xdr:colOff>
      <xdr:row>0</xdr:row>
      <xdr:rowOff>76639</xdr:rowOff>
    </xdr:from>
    <xdr:to>
      <xdr:col>3</xdr:col>
      <xdr:colOff>1561756</xdr:colOff>
      <xdr:row>4</xdr:row>
      <xdr:rowOff>105484</xdr:rowOff>
    </xdr:to>
    <xdr:pic>
      <xdr:nvPicPr>
        <xdr:cNvPr id="3" name="2 Imagen" descr="14071">
          <a:extLst>
            <a:ext uri="{FF2B5EF4-FFF2-40B4-BE49-F238E27FC236}">
              <a16:creationId xmlns:a16="http://schemas.microsoft.com/office/drawing/2014/main" id="{19A53EC1-A4F3-4570-8B57-4CB9F8EDA4AA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8966" y="76639"/>
          <a:ext cx="1145721" cy="904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21897</xdr:colOff>
      <xdr:row>14</xdr:row>
      <xdr:rowOff>131379</xdr:rowOff>
    </xdr:from>
    <xdr:to>
      <xdr:col>3</xdr:col>
      <xdr:colOff>1226207</xdr:colOff>
      <xdr:row>17</xdr:row>
      <xdr:rowOff>284655</xdr:rowOff>
    </xdr:to>
    <xdr:pic>
      <xdr:nvPicPr>
        <xdr:cNvPr id="2" name="2 Imagen" descr="14071">
          <a:extLst>
            <a:ext uri="{FF2B5EF4-FFF2-40B4-BE49-F238E27FC236}">
              <a16:creationId xmlns:a16="http://schemas.microsoft.com/office/drawing/2014/main" id="{FDFD991E-5A76-4A10-A907-347AD923915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4828" y="16718017"/>
          <a:ext cx="1204310" cy="10400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0</xdr:row>
      <xdr:rowOff>104775</xdr:rowOff>
    </xdr:from>
    <xdr:to>
      <xdr:col>2</xdr:col>
      <xdr:colOff>1431471</xdr:colOff>
      <xdr:row>4</xdr:row>
      <xdr:rowOff>114132</xdr:rowOff>
    </xdr:to>
    <xdr:pic>
      <xdr:nvPicPr>
        <xdr:cNvPr id="3" name="2 Imagen" descr="14071">
          <a:extLst>
            <a:ext uri="{FF2B5EF4-FFF2-40B4-BE49-F238E27FC236}">
              <a16:creationId xmlns:a16="http://schemas.microsoft.com/office/drawing/2014/main" id="{A8081897-A522-4E72-A4FB-1B2B199FF56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14475" y="104775"/>
          <a:ext cx="1145721" cy="904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508870</xdr:colOff>
      <xdr:row>0</xdr:row>
      <xdr:rowOff>39144</xdr:rowOff>
    </xdr:from>
    <xdr:to>
      <xdr:col>3</xdr:col>
      <xdr:colOff>1654591</xdr:colOff>
      <xdr:row>4</xdr:row>
      <xdr:rowOff>30495</xdr:rowOff>
    </xdr:to>
    <xdr:pic>
      <xdr:nvPicPr>
        <xdr:cNvPr id="3" name="2 Imagen" descr="14071">
          <a:extLst>
            <a:ext uri="{FF2B5EF4-FFF2-40B4-BE49-F238E27FC236}">
              <a16:creationId xmlns:a16="http://schemas.microsoft.com/office/drawing/2014/main" id="{B453AB8B-A8E0-45AD-B70D-1E54C22057B9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00617" y="39144"/>
          <a:ext cx="1145721" cy="904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508870</xdr:colOff>
      <xdr:row>0</xdr:row>
      <xdr:rowOff>39144</xdr:rowOff>
    </xdr:from>
    <xdr:to>
      <xdr:col>3</xdr:col>
      <xdr:colOff>1654591</xdr:colOff>
      <xdr:row>4</xdr:row>
      <xdr:rowOff>30495</xdr:rowOff>
    </xdr:to>
    <xdr:pic>
      <xdr:nvPicPr>
        <xdr:cNvPr id="4" name="2 Imagen" descr="14071">
          <a:extLst>
            <a:ext uri="{FF2B5EF4-FFF2-40B4-BE49-F238E27FC236}">
              <a16:creationId xmlns:a16="http://schemas.microsoft.com/office/drawing/2014/main" id="{BECEE0B8-1B9B-4202-A462-8F62E09CDA2C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04270" y="39144"/>
          <a:ext cx="1145721" cy="8867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534965</xdr:colOff>
      <xdr:row>15</xdr:row>
      <xdr:rowOff>169624</xdr:rowOff>
    </xdr:from>
    <xdr:to>
      <xdr:col>4</xdr:col>
      <xdr:colOff>39144</xdr:colOff>
      <xdr:row>18</xdr:row>
      <xdr:rowOff>140805</xdr:rowOff>
    </xdr:to>
    <xdr:pic>
      <xdr:nvPicPr>
        <xdr:cNvPr id="5" name="2 Imagen" descr="14071">
          <a:extLst>
            <a:ext uri="{FF2B5EF4-FFF2-40B4-BE49-F238E27FC236}">
              <a16:creationId xmlns:a16="http://schemas.microsoft.com/office/drawing/2014/main" id="{03F8145E-6079-4376-B127-D149B301225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30365" y="18857674"/>
          <a:ext cx="1237729" cy="10597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658345</xdr:colOff>
      <xdr:row>16</xdr:row>
      <xdr:rowOff>70039</xdr:rowOff>
    </xdr:from>
    <xdr:to>
      <xdr:col>3</xdr:col>
      <xdr:colOff>1804066</xdr:colOff>
      <xdr:row>19</xdr:row>
      <xdr:rowOff>36253</xdr:rowOff>
    </xdr:to>
    <xdr:pic>
      <xdr:nvPicPr>
        <xdr:cNvPr id="2" name="2 Imagen" descr="14071">
          <a:extLst>
            <a:ext uri="{FF2B5EF4-FFF2-40B4-BE49-F238E27FC236}">
              <a16:creationId xmlns:a16="http://schemas.microsoft.com/office/drawing/2014/main" id="{942159E2-9274-4B3B-8716-120FA1EE8689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61029" y="21319193"/>
          <a:ext cx="1145721" cy="904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252132</xdr:colOff>
      <xdr:row>0</xdr:row>
      <xdr:rowOff>0</xdr:rowOff>
    </xdr:from>
    <xdr:to>
      <xdr:col>3</xdr:col>
      <xdr:colOff>1397853</xdr:colOff>
      <xdr:row>4</xdr:row>
      <xdr:rowOff>92281</xdr:rowOff>
    </xdr:to>
    <xdr:pic>
      <xdr:nvPicPr>
        <xdr:cNvPr id="5" name="2 Imagen" descr="14071">
          <a:extLst>
            <a:ext uri="{FF2B5EF4-FFF2-40B4-BE49-F238E27FC236}">
              <a16:creationId xmlns:a16="http://schemas.microsoft.com/office/drawing/2014/main" id="{71BA8397-073E-449D-BEDF-6741F3F5034A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54816" y="0"/>
          <a:ext cx="1145721" cy="904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840441</xdr:colOff>
      <xdr:row>28</xdr:row>
      <xdr:rowOff>364191</xdr:rowOff>
    </xdr:from>
    <xdr:to>
      <xdr:col>3</xdr:col>
      <xdr:colOff>1986162</xdr:colOff>
      <xdr:row>29</xdr:row>
      <xdr:rowOff>274376</xdr:rowOff>
    </xdr:to>
    <xdr:pic>
      <xdr:nvPicPr>
        <xdr:cNvPr id="6" name="2 Imagen" descr="14071">
          <a:extLst>
            <a:ext uri="{FF2B5EF4-FFF2-40B4-BE49-F238E27FC236}">
              <a16:creationId xmlns:a16="http://schemas.microsoft.com/office/drawing/2014/main" id="{01B5E9A1-D106-4995-BD89-9251CE9F7D45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44613419"/>
          <a:ext cx="1145721" cy="904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658345</xdr:colOff>
      <xdr:row>16</xdr:row>
      <xdr:rowOff>70039</xdr:rowOff>
    </xdr:from>
    <xdr:to>
      <xdr:col>3</xdr:col>
      <xdr:colOff>1804066</xdr:colOff>
      <xdr:row>18</xdr:row>
      <xdr:rowOff>192334</xdr:rowOff>
    </xdr:to>
    <xdr:pic>
      <xdr:nvPicPr>
        <xdr:cNvPr id="2" name="2 Imagen" descr="14071">
          <a:extLst>
            <a:ext uri="{FF2B5EF4-FFF2-40B4-BE49-F238E27FC236}">
              <a16:creationId xmlns:a16="http://schemas.microsoft.com/office/drawing/2014/main" id="{1F4A86A5-BFC7-4AA2-ACA5-F18DF7C3CC84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63270" y="22034689"/>
          <a:ext cx="1145721" cy="9091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756398</xdr:colOff>
      <xdr:row>0</xdr:row>
      <xdr:rowOff>0</xdr:rowOff>
    </xdr:from>
    <xdr:to>
      <xdr:col>7</xdr:col>
      <xdr:colOff>658346</xdr:colOff>
      <xdr:row>2</xdr:row>
      <xdr:rowOff>182096</xdr:rowOff>
    </xdr:to>
    <xdr:pic>
      <xdr:nvPicPr>
        <xdr:cNvPr id="3" name="2 Imagen" descr="14071">
          <a:extLst>
            <a:ext uri="{FF2B5EF4-FFF2-40B4-BE49-F238E27FC236}">
              <a16:creationId xmlns:a16="http://schemas.microsoft.com/office/drawing/2014/main" id="{973A3B78-E464-47DA-9D1F-4A320566A44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42170" y="0"/>
          <a:ext cx="994522" cy="6303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105655</xdr:colOff>
      <xdr:row>29</xdr:row>
      <xdr:rowOff>323370</xdr:rowOff>
    </xdr:from>
    <xdr:to>
      <xdr:col>5</xdr:col>
      <xdr:colOff>1251376</xdr:colOff>
      <xdr:row>31</xdr:row>
      <xdr:rowOff>492092</xdr:rowOff>
    </xdr:to>
    <xdr:pic>
      <xdr:nvPicPr>
        <xdr:cNvPr id="4" name="2 Imagen" descr="14071">
          <a:extLst>
            <a:ext uri="{FF2B5EF4-FFF2-40B4-BE49-F238E27FC236}">
              <a16:creationId xmlns:a16="http://schemas.microsoft.com/office/drawing/2014/main" id="{DA80B695-455D-4FB6-9BBC-7FCFC3BE19FA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113084" y="43975084"/>
          <a:ext cx="1145721" cy="9035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391439</xdr:colOff>
      <xdr:row>0</xdr:row>
      <xdr:rowOff>13048</xdr:rowOff>
    </xdr:from>
    <xdr:to>
      <xdr:col>3</xdr:col>
      <xdr:colOff>1537160</xdr:colOff>
      <xdr:row>4</xdr:row>
      <xdr:rowOff>4399</xdr:rowOff>
    </xdr:to>
    <xdr:pic>
      <xdr:nvPicPr>
        <xdr:cNvPr id="4" name="2 Imagen" descr="14071">
          <a:extLst>
            <a:ext uri="{FF2B5EF4-FFF2-40B4-BE49-F238E27FC236}">
              <a16:creationId xmlns:a16="http://schemas.microsoft.com/office/drawing/2014/main" id="{476DE00F-5B70-4E31-B490-75D6EC2956E9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26610" y="13048"/>
          <a:ext cx="1145721" cy="9047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sar/Desktop/NOMINAS/NOMINAS%20AGOSTO%201/1ra%20QUINCENA%20AGOST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a"/>
      <sheetName val="PRESIDENCIA"/>
      <sheetName val="CONTRALORIA "/>
      <sheetName val="OBRAS PUBLICAS DIRECTOR"/>
      <sheetName val="OBRAS PUBLICAS"/>
      <sheetName val="SERV.PBCOS"/>
      <sheetName val="PROGRAMAS"/>
      <sheetName val="HDA.MPAL"/>
      <sheetName val="REGIDORES 2"/>
      <sheetName val="SINDICO"/>
      <sheetName val="CHOFERES"/>
      <sheetName val="SEGURIDAD "/>
      <sheetName val="SEGURIDAD TE"/>
      <sheetName val="SERV.MEDICOS"/>
      <sheetName val="Hoja1"/>
    </sheetNames>
    <sheetDataSet>
      <sheetData sheetId="0" refreshError="1"/>
      <sheetData sheetId="1">
        <row r="3">
          <cell r="A3" t="str">
            <v>SUELDO  DEL 01 AL 15 DE AGOSTO DE 2026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5"/>
  <sheetViews>
    <sheetView showGridLines="0" workbookViewId="0">
      <selection activeCell="G39" sqref="G39"/>
    </sheetView>
  </sheetViews>
  <sheetFormatPr baseColWidth="10" defaultColWidth="11.42578125" defaultRowHeight="12.75" x14ac:dyDescent="0.2"/>
  <cols>
    <col min="2" max="4" width="13.7109375" customWidth="1"/>
    <col min="6" max="7" width="13.7109375" customWidth="1"/>
    <col min="9" max="9" width="11" customWidth="1"/>
  </cols>
  <sheetData>
    <row r="2" spans="1:9" ht="35.25" x14ac:dyDescent="0.3">
      <c r="B2" s="6" t="s">
        <v>55</v>
      </c>
      <c r="C2" s="7"/>
      <c r="D2" s="7"/>
      <c r="E2" s="7"/>
      <c r="F2" s="7"/>
      <c r="G2" s="7"/>
      <c r="I2" s="110" t="s">
        <v>160</v>
      </c>
    </row>
    <row r="3" spans="1:9" x14ac:dyDescent="0.2">
      <c r="B3" s="8" t="s">
        <v>47</v>
      </c>
      <c r="C3" s="7"/>
      <c r="D3" s="7"/>
      <c r="E3" s="7"/>
      <c r="F3" s="7"/>
      <c r="G3" s="7"/>
      <c r="I3" s="109">
        <v>315.04000000000002</v>
      </c>
    </row>
    <row r="4" spans="1:9" x14ac:dyDescent="0.2">
      <c r="B4" s="19" t="s">
        <v>551</v>
      </c>
      <c r="C4" s="7"/>
      <c r="D4" s="7"/>
      <c r="E4" s="7"/>
      <c r="F4" s="7"/>
      <c r="G4" s="7"/>
    </row>
    <row r="5" spans="1:9" x14ac:dyDescent="0.2">
      <c r="B5" s="7"/>
      <c r="C5" s="7"/>
      <c r="D5" s="7"/>
      <c r="E5" s="7"/>
      <c r="F5" s="7"/>
      <c r="G5" s="7"/>
    </row>
    <row r="6" spans="1:9" x14ac:dyDescent="0.2">
      <c r="B6" s="7"/>
      <c r="C6" s="7"/>
      <c r="D6" s="7"/>
      <c r="E6" s="7"/>
      <c r="F6" s="7"/>
      <c r="G6" s="7"/>
    </row>
    <row r="7" spans="1:9" ht="18.75" customHeight="1" x14ac:dyDescent="0.2">
      <c r="B7" s="440" t="s">
        <v>10</v>
      </c>
      <c r="C7" s="440"/>
      <c r="D7" s="440"/>
      <c r="E7" s="7"/>
      <c r="F7" s="441" t="s">
        <v>48</v>
      </c>
      <c r="G7" s="442"/>
      <c r="I7" s="110" t="s">
        <v>161</v>
      </c>
    </row>
    <row r="8" spans="1:9" ht="14.25" customHeight="1" x14ac:dyDescent="0.2">
      <c r="B8" s="443" t="s">
        <v>9</v>
      </c>
      <c r="C8" s="443"/>
      <c r="D8" s="443"/>
      <c r="E8" s="7"/>
      <c r="F8" s="444" t="s">
        <v>49</v>
      </c>
      <c r="G8" s="445"/>
      <c r="I8" s="109">
        <v>117.31</v>
      </c>
    </row>
    <row r="9" spans="1:9" ht="8.25" customHeight="1" x14ac:dyDescent="0.2">
      <c r="B9" s="437"/>
      <c r="C9" s="437"/>
      <c r="D9" s="437"/>
      <c r="E9" s="7"/>
      <c r="F9" s="438"/>
      <c r="G9" s="439"/>
    </row>
    <row r="10" spans="1:9" ht="16.5" customHeight="1" x14ac:dyDescent="0.2">
      <c r="B10" s="9" t="s">
        <v>11</v>
      </c>
      <c r="C10" s="9" t="s">
        <v>13</v>
      </c>
      <c r="D10" s="9" t="s">
        <v>7</v>
      </c>
      <c r="E10" s="7"/>
      <c r="F10" s="9" t="s">
        <v>16</v>
      </c>
      <c r="G10" s="9" t="s">
        <v>50</v>
      </c>
    </row>
    <row r="11" spans="1:9" x14ac:dyDescent="0.2">
      <c r="A11" s="2"/>
      <c r="B11" s="9" t="s">
        <v>12</v>
      </c>
      <c r="C11" s="9" t="s">
        <v>14</v>
      </c>
      <c r="D11" s="9" t="s">
        <v>15</v>
      </c>
      <c r="E11" s="7"/>
      <c r="F11" s="9"/>
      <c r="G11" s="9" t="s">
        <v>51</v>
      </c>
    </row>
    <row r="12" spans="1:9" x14ac:dyDescent="0.2">
      <c r="A12" s="3"/>
      <c r="B12" s="10"/>
      <c r="C12" s="10"/>
      <c r="D12" s="10"/>
      <c r="E12" s="11"/>
      <c r="F12" s="10"/>
      <c r="G12" s="10"/>
    </row>
    <row r="13" spans="1:9" ht="15.95" customHeight="1" x14ac:dyDescent="0.2">
      <c r="A13" s="1"/>
      <c r="B13" s="20">
        <v>0.01</v>
      </c>
      <c r="C13" s="20">
        <v>0</v>
      </c>
      <c r="D13" s="21">
        <v>1.9199999999999998E-2</v>
      </c>
      <c r="E13" s="14"/>
      <c r="F13" s="20">
        <v>0.01</v>
      </c>
      <c r="G13" s="20">
        <v>535.65</v>
      </c>
    </row>
    <row r="14" spans="1:9" ht="15.95" customHeight="1" x14ac:dyDescent="0.2">
      <c r="A14" s="1"/>
      <c r="B14" s="20">
        <v>844.6</v>
      </c>
      <c r="C14" s="20">
        <v>16.22</v>
      </c>
      <c r="D14" s="21">
        <v>6.4000000000000001E-2</v>
      </c>
      <c r="E14" s="14"/>
      <c r="F14" s="20">
        <v>11492.67</v>
      </c>
      <c r="G14" s="20">
        <v>0</v>
      </c>
    </row>
    <row r="15" spans="1:9" ht="15.95" customHeight="1" x14ac:dyDescent="0.2">
      <c r="A15" s="1"/>
      <c r="B15" s="20">
        <v>7168.52</v>
      </c>
      <c r="C15" s="20">
        <v>420.95</v>
      </c>
      <c r="D15" s="21">
        <v>0.10879999999999999</v>
      </c>
      <c r="E15" s="14"/>
      <c r="F15" s="20">
        <v>11492.67</v>
      </c>
      <c r="G15" s="20">
        <v>0</v>
      </c>
    </row>
    <row r="16" spans="1:9" ht="15.95" customHeight="1" x14ac:dyDescent="0.2">
      <c r="A16" s="1"/>
      <c r="B16" s="20">
        <v>12598.03</v>
      </c>
      <c r="C16" s="20">
        <v>1011.68</v>
      </c>
      <c r="D16" s="21">
        <v>0.16</v>
      </c>
      <c r="E16" s="14"/>
      <c r="F16" s="20">
        <v>11492.67</v>
      </c>
      <c r="G16" s="20">
        <v>0</v>
      </c>
    </row>
    <row r="17" spans="1:8" ht="15.95" customHeight="1" x14ac:dyDescent="0.2">
      <c r="A17" s="1"/>
      <c r="B17" s="20">
        <v>14644.65</v>
      </c>
      <c r="C17" s="20">
        <v>1339.14</v>
      </c>
      <c r="D17" s="21">
        <v>0.1792</v>
      </c>
      <c r="E17" s="14"/>
      <c r="F17" s="20">
        <v>11492.67</v>
      </c>
      <c r="G17" s="20">
        <v>0</v>
      </c>
    </row>
    <row r="18" spans="1:8" ht="15.95" customHeight="1" x14ac:dyDescent="0.2">
      <c r="A18" s="1"/>
      <c r="B18" s="20">
        <v>17533.650000000001</v>
      </c>
      <c r="C18" s="20">
        <v>1856.84</v>
      </c>
      <c r="D18" s="21">
        <v>0.21360000000000001</v>
      </c>
      <c r="E18" s="14"/>
      <c r="F18" s="20">
        <v>11492.67</v>
      </c>
      <c r="G18" s="20">
        <v>0</v>
      </c>
    </row>
    <row r="19" spans="1:8" ht="15.95" customHeight="1" x14ac:dyDescent="0.2">
      <c r="A19" s="1"/>
      <c r="B19" s="20">
        <v>35362.839999999997</v>
      </c>
      <c r="C19" s="20">
        <v>5665.16</v>
      </c>
      <c r="D19" s="21">
        <v>0.23519999999999999</v>
      </c>
      <c r="E19" s="7"/>
      <c r="F19" s="20">
        <v>11492.67</v>
      </c>
      <c r="G19" s="20">
        <v>0</v>
      </c>
    </row>
    <row r="20" spans="1:8" ht="15.95" customHeight="1" x14ac:dyDescent="0.2">
      <c r="A20" s="1"/>
      <c r="B20" s="20">
        <v>55736.69</v>
      </c>
      <c r="C20" s="20">
        <v>10457.09</v>
      </c>
      <c r="D20" s="21">
        <v>0.3</v>
      </c>
      <c r="E20" s="7"/>
      <c r="F20" s="20">
        <v>11492.67</v>
      </c>
      <c r="G20" s="20">
        <v>0</v>
      </c>
    </row>
    <row r="21" spans="1:8" x14ac:dyDescent="0.2">
      <c r="A21" s="1"/>
      <c r="B21" s="20">
        <v>106410.51</v>
      </c>
      <c r="C21" s="20">
        <v>25659.23</v>
      </c>
      <c r="D21" s="21">
        <v>0.32</v>
      </c>
      <c r="E21" s="7"/>
      <c r="F21" s="20">
        <v>11492.67</v>
      </c>
      <c r="G21" s="20">
        <v>0</v>
      </c>
    </row>
    <row r="22" spans="1:8" ht="14.25" customHeight="1" x14ac:dyDescent="0.2">
      <c r="A22" s="1"/>
      <c r="B22" s="20">
        <v>141880.67000000001</v>
      </c>
      <c r="C22" s="20">
        <v>37009.69</v>
      </c>
      <c r="D22" s="21">
        <v>0.34</v>
      </c>
      <c r="E22" s="7"/>
      <c r="F22" s="20">
        <v>11492.67</v>
      </c>
      <c r="G22" s="20">
        <v>0</v>
      </c>
    </row>
    <row r="23" spans="1:8" x14ac:dyDescent="0.2">
      <c r="B23" s="20">
        <v>425642</v>
      </c>
      <c r="C23" s="20">
        <v>133488.54</v>
      </c>
      <c r="D23" s="21">
        <v>0.35</v>
      </c>
      <c r="E23" s="7"/>
      <c r="F23" s="20">
        <v>11492.67</v>
      </c>
      <c r="G23" s="20">
        <v>0</v>
      </c>
    </row>
    <row r="24" spans="1:8" x14ac:dyDescent="0.2">
      <c r="B24" s="15"/>
      <c r="C24" s="15"/>
      <c r="D24" s="16"/>
      <c r="E24" s="7"/>
      <c r="F24" s="17"/>
      <c r="G24" s="17"/>
    </row>
    <row r="25" spans="1:8" x14ac:dyDescent="0.2">
      <c r="E25" s="7"/>
      <c r="F25" s="7"/>
      <c r="G25" s="7"/>
    </row>
    <row r="26" spans="1:8" x14ac:dyDescent="0.2">
      <c r="B26" s="7"/>
      <c r="C26" s="7"/>
      <c r="D26" s="7"/>
      <c r="E26" s="7"/>
      <c r="F26" s="7"/>
      <c r="G26" s="7"/>
    </row>
    <row r="27" spans="1:8" x14ac:dyDescent="0.2">
      <c r="B27" s="8" t="s">
        <v>19</v>
      </c>
      <c r="C27" s="7"/>
      <c r="D27" s="7"/>
    </row>
    <row r="28" spans="1:8" ht="15.75" x14ac:dyDescent="0.25">
      <c r="B28" s="18" t="s">
        <v>552</v>
      </c>
      <c r="C28" s="7"/>
      <c r="D28" s="7"/>
    </row>
    <row r="29" spans="1:8" x14ac:dyDescent="0.2">
      <c r="B29" s="32" t="s">
        <v>553</v>
      </c>
      <c r="C29" s="7"/>
      <c r="D29" s="7"/>
    </row>
    <row r="30" spans="1:8" x14ac:dyDescent="0.2">
      <c r="B30" s="193" t="s">
        <v>298</v>
      </c>
      <c r="C30" s="192"/>
      <c r="D30" s="192"/>
      <c r="E30" s="192"/>
      <c r="F30" s="192"/>
      <c r="G30" s="192"/>
      <c r="H30" s="192"/>
    </row>
    <row r="32" spans="1:8" ht="17.25" customHeight="1" x14ac:dyDescent="0.2">
      <c r="B32" s="5" t="s">
        <v>45</v>
      </c>
      <c r="E32" s="7"/>
      <c r="F32" s="441" t="s">
        <v>53</v>
      </c>
      <c r="G32" s="442"/>
    </row>
    <row r="33" spans="2:7" x14ac:dyDescent="0.2">
      <c r="E33" s="7"/>
      <c r="F33" s="444" t="s">
        <v>54</v>
      </c>
      <c r="G33" s="445"/>
    </row>
    <row r="34" spans="2:7" ht="5.25" customHeight="1" x14ac:dyDescent="0.2">
      <c r="E34" s="7"/>
      <c r="F34" s="438"/>
      <c r="G34" s="439"/>
    </row>
    <row r="35" spans="2:7" x14ac:dyDescent="0.2">
      <c r="B35" s="440" t="s">
        <v>10</v>
      </c>
      <c r="C35" s="440"/>
      <c r="D35" s="440"/>
      <c r="E35" s="7"/>
      <c r="F35" s="9" t="s">
        <v>16</v>
      </c>
      <c r="G35" s="9" t="s">
        <v>17</v>
      </c>
    </row>
    <row r="36" spans="2:7" x14ac:dyDescent="0.2">
      <c r="B36" s="443" t="s">
        <v>9</v>
      </c>
      <c r="C36" s="443"/>
      <c r="D36" s="443"/>
      <c r="E36" s="7"/>
      <c r="F36" s="9"/>
      <c r="G36" s="9" t="s">
        <v>18</v>
      </c>
    </row>
    <row r="37" spans="2:7" x14ac:dyDescent="0.2">
      <c r="B37" s="437"/>
      <c r="C37" s="437"/>
      <c r="D37" s="437"/>
      <c r="E37" s="11"/>
      <c r="F37" s="10"/>
      <c r="G37" s="10"/>
    </row>
    <row r="38" spans="2:7" ht="15.95" customHeight="1" x14ac:dyDescent="0.2">
      <c r="B38" s="9" t="s">
        <v>11</v>
      </c>
      <c r="C38" s="9" t="s">
        <v>13</v>
      </c>
      <c r="D38" s="9" t="s">
        <v>7</v>
      </c>
      <c r="E38" s="14"/>
      <c r="F38" s="12">
        <v>0.01</v>
      </c>
      <c r="G38" s="12">
        <v>267.82</v>
      </c>
    </row>
    <row r="39" spans="2:7" ht="15.95" customHeight="1" x14ac:dyDescent="0.2">
      <c r="B39" s="9" t="s">
        <v>12</v>
      </c>
      <c r="C39" s="9" t="s">
        <v>14</v>
      </c>
      <c r="D39" s="9" t="s">
        <v>15</v>
      </c>
      <c r="E39" s="14"/>
      <c r="F39" s="12">
        <v>5746.34</v>
      </c>
      <c r="G39" s="12">
        <v>0</v>
      </c>
    </row>
    <row r="40" spans="2:7" ht="15.95" customHeight="1" x14ac:dyDescent="0.2">
      <c r="B40" s="10"/>
      <c r="C40" s="10"/>
      <c r="D40" s="10"/>
      <c r="E40" s="14"/>
      <c r="F40" s="12">
        <v>5746.34</v>
      </c>
      <c r="G40" s="12">
        <v>0</v>
      </c>
    </row>
    <row r="41" spans="2:7" ht="15.95" customHeight="1" x14ac:dyDescent="0.2">
      <c r="B41" s="12">
        <v>0.01</v>
      </c>
      <c r="C41" s="12">
        <v>0</v>
      </c>
      <c r="D41" s="13">
        <v>1.9199999999999998E-2</v>
      </c>
      <c r="E41" s="14"/>
      <c r="F41" s="12">
        <v>5746.34</v>
      </c>
      <c r="G41" s="12">
        <v>0</v>
      </c>
    </row>
    <row r="42" spans="2:7" ht="15.95" customHeight="1" x14ac:dyDescent="0.2">
      <c r="B42" s="12">
        <v>416.71</v>
      </c>
      <c r="C42" s="12">
        <v>7.95</v>
      </c>
      <c r="D42" s="13">
        <v>6.4000000000000001E-2</v>
      </c>
      <c r="E42" s="14"/>
      <c r="F42" s="12">
        <v>5746.34</v>
      </c>
      <c r="G42" s="12">
        <v>0</v>
      </c>
    </row>
    <row r="43" spans="2:7" ht="15.95" customHeight="1" x14ac:dyDescent="0.2">
      <c r="B43" s="12">
        <v>3537.16</v>
      </c>
      <c r="C43" s="12">
        <v>207.75</v>
      </c>
      <c r="D43" s="13">
        <v>0.10879999999999999</v>
      </c>
      <c r="E43" s="14"/>
      <c r="F43" s="12">
        <v>5746.34</v>
      </c>
      <c r="G43" s="12">
        <v>0</v>
      </c>
    </row>
    <row r="44" spans="2:7" ht="15.95" customHeight="1" x14ac:dyDescent="0.2">
      <c r="B44" s="12">
        <v>6216.16</v>
      </c>
      <c r="C44" s="12">
        <v>499.2</v>
      </c>
      <c r="D44" s="13">
        <v>0.16</v>
      </c>
      <c r="E44" s="7"/>
      <c r="F44" s="12">
        <v>5746.34</v>
      </c>
      <c r="G44" s="12">
        <v>0</v>
      </c>
    </row>
    <row r="45" spans="2:7" ht="15.95" customHeight="1" x14ac:dyDescent="0.2">
      <c r="B45" s="12">
        <v>7225.96</v>
      </c>
      <c r="C45" s="12">
        <v>660.75</v>
      </c>
      <c r="D45" s="13">
        <v>0.1792</v>
      </c>
      <c r="E45" s="7"/>
      <c r="F45" s="12">
        <v>5746.34</v>
      </c>
      <c r="G45" s="12">
        <v>0</v>
      </c>
    </row>
    <row r="46" spans="2:7" ht="15.95" customHeight="1" x14ac:dyDescent="0.2">
      <c r="B46" s="12">
        <v>8651.41</v>
      </c>
      <c r="C46" s="12">
        <v>916.2</v>
      </c>
      <c r="D46" s="13">
        <v>0.21360000000000001</v>
      </c>
      <c r="E46" s="7"/>
      <c r="F46" s="12">
        <v>5746.34</v>
      </c>
      <c r="G46" s="12">
        <v>0</v>
      </c>
    </row>
    <row r="47" spans="2:7" ht="15.95" customHeight="1" x14ac:dyDescent="0.2">
      <c r="B47" s="12">
        <v>17448.759999999998</v>
      </c>
      <c r="C47" s="12">
        <v>2795.25</v>
      </c>
      <c r="D47" s="13">
        <v>0.23519999999999999</v>
      </c>
      <c r="E47" s="7"/>
      <c r="F47" s="12">
        <v>5746.34</v>
      </c>
      <c r="G47" s="12">
        <v>0</v>
      </c>
    </row>
    <row r="48" spans="2:7" ht="15.95" customHeight="1" x14ac:dyDescent="0.2">
      <c r="B48" s="12">
        <v>27501.61</v>
      </c>
      <c r="C48" s="12">
        <v>5159.7</v>
      </c>
      <c r="D48" s="13">
        <v>0.3</v>
      </c>
      <c r="E48" s="7"/>
      <c r="F48" s="12">
        <v>5746.34</v>
      </c>
      <c r="G48" s="12">
        <v>0</v>
      </c>
    </row>
    <row r="49" spans="2:7" x14ac:dyDescent="0.2">
      <c r="B49" s="12">
        <v>52505.26</v>
      </c>
      <c r="C49" s="12">
        <v>12660.75</v>
      </c>
      <c r="D49" s="13">
        <v>0.32</v>
      </c>
      <c r="E49" s="7"/>
      <c r="F49" s="17"/>
      <c r="G49" s="17"/>
    </row>
    <row r="50" spans="2:7" x14ac:dyDescent="0.2">
      <c r="B50" s="12">
        <v>70006.960000000006</v>
      </c>
      <c r="C50" s="12">
        <v>18261.3</v>
      </c>
      <c r="D50" s="13">
        <v>0.34</v>
      </c>
    </row>
    <row r="51" spans="2:7" x14ac:dyDescent="0.2">
      <c r="B51" s="12">
        <v>210020.71</v>
      </c>
      <c r="C51" s="12">
        <v>65866.05</v>
      </c>
      <c r="D51" s="13">
        <v>0.35</v>
      </c>
    </row>
    <row r="52" spans="2:7" x14ac:dyDescent="0.2">
      <c r="B52" s="15"/>
      <c r="C52" s="15"/>
      <c r="D52" s="16"/>
    </row>
    <row r="54" spans="2:7" x14ac:dyDescent="0.2">
      <c r="B54" s="7"/>
      <c r="C54" s="7"/>
      <c r="D54" s="7"/>
    </row>
    <row r="55" spans="2:7" x14ac:dyDescent="0.2">
      <c r="B55" s="7"/>
      <c r="C55" s="7"/>
      <c r="D55" s="7"/>
    </row>
  </sheetData>
  <sheetProtection formatCells="0" formatColumns="0" formatRows="0" insertColumns="0" insertRows="0" insertHyperlinks="0" deleteColumns="0" deleteRows="0" sort="0" autoFilter="0" pivotTables="0"/>
  <mergeCells count="12">
    <mergeCell ref="F7:G7"/>
    <mergeCell ref="F9:G9"/>
    <mergeCell ref="B8:D8"/>
    <mergeCell ref="F8:G8"/>
    <mergeCell ref="B7:D7"/>
    <mergeCell ref="B9:D9"/>
    <mergeCell ref="B37:D37"/>
    <mergeCell ref="F34:G34"/>
    <mergeCell ref="B35:D35"/>
    <mergeCell ref="F32:G32"/>
    <mergeCell ref="B36:D36"/>
    <mergeCell ref="F33:G33"/>
  </mergeCells>
  <phoneticPr fontId="0" type="noConversion"/>
  <pageMargins left="0.75" right="0.75" top="1" bottom="1" header="0" footer="0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7"/>
  <sheetViews>
    <sheetView tabSelected="1" topLeftCell="B1" zoomScale="70" zoomScaleNormal="70" workbookViewId="0">
      <pane ySplit="1" topLeftCell="A2" activePane="bottomLeft" state="frozen"/>
      <selection activeCell="B1" sqref="B1"/>
      <selection pane="bottomLeft" activeCell="A3" sqref="A3:AC3"/>
    </sheetView>
  </sheetViews>
  <sheetFormatPr baseColWidth="10" defaultColWidth="11.42578125" defaultRowHeight="12.75" x14ac:dyDescent="0.2"/>
  <cols>
    <col min="1" max="1" width="5.5703125" hidden="1" customWidth="1"/>
    <col min="2" max="2" width="12.140625" customWidth="1"/>
    <col min="3" max="3" width="10" customWidth="1"/>
    <col min="4" max="4" width="37" customWidth="1"/>
    <col min="5" max="5" width="24" customWidth="1"/>
    <col min="6" max="6" width="32.5703125" customWidth="1"/>
    <col min="7" max="7" width="17.140625" customWidth="1"/>
    <col min="8" max="8" width="26.28515625" customWidth="1"/>
    <col min="9" max="9" width="7.5703125" hidden="1" customWidth="1"/>
    <col min="10" max="10" width="9.5703125" hidden="1" customWidth="1"/>
    <col min="11" max="11" width="15.140625" customWidth="1"/>
    <col min="12" max="12" width="10.28515625" customWidth="1"/>
    <col min="13" max="13" width="14.5703125" customWidth="1"/>
    <col min="14" max="14" width="11.7109375" hidden="1" customWidth="1"/>
    <col min="15" max="16" width="16" hidden="1" customWidth="1"/>
    <col min="17" max="17" width="14.42578125" hidden="1" customWidth="1"/>
    <col min="18" max="18" width="13.42578125" hidden="1" customWidth="1"/>
    <col min="19" max="19" width="12.85546875" hidden="1" customWidth="1"/>
    <col min="20" max="21" width="14.42578125" hidden="1" customWidth="1"/>
    <col min="22" max="22" width="11.140625" hidden="1" customWidth="1"/>
    <col min="23" max="23" width="14.42578125" hidden="1" customWidth="1"/>
    <col min="24" max="24" width="12.85546875" bestFit="1" customWidth="1"/>
    <col min="25" max="25" width="14.28515625" customWidth="1"/>
    <col min="26" max="26" width="13.28515625" customWidth="1"/>
    <col min="27" max="27" width="13.85546875" customWidth="1"/>
    <col min="28" max="28" width="13.7109375" customWidth="1"/>
    <col min="29" max="29" width="75.140625" customWidth="1"/>
  </cols>
  <sheetData>
    <row r="1" spans="1:29" ht="19.5" x14ac:dyDescent="0.25">
      <c r="A1" s="449" t="s">
        <v>75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  <c r="O1" s="449"/>
      <c r="P1" s="449"/>
      <c r="Q1" s="449"/>
      <c r="R1" s="449"/>
      <c r="S1" s="449"/>
      <c r="T1" s="449"/>
      <c r="U1" s="449"/>
      <c r="V1" s="449"/>
      <c r="W1" s="449"/>
      <c r="X1" s="449"/>
      <c r="Y1" s="449"/>
      <c r="Z1" s="449"/>
      <c r="AA1" s="449"/>
      <c r="AB1" s="449"/>
      <c r="AC1" s="449"/>
    </row>
    <row r="2" spans="1:29" ht="19.5" x14ac:dyDescent="0.25">
      <c r="A2" s="449" t="s">
        <v>64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  <c r="O2" s="449"/>
      <c r="P2" s="449"/>
      <c r="Q2" s="449"/>
      <c r="R2" s="449"/>
      <c r="S2" s="449"/>
      <c r="T2" s="449"/>
      <c r="U2" s="449"/>
      <c r="V2" s="449"/>
      <c r="W2" s="449"/>
      <c r="X2" s="449"/>
      <c r="Y2" s="449"/>
      <c r="Z2" s="449"/>
      <c r="AA2" s="449"/>
      <c r="AB2" s="449"/>
      <c r="AC2" s="449"/>
    </row>
    <row r="3" spans="1:29" ht="19.5" x14ac:dyDescent="0.25">
      <c r="A3" s="450" t="s">
        <v>647</v>
      </c>
      <c r="B3" s="450"/>
      <c r="C3" s="450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  <c r="P3" s="450"/>
      <c r="Q3" s="450"/>
      <c r="R3" s="450"/>
      <c r="S3" s="450"/>
      <c r="T3" s="450"/>
      <c r="U3" s="450"/>
      <c r="V3" s="450"/>
      <c r="W3" s="450"/>
      <c r="X3" s="450"/>
      <c r="Y3" s="450"/>
      <c r="Z3" s="450"/>
      <c r="AA3" s="450"/>
      <c r="AB3" s="450"/>
      <c r="AC3" s="450"/>
    </row>
    <row r="4" spans="1:29" ht="36.4" customHeight="1" x14ac:dyDescent="0.2">
      <c r="A4" s="41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</row>
    <row r="5" spans="1:29" s="52" customFormat="1" ht="15.75" x14ac:dyDescent="0.25">
      <c r="A5" s="48"/>
      <c r="B5" s="114"/>
      <c r="C5" s="114"/>
      <c r="D5" s="114"/>
      <c r="E5" s="114"/>
      <c r="F5" s="114"/>
      <c r="G5" s="114"/>
      <c r="H5" s="184"/>
      <c r="I5" s="115" t="s">
        <v>22</v>
      </c>
      <c r="J5" s="187" t="s">
        <v>5</v>
      </c>
      <c r="K5" s="451" t="s">
        <v>1</v>
      </c>
      <c r="L5" s="452"/>
      <c r="M5" s="453"/>
      <c r="N5" s="116" t="s">
        <v>25</v>
      </c>
      <c r="O5" s="117"/>
      <c r="P5" s="454" t="s">
        <v>8</v>
      </c>
      <c r="Q5" s="455"/>
      <c r="R5" s="455"/>
      <c r="S5" s="455"/>
      <c r="T5" s="455"/>
      <c r="U5" s="456"/>
      <c r="V5" s="116" t="s">
        <v>52</v>
      </c>
      <c r="W5" s="116" t="s">
        <v>9</v>
      </c>
      <c r="X5" s="115" t="s">
        <v>52</v>
      </c>
      <c r="Y5" s="457" t="s">
        <v>2</v>
      </c>
      <c r="Z5" s="458"/>
      <c r="AA5" s="459"/>
      <c r="AB5" s="115" t="s">
        <v>0</v>
      </c>
      <c r="AC5" s="48"/>
    </row>
    <row r="6" spans="1:29" s="52" customFormat="1" ht="29.25" customHeight="1" x14ac:dyDescent="0.25">
      <c r="A6" s="53" t="s">
        <v>20</v>
      </c>
      <c r="B6" s="118" t="s">
        <v>91</v>
      </c>
      <c r="C6" s="118" t="s">
        <v>111</v>
      </c>
      <c r="D6" s="119" t="s">
        <v>21</v>
      </c>
      <c r="E6" s="119" t="s">
        <v>92</v>
      </c>
      <c r="F6" s="119" t="s">
        <v>189</v>
      </c>
      <c r="G6" s="118" t="s">
        <v>229</v>
      </c>
      <c r="H6" s="185" t="s">
        <v>61</v>
      </c>
      <c r="I6" s="190" t="s">
        <v>23</v>
      </c>
      <c r="J6" s="188" t="s">
        <v>24</v>
      </c>
      <c r="K6" s="115" t="s">
        <v>5</v>
      </c>
      <c r="L6" s="115" t="s">
        <v>58</v>
      </c>
      <c r="M6" s="115" t="s">
        <v>27</v>
      </c>
      <c r="N6" s="120" t="s">
        <v>26</v>
      </c>
      <c r="O6" s="117" t="s">
        <v>31</v>
      </c>
      <c r="P6" s="117" t="s">
        <v>11</v>
      </c>
      <c r="Q6" s="117" t="s">
        <v>33</v>
      </c>
      <c r="R6" s="117" t="s">
        <v>35</v>
      </c>
      <c r="S6" s="117" t="s">
        <v>36</v>
      </c>
      <c r="T6" s="117" t="s">
        <v>13</v>
      </c>
      <c r="U6" s="117" t="s">
        <v>9</v>
      </c>
      <c r="V6" s="120" t="s">
        <v>39</v>
      </c>
      <c r="W6" s="120" t="s">
        <v>40</v>
      </c>
      <c r="X6" s="119" t="s">
        <v>30</v>
      </c>
      <c r="Y6" s="115" t="s">
        <v>227</v>
      </c>
      <c r="Z6" s="115" t="s">
        <v>56</v>
      </c>
      <c r="AA6" s="115" t="s">
        <v>6</v>
      </c>
      <c r="AB6" s="119" t="s">
        <v>3</v>
      </c>
      <c r="AC6" s="53" t="s">
        <v>57</v>
      </c>
    </row>
    <row r="7" spans="1:29" s="52" customFormat="1" ht="15.75" x14ac:dyDescent="0.25">
      <c r="A7" s="62"/>
      <c r="B7" s="121"/>
      <c r="C7" s="121"/>
      <c r="D7" s="122"/>
      <c r="E7" s="122"/>
      <c r="F7" s="122"/>
      <c r="G7" s="122"/>
      <c r="H7" s="186"/>
      <c r="I7" s="122"/>
      <c r="J7" s="189"/>
      <c r="K7" s="122" t="s">
        <v>46</v>
      </c>
      <c r="L7" s="122" t="s">
        <v>59</v>
      </c>
      <c r="M7" s="122" t="s">
        <v>28</v>
      </c>
      <c r="N7" s="123" t="s">
        <v>42</v>
      </c>
      <c r="O7" s="116" t="s">
        <v>32</v>
      </c>
      <c r="P7" s="116" t="s">
        <v>12</v>
      </c>
      <c r="Q7" s="116" t="s">
        <v>34</v>
      </c>
      <c r="R7" s="116" t="s">
        <v>34</v>
      </c>
      <c r="S7" s="116" t="s">
        <v>37</v>
      </c>
      <c r="T7" s="116" t="s">
        <v>14</v>
      </c>
      <c r="U7" s="116" t="s">
        <v>38</v>
      </c>
      <c r="V7" s="120" t="s">
        <v>51</v>
      </c>
      <c r="W7" s="124" t="s">
        <v>169</v>
      </c>
      <c r="X7" s="122" t="s">
        <v>51</v>
      </c>
      <c r="Y7" s="122"/>
      <c r="Z7" s="122"/>
      <c r="AA7" s="122" t="s">
        <v>43</v>
      </c>
      <c r="AB7" s="122" t="s">
        <v>4</v>
      </c>
      <c r="AC7" s="58"/>
    </row>
    <row r="8" spans="1:29" s="52" customFormat="1" ht="25.5" customHeight="1" x14ac:dyDescent="0.25">
      <c r="A8" s="156"/>
      <c r="B8" s="356" t="s">
        <v>91</v>
      </c>
      <c r="C8" s="356" t="s">
        <v>111</v>
      </c>
      <c r="D8" s="159" t="s">
        <v>62</v>
      </c>
      <c r="E8" s="156" t="s">
        <v>92</v>
      </c>
      <c r="F8" s="156" t="s">
        <v>189</v>
      </c>
      <c r="G8" s="356" t="s">
        <v>229</v>
      </c>
      <c r="H8" s="156" t="s">
        <v>61</v>
      </c>
      <c r="I8" s="156"/>
      <c r="J8" s="156"/>
      <c r="K8" s="160">
        <f>SUM(K9:K11)</f>
        <v>52807.5</v>
      </c>
      <c r="L8" s="160">
        <f>SUM(L9:L11)</f>
        <v>0</v>
      </c>
      <c r="M8" s="160">
        <f>SUM(M9:M11)</f>
        <v>52807.5</v>
      </c>
      <c r="N8" s="156"/>
      <c r="O8" s="156"/>
      <c r="P8" s="156"/>
      <c r="Q8" s="156"/>
      <c r="R8" s="156"/>
      <c r="S8" s="156"/>
      <c r="T8" s="156"/>
      <c r="U8" s="156"/>
      <c r="V8" s="156"/>
      <c r="W8" s="161"/>
      <c r="X8" s="160">
        <f>SUM(X9:X11)</f>
        <v>0</v>
      </c>
      <c r="Y8" s="160">
        <f>SUM(Y9:Y11)</f>
        <v>9050.42</v>
      </c>
      <c r="Z8" s="160">
        <f>SUM(Z9:Z11)</f>
        <v>0</v>
      </c>
      <c r="AA8" s="160">
        <f>SUM(AA9:AA11)</f>
        <v>9050.42</v>
      </c>
      <c r="AB8" s="160">
        <f>SUM(AB9:AB11)</f>
        <v>43757.08</v>
      </c>
      <c r="AC8" s="65"/>
    </row>
    <row r="9" spans="1:29" s="286" customFormat="1" ht="244.5" customHeight="1" x14ac:dyDescent="0.2">
      <c r="A9" s="252" t="s">
        <v>80</v>
      </c>
      <c r="B9" s="251" t="s">
        <v>328</v>
      </c>
      <c r="C9" s="252" t="s">
        <v>105</v>
      </c>
      <c r="D9" s="253" t="s">
        <v>326</v>
      </c>
      <c r="E9" s="254" t="s">
        <v>327</v>
      </c>
      <c r="F9" s="276" t="s">
        <v>329</v>
      </c>
      <c r="G9" s="277">
        <v>45566</v>
      </c>
      <c r="H9" s="269" t="s">
        <v>164</v>
      </c>
      <c r="I9" s="270">
        <v>15</v>
      </c>
      <c r="J9" s="287">
        <f>K9/I9</f>
        <v>2018.2666666666667</v>
      </c>
      <c r="K9" s="278">
        <v>30274</v>
      </c>
      <c r="L9" s="279">
        <v>0</v>
      </c>
      <c r="M9" s="280">
        <f>SUM(K9:L9)</f>
        <v>30274</v>
      </c>
      <c r="N9" s="281">
        <f>IF(K9/15&lt;=SMG,0,L9/2)</f>
        <v>0</v>
      </c>
      <c r="O9" s="296">
        <f>(K9+N9)/I9*30.4</f>
        <v>61355.306666666664</v>
      </c>
      <c r="P9" s="296">
        <f>VLOOKUP(O9,Tarifa,1)</f>
        <v>55736.69</v>
      </c>
      <c r="Q9" s="281">
        <f>O9-P9</f>
        <v>5618.6166666666613</v>
      </c>
      <c r="R9" s="282">
        <f>VLOOKUP(O9,Tarifa,3)</f>
        <v>0.3</v>
      </c>
      <c r="S9" s="281">
        <f>Q9*R9</f>
        <v>1685.5849999999984</v>
      </c>
      <c r="T9" s="283">
        <f>VLOOKUP(O9,Tarifa,2)</f>
        <v>10457.09</v>
      </c>
      <c r="U9" s="281">
        <f>S9+T9</f>
        <v>12142.674999999999</v>
      </c>
      <c r="V9" s="281">
        <f>VLOOKUP(O9,Credito,2)</f>
        <v>0</v>
      </c>
      <c r="W9" s="281">
        <f>ROUND((U9-V9)/30.4*I9,2)</f>
        <v>5991.45</v>
      </c>
      <c r="X9" s="280">
        <f>-IF(W9&gt;0,0,0)</f>
        <v>0</v>
      </c>
      <c r="Y9" s="280">
        <f>IF(K9/15&lt;=SMG,0,IF(W9&lt;0,0,W9))</f>
        <v>5991.45</v>
      </c>
      <c r="Z9" s="284">
        <v>0</v>
      </c>
      <c r="AA9" s="280">
        <f>SUM(Y9:Z9)</f>
        <v>5991.45</v>
      </c>
      <c r="AB9" s="280">
        <f>M9+X9-AA9</f>
        <v>24282.55</v>
      </c>
      <c r="AC9" s="285"/>
    </row>
    <row r="10" spans="1:29" s="286" customFormat="1" ht="244.5" customHeight="1" x14ac:dyDescent="0.2">
      <c r="A10" s="252" t="s">
        <v>81</v>
      </c>
      <c r="B10" s="251" t="s">
        <v>166</v>
      </c>
      <c r="C10" s="252" t="s">
        <v>105</v>
      </c>
      <c r="D10" s="253" t="s">
        <v>167</v>
      </c>
      <c r="E10" s="254" t="s">
        <v>168</v>
      </c>
      <c r="F10" s="254" t="s">
        <v>199</v>
      </c>
      <c r="G10" s="277">
        <v>45566</v>
      </c>
      <c r="H10" s="269" t="s">
        <v>165</v>
      </c>
      <c r="I10" s="270">
        <v>15</v>
      </c>
      <c r="J10" s="287">
        <f>K10/I10</f>
        <v>1091.7333333333333</v>
      </c>
      <c r="K10" s="278">
        <v>16376</v>
      </c>
      <c r="L10" s="279">
        <v>0</v>
      </c>
      <c r="M10" s="280">
        <f>SUM(K10:L10)</f>
        <v>16376</v>
      </c>
      <c r="N10" s="281">
        <f>IF(K10/15&lt;=SMG,0,L10/2)</f>
        <v>0</v>
      </c>
      <c r="O10" s="296">
        <f>(K10+N10)/I10*30.4</f>
        <v>33188.693333333329</v>
      </c>
      <c r="P10" s="296">
        <f>VLOOKUP(O10,Tarifa,1)</f>
        <v>17533.650000000001</v>
      </c>
      <c r="Q10" s="281">
        <f>O10-P10</f>
        <v>15655.043333333328</v>
      </c>
      <c r="R10" s="282">
        <f>VLOOKUP(O10,Tarifa,3)</f>
        <v>0.21360000000000001</v>
      </c>
      <c r="S10" s="281">
        <f>Q10*R10</f>
        <v>3343.9172559999988</v>
      </c>
      <c r="T10" s="283">
        <f>VLOOKUP(O10,Tarifa,2)</f>
        <v>1856.84</v>
      </c>
      <c r="U10" s="281">
        <f>S10+T10</f>
        <v>5200.757255999999</v>
      </c>
      <c r="V10" s="281">
        <f>VLOOKUP(O10,Credito,2)</f>
        <v>0</v>
      </c>
      <c r="W10" s="281">
        <f>ROUND((U10-V10)/30.4*I10,2)</f>
        <v>2566.16</v>
      </c>
      <c r="X10" s="280">
        <f>-IF(W10&gt;0,0,0)</f>
        <v>0</v>
      </c>
      <c r="Y10" s="280">
        <f>IF(K10/15&lt;=SMG,0,IF(W10&lt;0,0,W10))</f>
        <v>2566.16</v>
      </c>
      <c r="Z10" s="284">
        <v>0</v>
      </c>
      <c r="AA10" s="280">
        <f>SUM(Y10:Z10)</f>
        <v>2566.16</v>
      </c>
      <c r="AB10" s="280">
        <f>M10+X10-AA10</f>
        <v>13809.84</v>
      </c>
      <c r="AC10" s="285"/>
    </row>
    <row r="11" spans="1:29" s="286" customFormat="1" ht="244.5" customHeight="1" x14ac:dyDescent="0.2">
      <c r="A11" s="252"/>
      <c r="B11" s="252" t="s">
        <v>98</v>
      </c>
      <c r="C11" s="251" t="s">
        <v>105</v>
      </c>
      <c r="D11" s="253" t="s">
        <v>65</v>
      </c>
      <c r="E11" s="254" t="s">
        <v>99</v>
      </c>
      <c r="F11" s="276" t="s">
        <v>190</v>
      </c>
      <c r="G11" s="277">
        <v>40026</v>
      </c>
      <c r="H11" s="254" t="s">
        <v>63</v>
      </c>
      <c r="I11" s="270">
        <v>15</v>
      </c>
      <c r="J11" s="287">
        <f>K11/I11</f>
        <v>410.5</v>
      </c>
      <c r="K11" s="278">
        <v>6157.5</v>
      </c>
      <c r="L11" s="279">
        <v>0</v>
      </c>
      <c r="M11" s="280">
        <f>SUM(K11:L11)</f>
        <v>6157.5</v>
      </c>
      <c r="N11" s="281">
        <f>IF(K11/15&lt;=SMG,0,L11/2)</f>
        <v>0</v>
      </c>
      <c r="O11" s="296">
        <f>(K11+N11)/I11*30.4</f>
        <v>12479.199999999999</v>
      </c>
      <c r="P11" s="296">
        <f>VLOOKUP(O11,Tarifa,1)</f>
        <v>7168.52</v>
      </c>
      <c r="Q11" s="281">
        <f>O11-P11</f>
        <v>5310.6799999999985</v>
      </c>
      <c r="R11" s="282">
        <f>VLOOKUP(O11,Tarifa,3)</f>
        <v>0.10879999999999999</v>
      </c>
      <c r="S11" s="281">
        <f>Q11*R11</f>
        <v>577.80198399999983</v>
      </c>
      <c r="T11" s="283">
        <f>VLOOKUP(O11,Tarifa,2)</f>
        <v>420.95</v>
      </c>
      <c r="U11" s="281">
        <f>S11+T11</f>
        <v>998.75198399999977</v>
      </c>
      <c r="V11" s="281">
        <f>VLOOKUP(O11,Credito,2)</f>
        <v>0</v>
      </c>
      <c r="W11" s="281">
        <f>ROUND((U11-V11)/30.4*I11,2)</f>
        <v>492.81</v>
      </c>
      <c r="X11" s="280">
        <f>-IF(W11&gt;0,0,0)</f>
        <v>0</v>
      </c>
      <c r="Y11" s="280">
        <f>IF(K11/15&lt;=SMG,0,IF(W11&lt;0,0,W11))</f>
        <v>492.81</v>
      </c>
      <c r="Z11" s="284">
        <v>0</v>
      </c>
      <c r="AA11" s="280">
        <f>SUM(Y11:Z11)</f>
        <v>492.81</v>
      </c>
      <c r="AB11" s="280">
        <f>M11+X11-AA11</f>
        <v>5664.69</v>
      </c>
      <c r="AC11" s="285"/>
    </row>
    <row r="12" spans="1:29" s="52" customFormat="1" ht="30.75" customHeight="1" x14ac:dyDescent="0.25">
      <c r="A12" s="133"/>
      <c r="B12" s="356" t="s">
        <v>91</v>
      </c>
      <c r="C12" s="356" t="s">
        <v>111</v>
      </c>
      <c r="D12" s="159" t="s">
        <v>108</v>
      </c>
      <c r="E12" s="156" t="s">
        <v>92</v>
      </c>
      <c r="F12" s="156" t="s">
        <v>189</v>
      </c>
      <c r="G12" s="356" t="s">
        <v>229</v>
      </c>
      <c r="H12" s="156" t="s">
        <v>61</v>
      </c>
      <c r="I12" s="156"/>
      <c r="J12" s="156"/>
      <c r="K12" s="160">
        <f>K13</f>
        <v>6123</v>
      </c>
      <c r="L12" s="160">
        <f>L13</f>
        <v>0</v>
      </c>
      <c r="M12" s="160">
        <f>M13</f>
        <v>6123</v>
      </c>
      <c r="N12" s="156"/>
      <c r="O12" s="156"/>
      <c r="P12" s="156"/>
      <c r="Q12" s="156"/>
      <c r="R12" s="156"/>
      <c r="S12" s="156"/>
      <c r="T12" s="162"/>
      <c r="U12" s="156"/>
      <c r="V12" s="156"/>
      <c r="W12" s="161"/>
      <c r="X12" s="160">
        <f>X13</f>
        <v>0</v>
      </c>
      <c r="Y12" s="160">
        <f>Y13</f>
        <v>489.05</v>
      </c>
      <c r="Z12" s="160">
        <f>Z13</f>
        <v>0</v>
      </c>
      <c r="AA12" s="160">
        <f>AA13</f>
        <v>489.05</v>
      </c>
      <c r="AB12" s="160">
        <f>AB13</f>
        <v>5633.95</v>
      </c>
      <c r="AC12" s="65"/>
    </row>
    <row r="13" spans="1:29" s="286" customFormat="1" ht="242.25" customHeight="1" x14ac:dyDescent="0.2">
      <c r="A13" s="402" t="s">
        <v>84</v>
      </c>
      <c r="B13" s="252" t="s">
        <v>171</v>
      </c>
      <c r="C13" s="252" t="s">
        <v>277</v>
      </c>
      <c r="D13" s="253" t="s">
        <v>173</v>
      </c>
      <c r="E13" s="274" t="s">
        <v>174</v>
      </c>
      <c r="F13" s="276" t="s">
        <v>208</v>
      </c>
      <c r="G13" s="277">
        <v>44470</v>
      </c>
      <c r="H13" s="269" t="s">
        <v>222</v>
      </c>
      <c r="I13" s="270">
        <v>15</v>
      </c>
      <c r="J13" s="287">
        <f>K13/I13</f>
        <v>408.2</v>
      </c>
      <c r="K13" s="278">
        <v>6123</v>
      </c>
      <c r="L13" s="279">
        <v>0</v>
      </c>
      <c r="M13" s="280">
        <f>SUM(K13:L13)</f>
        <v>6123</v>
      </c>
      <c r="N13" s="281">
        <f>IF(K13/15&lt;=SMG,0,L13/2)</f>
        <v>0</v>
      </c>
      <c r="O13" s="296">
        <f>(K13+N13)/I13*30.4</f>
        <v>12409.279999999999</v>
      </c>
      <c r="P13" s="296">
        <f>VLOOKUP(O13,Tarifa,1)</f>
        <v>7168.52</v>
      </c>
      <c r="Q13" s="281">
        <f>O13-P13</f>
        <v>5240.7599999999984</v>
      </c>
      <c r="R13" s="282">
        <f>VLOOKUP(O13,Tarifa,3)</f>
        <v>0.10879999999999999</v>
      </c>
      <c r="S13" s="281">
        <f>Q13*R13</f>
        <v>570.19468799999981</v>
      </c>
      <c r="T13" s="283">
        <f>VLOOKUP(O13,Tarifa,2)</f>
        <v>420.95</v>
      </c>
      <c r="U13" s="281">
        <f>S13+T13</f>
        <v>991.14468799999986</v>
      </c>
      <c r="V13" s="281">
        <f>VLOOKUP(O13,Credito,2)</f>
        <v>0</v>
      </c>
      <c r="W13" s="281">
        <f>ROUND((U13-V13)/30.4*I13,2)</f>
        <v>489.05</v>
      </c>
      <c r="X13" s="280">
        <f>-IF(W13&gt;0,0,0)</f>
        <v>0</v>
      </c>
      <c r="Y13" s="280">
        <f>IF(K13/15&lt;=SMG,0,IF(W13&lt;0,0,W13))</f>
        <v>489.05</v>
      </c>
      <c r="Z13" s="284">
        <v>0</v>
      </c>
      <c r="AA13" s="280">
        <f>SUM(Y13:Z13)</f>
        <v>489.05</v>
      </c>
      <c r="AB13" s="280">
        <f>M13+X13-AA13</f>
        <v>5633.95</v>
      </c>
      <c r="AC13" s="285"/>
    </row>
    <row r="14" spans="1:29" s="286" customFormat="1" ht="27" customHeight="1" x14ac:dyDescent="0.2">
      <c r="A14" s="347"/>
      <c r="B14" s="347"/>
      <c r="C14" s="347"/>
      <c r="D14" s="368"/>
      <c r="E14" s="381"/>
      <c r="F14" s="404"/>
      <c r="G14" s="405"/>
      <c r="H14" s="383"/>
      <c r="I14" s="406"/>
      <c r="J14" s="407"/>
      <c r="K14" s="408"/>
      <c r="L14" s="409"/>
      <c r="M14" s="410"/>
      <c r="N14" s="358"/>
      <c r="O14" s="359"/>
      <c r="P14" s="359"/>
      <c r="Q14" s="358"/>
      <c r="R14" s="360"/>
      <c r="S14" s="358"/>
      <c r="T14" s="361"/>
      <c r="U14" s="358"/>
      <c r="V14" s="358"/>
      <c r="W14" s="358"/>
      <c r="X14" s="410"/>
      <c r="Y14" s="410"/>
      <c r="Z14" s="411"/>
      <c r="AA14" s="410"/>
      <c r="AB14" s="410"/>
    </row>
    <row r="15" spans="1:29" s="286" customFormat="1" ht="27" customHeight="1" x14ac:dyDescent="0.2">
      <c r="A15" s="347"/>
      <c r="B15" s="347"/>
      <c r="C15" s="347"/>
      <c r="D15" s="368"/>
      <c r="E15" s="381"/>
      <c r="F15" s="404"/>
      <c r="G15" s="405"/>
      <c r="H15" s="383"/>
      <c r="I15" s="406"/>
      <c r="J15" s="407"/>
      <c r="K15" s="408"/>
      <c r="L15" s="409"/>
      <c r="M15" s="410"/>
      <c r="N15" s="358"/>
      <c r="O15" s="359"/>
      <c r="P15" s="359"/>
      <c r="Q15" s="358"/>
      <c r="R15" s="360"/>
      <c r="S15" s="358"/>
      <c r="T15" s="361"/>
      <c r="U15" s="358"/>
      <c r="V15" s="358"/>
      <c r="W15" s="358"/>
      <c r="X15" s="410"/>
      <c r="Y15" s="410"/>
      <c r="Z15" s="411"/>
      <c r="AA15" s="410"/>
      <c r="AB15" s="410"/>
    </row>
    <row r="16" spans="1:29" s="286" customFormat="1" ht="27" customHeight="1" x14ac:dyDescent="0.2">
      <c r="A16" s="347"/>
      <c r="B16" s="347"/>
      <c r="C16" s="347"/>
      <c r="D16" s="368"/>
      <c r="E16" s="381"/>
      <c r="F16" s="404"/>
      <c r="G16" s="405"/>
      <c r="H16" s="383"/>
      <c r="I16" s="406"/>
      <c r="J16" s="407"/>
      <c r="K16" s="408"/>
      <c r="L16" s="409"/>
      <c r="M16" s="410"/>
      <c r="N16" s="358"/>
      <c r="O16" s="359"/>
      <c r="P16" s="359"/>
      <c r="Q16" s="358"/>
      <c r="R16" s="360"/>
      <c r="S16" s="358"/>
      <c r="T16" s="361"/>
      <c r="U16" s="358"/>
      <c r="V16" s="358"/>
      <c r="W16" s="358"/>
      <c r="X16" s="410"/>
      <c r="Y16" s="410"/>
      <c r="Z16" s="411"/>
      <c r="AA16" s="410"/>
      <c r="AB16" s="410"/>
    </row>
    <row r="17" spans="1:29" s="286" customFormat="1" ht="64.900000000000006" customHeight="1" x14ac:dyDescent="0.2">
      <c r="A17" s="347"/>
      <c r="B17" s="347"/>
      <c r="C17" s="347"/>
      <c r="D17" s="368"/>
      <c r="E17" s="381"/>
      <c r="F17" s="404"/>
      <c r="G17" s="405"/>
      <c r="H17" s="383"/>
      <c r="I17" s="406"/>
      <c r="J17" s="407"/>
      <c r="K17" s="408"/>
      <c r="L17" s="409"/>
      <c r="M17" s="410"/>
      <c r="N17" s="358"/>
      <c r="O17" s="359"/>
      <c r="P17" s="359"/>
      <c r="Q17" s="358"/>
      <c r="R17" s="360"/>
      <c r="S17" s="358"/>
      <c r="T17" s="361"/>
      <c r="U17" s="358"/>
      <c r="V17" s="358"/>
      <c r="W17" s="358"/>
      <c r="X17" s="410"/>
      <c r="Y17" s="410"/>
      <c r="Z17" s="411"/>
      <c r="AA17" s="410"/>
      <c r="AB17" s="410"/>
    </row>
    <row r="18" spans="1:29" s="52" customFormat="1" ht="36.75" customHeight="1" x14ac:dyDescent="0.25">
      <c r="A18" s="403"/>
      <c r="B18" s="357" t="s">
        <v>91</v>
      </c>
      <c r="C18" s="357" t="s">
        <v>111</v>
      </c>
      <c r="D18" s="175" t="s">
        <v>109</v>
      </c>
      <c r="E18" s="175" t="s">
        <v>92</v>
      </c>
      <c r="F18" s="175" t="s">
        <v>189</v>
      </c>
      <c r="G18" s="357" t="s">
        <v>229</v>
      </c>
      <c r="H18" s="175" t="s">
        <v>61</v>
      </c>
      <c r="I18" s="175"/>
      <c r="J18" s="175"/>
      <c r="K18" s="176">
        <f>SUM(K19:K19)</f>
        <v>11640.5</v>
      </c>
      <c r="L18" s="176">
        <f>SUM(L19:L19)</f>
        <v>0</v>
      </c>
      <c r="M18" s="176">
        <f>SUM(M19:M19)</f>
        <v>11640.5</v>
      </c>
      <c r="N18" s="175"/>
      <c r="O18" s="175"/>
      <c r="P18" s="175"/>
      <c r="Q18" s="175"/>
      <c r="R18" s="175"/>
      <c r="S18" s="175"/>
      <c r="T18" s="178"/>
      <c r="U18" s="175"/>
      <c r="V18" s="175"/>
      <c r="W18" s="175"/>
      <c r="X18" s="176">
        <f>SUM(X19:X19)</f>
        <v>0</v>
      </c>
      <c r="Y18" s="176">
        <f>SUM(Y19:Y19)</f>
        <v>1554.66</v>
      </c>
      <c r="Z18" s="176">
        <f>SUM(Z19:Z19)</f>
        <v>0</v>
      </c>
      <c r="AA18" s="176">
        <f>SUM(AA19:AA19)</f>
        <v>1554.66</v>
      </c>
      <c r="AB18" s="176">
        <f>SUM(AB19:AB20)</f>
        <v>15467.58</v>
      </c>
      <c r="AC18" s="362"/>
    </row>
    <row r="19" spans="1:29" s="286" customFormat="1" ht="200.25" customHeight="1" x14ac:dyDescent="0.2">
      <c r="A19" s="252" t="s">
        <v>85</v>
      </c>
      <c r="B19" s="251" t="s">
        <v>134</v>
      </c>
      <c r="C19" s="252" t="s">
        <v>105</v>
      </c>
      <c r="D19" s="253" t="s">
        <v>125</v>
      </c>
      <c r="E19" s="254" t="s">
        <v>131</v>
      </c>
      <c r="F19" s="276" t="s">
        <v>197</v>
      </c>
      <c r="G19" s="277">
        <v>43374</v>
      </c>
      <c r="H19" s="269" t="s">
        <v>566</v>
      </c>
      <c r="I19" s="270">
        <v>15</v>
      </c>
      <c r="J19" s="287">
        <f>K19/I19</f>
        <v>776.0333333333333</v>
      </c>
      <c r="K19" s="278">
        <v>11640.5</v>
      </c>
      <c r="L19" s="279">
        <v>0</v>
      </c>
      <c r="M19" s="280">
        <f>K19</f>
        <v>11640.5</v>
      </c>
      <c r="N19" s="281">
        <f>IF(K19/15&lt;=SMG,0,L19/2)</f>
        <v>0</v>
      </c>
      <c r="O19" s="296">
        <f>(K19+N19)/I19*30.4</f>
        <v>23591.41333333333</v>
      </c>
      <c r="P19" s="296">
        <f>VLOOKUP(O19,Tarifa,1)</f>
        <v>17533.650000000001</v>
      </c>
      <c r="Q19" s="281">
        <f>O19-P19</f>
        <v>6057.7633333333288</v>
      </c>
      <c r="R19" s="282">
        <f>VLOOKUP(O19,Tarifa,3)</f>
        <v>0.21360000000000001</v>
      </c>
      <c r="S19" s="281">
        <f>Q19*R19</f>
        <v>1293.938247999999</v>
      </c>
      <c r="T19" s="283">
        <f>VLOOKUP(O19,Tarifa,2)</f>
        <v>1856.84</v>
      </c>
      <c r="U19" s="281">
        <f>S19+T19</f>
        <v>3150.7782479999987</v>
      </c>
      <c r="V19" s="281">
        <f>VLOOKUP(O19,Credito,2)</f>
        <v>0</v>
      </c>
      <c r="W19" s="281">
        <f>ROUND((U19-V19)/30.4*I19,2)</f>
        <v>1554.66</v>
      </c>
      <c r="X19" s="280">
        <f>-IF(W19&gt;0,0,0)</f>
        <v>0</v>
      </c>
      <c r="Y19" s="280">
        <f>IF(K19/15&lt;=SMG,0,IF(W19&lt;0,0,W19))</f>
        <v>1554.66</v>
      </c>
      <c r="Z19" s="284">
        <v>0</v>
      </c>
      <c r="AA19" s="280">
        <f>SUM(Y19:Z19)</f>
        <v>1554.66</v>
      </c>
      <c r="AB19" s="280">
        <f>M19+X19-AA19</f>
        <v>10085.84</v>
      </c>
      <c r="AC19" s="285"/>
    </row>
    <row r="20" spans="1:29" s="286" customFormat="1" ht="200.25" customHeight="1" x14ac:dyDescent="0.2">
      <c r="A20" s="288"/>
      <c r="B20" s="272" t="s">
        <v>334</v>
      </c>
      <c r="C20" s="267" t="s">
        <v>105</v>
      </c>
      <c r="D20" s="273" t="s">
        <v>420</v>
      </c>
      <c r="E20" s="274" t="s">
        <v>421</v>
      </c>
      <c r="F20" s="274" t="s">
        <v>422</v>
      </c>
      <c r="G20" s="313">
        <v>45612</v>
      </c>
      <c r="H20" s="289" t="s">
        <v>562</v>
      </c>
      <c r="I20" s="290">
        <v>15</v>
      </c>
      <c r="J20" s="287">
        <f>K20/I20</f>
        <v>389.33333333333331</v>
      </c>
      <c r="K20" s="278">
        <v>5840</v>
      </c>
      <c r="L20" s="279">
        <v>0</v>
      </c>
      <c r="M20" s="280">
        <f>SUM(K20:L20)</f>
        <v>5840</v>
      </c>
      <c r="N20" s="281">
        <f>IF(K20/15&lt;=SMG,0,L20/2)</f>
        <v>0</v>
      </c>
      <c r="O20" s="296">
        <f>(K20+N20)/I20*30.4</f>
        <v>11835.733333333332</v>
      </c>
      <c r="P20" s="296">
        <f>VLOOKUP(O20,Tarifa,1)</f>
        <v>7168.52</v>
      </c>
      <c r="Q20" s="281">
        <f>O20-P20</f>
        <v>4667.2133333333313</v>
      </c>
      <c r="R20" s="282">
        <f>VLOOKUP(O20,Tarifa,3)</f>
        <v>0.10879999999999999</v>
      </c>
      <c r="S20" s="281">
        <f>Q20*R20</f>
        <v>507.79281066666641</v>
      </c>
      <c r="T20" s="283">
        <f>VLOOKUP(O20,Tarifa,2)</f>
        <v>420.95</v>
      </c>
      <c r="U20" s="281">
        <f>S20+T20</f>
        <v>928.7428106666664</v>
      </c>
      <c r="V20" s="281">
        <f>VLOOKUP(O20,Credito,2)</f>
        <v>0</v>
      </c>
      <c r="W20" s="281">
        <f>ROUND((U20-V20)/30.4*I20,2)</f>
        <v>458.26</v>
      </c>
      <c r="X20" s="280">
        <f>-IF(W20&gt;0,0,0)</f>
        <v>0</v>
      </c>
      <c r="Y20" s="280">
        <f>IF(K20/15&lt;=SMG,0,IF(W20&lt;0,0,W20))</f>
        <v>458.26</v>
      </c>
      <c r="Z20" s="284">
        <v>0</v>
      </c>
      <c r="AA20" s="280">
        <f>SUM(Y20:Z20)</f>
        <v>458.26</v>
      </c>
      <c r="AB20" s="280">
        <f>M20+X20-AA20</f>
        <v>5381.74</v>
      </c>
      <c r="AC20" s="291"/>
    </row>
    <row r="21" spans="1:29" s="286" customFormat="1" ht="57.75" customHeight="1" x14ac:dyDescent="0.25">
      <c r="A21" s="288"/>
      <c r="B21" s="357" t="s">
        <v>91</v>
      </c>
      <c r="C21" s="357" t="s">
        <v>111</v>
      </c>
      <c r="D21" s="148" t="s">
        <v>441</v>
      </c>
      <c r="E21" s="175" t="s">
        <v>92</v>
      </c>
      <c r="F21" s="175" t="s">
        <v>189</v>
      </c>
      <c r="G21" s="357" t="s">
        <v>229</v>
      </c>
      <c r="H21" s="175" t="s">
        <v>61</v>
      </c>
      <c r="I21" s="175"/>
      <c r="J21" s="156"/>
      <c r="K21" s="160">
        <f>SUM(K22:K22)</f>
        <v>6894</v>
      </c>
      <c r="L21" s="160">
        <f>SUM(L22:L22)</f>
        <v>0</v>
      </c>
      <c r="M21" s="160">
        <f>SUM(M22:M22)</f>
        <v>6894</v>
      </c>
      <c r="N21" s="156"/>
      <c r="O21" s="156"/>
      <c r="P21" s="156"/>
      <c r="Q21" s="156"/>
      <c r="R21" s="156"/>
      <c r="S21" s="156"/>
      <c r="T21" s="162"/>
      <c r="U21" s="156"/>
      <c r="V21" s="156"/>
      <c r="W21" s="161"/>
      <c r="X21" s="160">
        <f>SUM(X22:X22)</f>
        <v>0</v>
      </c>
      <c r="Y21" s="160">
        <f>SUM(Y22:Y22)</f>
        <v>607.64</v>
      </c>
      <c r="Z21" s="160">
        <f>SUM(Z22:Z22)</f>
        <v>0</v>
      </c>
      <c r="AA21" s="160">
        <f>SUM(AA22:AA22)</f>
        <v>607.64</v>
      </c>
      <c r="AB21" s="160">
        <f>SUM(AB22:AB22)</f>
        <v>6286.36</v>
      </c>
      <c r="AC21" s="65"/>
    </row>
    <row r="22" spans="1:29" s="286" customFormat="1" ht="200.25" customHeight="1" x14ac:dyDescent="0.2">
      <c r="A22" s="288"/>
      <c r="B22" s="252" t="s">
        <v>557</v>
      </c>
      <c r="C22" s="252" t="s">
        <v>105</v>
      </c>
      <c r="D22" s="273" t="s">
        <v>554</v>
      </c>
      <c r="E22" s="274" t="s">
        <v>555</v>
      </c>
      <c r="F22" s="276" t="s">
        <v>556</v>
      </c>
      <c r="G22" s="277">
        <v>46023</v>
      </c>
      <c r="H22" s="292" t="s">
        <v>567</v>
      </c>
      <c r="I22" s="293">
        <v>15</v>
      </c>
      <c r="J22" s="287">
        <f>K22/I22</f>
        <v>459.6</v>
      </c>
      <c r="K22" s="278">
        <v>6894</v>
      </c>
      <c r="L22" s="279">
        <v>0</v>
      </c>
      <c r="M22" s="280">
        <f>K22</f>
        <v>6894</v>
      </c>
      <c r="N22" s="281">
        <f>IF(K22/15&lt;=SMG,0,L22/2)</f>
        <v>0</v>
      </c>
      <c r="O22" s="296">
        <f>(K22+N22)/I22*30.4</f>
        <v>13971.84</v>
      </c>
      <c r="P22" s="296">
        <f>VLOOKUP(O22,Tarifa,1)</f>
        <v>12598.03</v>
      </c>
      <c r="Q22" s="281">
        <f>O22-P22</f>
        <v>1373.8099999999995</v>
      </c>
      <c r="R22" s="282">
        <f>VLOOKUP(O22,Tarifa,3)</f>
        <v>0.16</v>
      </c>
      <c r="S22" s="281">
        <f>Q22*R22</f>
        <v>219.80959999999993</v>
      </c>
      <c r="T22" s="283">
        <f>VLOOKUP(O22,Tarifa,2)</f>
        <v>1011.68</v>
      </c>
      <c r="U22" s="281">
        <f>S22+T22</f>
        <v>1231.4895999999999</v>
      </c>
      <c r="V22" s="281">
        <f>VLOOKUP(O22,Credito,2)</f>
        <v>0</v>
      </c>
      <c r="W22" s="281">
        <f>ROUND((U22-V22)/30.4*I22,2)</f>
        <v>607.64</v>
      </c>
      <c r="X22" s="280">
        <f>-IF(W22&gt;0,0,0)</f>
        <v>0</v>
      </c>
      <c r="Y22" s="280">
        <f>IF(K22/15&lt;=SMG,0,IF(W22&lt;0,0,W22))</f>
        <v>607.64</v>
      </c>
      <c r="Z22" s="284">
        <v>0</v>
      </c>
      <c r="AA22" s="280">
        <f>SUM(Y22:Z22)</f>
        <v>607.64</v>
      </c>
      <c r="AB22" s="280">
        <f>M22+X22-AA22</f>
        <v>6286.36</v>
      </c>
      <c r="AC22" s="295"/>
    </row>
    <row r="23" spans="1:29" s="52" customFormat="1" ht="31.5" customHeight="1" x14ac:dyDescent="0.25">
      <c r="A23" s="183"/>
      <c r="B23" s="357" t="s">
        <v>91</v>
      </c>
      <c r="C23" s="357" t="s">
        <v>111</v>
      </c>
      <c r="D23" s="148" t="s">
        <v>308</v>
      </c>
      <c r="E23" s="175" t="s">
        <v>92</v>
      </c>
      <c r="F23" s="175" t="s">
        <v>189</v>
      </c>
      <c r="G23" s="357" t="s">
        <v>229</v>
      </c>
      <c r="H23" s="175" t="s">
        <v>61</v>
      </c>
      <c r="I23" s="175"/>
      <c r="J23" s="156"/>
      <c r="K23" s="160">
        <f>SUM(K24:K24)</f>
        <v>3227</v>
      </c>
      <c r="L23" s="160">
        <f>SUM(L24:L24)</f>
        <v>0</v>
      </c>
      <c r="M23" s="160">
        <f>SUM(M24:M24)</f>
        <v>3227</v>
      </c>
      <c r="N23" s="156"/>
      <c r="O23" s="156"/>
      <c r="P23" s="156"/>
      <c r="Q23" s="156"/>
      <c r="R23" s="156"/>
      <c r="S23" s="156"/>
      <c r="T23" s="162"/>
      <c r="U23" s="156"/>
      <c r="V23" s="156"/>
      <c r="W23" s="161"/>
      <c r="X23" s="160">
        <f>SUM(X24:X24)</f>
        <v>0</v>
      </c>
      <c r="Y23" s="160">
        <f>SUM(Y24:Y24)</f>
        <v>0</v>
      </c>
      <c r="Z23" s="160">
        <f>SUM(Z24:Z24)</f>
        <v>0</v>
      </c>
      <c r="AA23" s="160">
        <f>SUM(AA24:AA24)</f>
        <v>0</v>
      </c>
      <c r="AB23" s="160">
        <f>SUM(AB24:AB24)</f>
        <v>3227</v>
      </c>
      <c r="AC23" s="65"/>
    </row>
    <row r="24" spans="1:29" s="286" customFormat="1" ht="200.25" customHeight="1" x14ac:dyDescent="0.2">
      <c r="A24" s="288"/>
      <c r="B24" s="252" t="s">
        <v>330</v>
      </c>
      <c r="C24" s="252" t="s">
        <v>105</v>
      </c>
      <c r="D24" s="273" t="s">
        <v>331</v>
      </c>
      <c r="E24" s="274" t="s">
        <v>332</v>
      </c>
      <c r="F24" s="276" t="s">
        <v>333</v>
      </c>
      <c r="G24" s="277">
        <v>45566</v>
      </c>
      <c r="H24" s="292" t="s">
        <v>311</v>
      </c>
      <c r="I24" s="293">
        <v>15</v>
      </c>
      <c r="J24" s="287">
        <f>K24/I24</f>
        <v>215.13333333333333</v>
      </c>
      <c r="K24" s="278">
        <v>3227</v>
      </c>
      <c r="L24" s="279">
        <v>0</v>
      </c>
      <c r="M24" s="280">
        <f t="shared" ref="M24" si="0">SUM(K24:L24)</f>
        <v>3227</v>
      </c>
      <c r="N24" s="281">
        <f>IF(K24/15&lt;=SMG,0,L24/2)</f>
        <v>0</v>
      </c>
      <c r="O24" s="296">
        <f>(K24+N24)/I24*30.4</f>
        <v>6540.0533333333324</v>
      </c>
      <c r="P24" s="296">
        <f>VLOOKUP(O24,Tarifa,1)</f>
        <v>844.6</v>
      </c>
      <c r="Q24" s="281">
        <f>O24-P24</f>
        <v>5695.453333333332</v>
      </c>
      <c r="R24" s="282">
        <f>VLOOKUP(O24,Tarifa,3)</f>
        <v>6.4000000000000001E-2</v>
      </c>
      <c r="S24" s="281">
        <f>Q24*R24</f>
        <v>364.50901333333326</v>
      </c>
      <c r="T24" s="283">
        <f>VLOOKUP(O24,Tarifa,2)</f>
        <v>16.22</v>
      </c>
      <c r="U24" s="281">
        <f>S24+T24</f>
        <v>380.72901333333323</v>
      </c>
      <c r="V24" s="281">
        <f>VLOOKUP(O24,Credito,2)</f>
        <v>535.65</v>
      </c>
      <c r="W24" s="281">
        <f>ROUND((U24-V24)/30.4*I24,2)</f>
        <v>-76.44</v>
      </c>
      <c r="X24" s="280">
        <v>0</v>
      </c>
      <c r="Y24" s="294">
        <f>IF(K24/15&lt;=SMG,0,IF(W24&lt;0,0,W24))</f>
        <v>0</v>
      </c>
      <c r="Z24" s="284">
        <v>0</v>
      </c>
      <c r="AA24" s="280">
        <f>SUM(Y24:Z24)</f>
        <v>0</v>
      </c>
      <c r="AB24" s="294">
        <f>M24+X24-AA24</f>
        <v>3227</v>
      </c>
      <c r="AC24" s="295"/>
    </row>
    <row r="25" spans="1:29" s="52" customFormat="1" ht="21.75" customHeight="1" x14ac:dyDescent="0.25">
      <c r="A25" s="164"/>
      <c r="B25" s="165"/>
      <c r="C25" s="165"/>
      <c r="D25" s="166"/>
      <c r="E25" s="166"/>
      <c r="F25" s="166"/>
      <c r="G25" s="166"/>
      <c r="H25" s="166"/>
      <c r="I25" s="147"/>
      <c r="J25" s="167"/>
      <c r="K25" s="168"/>
      <c r="L25" s="169"/>
      <c r="M25" s="170"/>
      <c r="N25" s="171"/>
      <c r="O25" s="171"/>
      <c r="P25" s="171"/>
      <c r="Q25" s="171"/>
      <c r="R25" s="172"/>
      <c r="S25" s="171"/>
      <c r="T25" s="171"/>
      <c r="U25" s="171"/>
      <c r="V25" s="171"/>
      <c r="W25" s="171"/>
      <c r="X25" s="170"/>
      <c r="Y25" s="170"/>
      <c r="Z25" s="173"/>
      <c r="AA25" s="170"/>
      <c r="AB25" s="170"/>
      <c r="AC25" s="59"/>
    </row>
    <row r="26" spans="1:29" s="52" customFormat="1" ht="41.25" customHeight="1" thickBot="1" x14ac:dyDescent="0.3">
      <c r="A26" s="446" t="s">
        <v>44</v>
      </c>
      <c r="B26" s="447"/>
      <c r="C26" s="447"/>
      <c r="D26" s="447"/>
      <c r="E26" s="447"/>
      <c r="F26" s="447"/>
      <c r="G26" s="447"/>
      <c r="H26" s="447"/>
      <c r="I26" s="447"/>
      <c r="J26" s="448"/>
      <c r="K26" s="136">
        <f>K8+K12+K18+K23+K21</f>
        <v>80692</v>
      </c>
      <c r="L26" s="136">
        <f>L8+L12+L18+L23+L21</f>
        <v>0</v>
      </c>
      <c r="M26" s="136">
        <f>M8+M12+M18+M23+M21</f>
        <v>80692</v>
      </c>
      <c r="N26" s="137">
        <f>SUM(N9:N24)</f>
        <v>0</v>
      </c>
      <c r="O26" s="137">
        <f t="shared" ref="O26:W26" si="1">SUM(O9:O24)</f>
        <v>175371.51999999999</v>
      </c>
      <c r="P26" s="137">
        <f t="shared" si="1"/>
        <v>125752.18000000001</v>
      </c>
      <c r="Q26" s="137">
        <f t="shared" si="1"/>
        <v>49619.339999999975</v>
      </c>
      <c r="R26" s="137">
        <f t="shared" si="1"/>
        <v>1.2776000000000001</v>
      </c>
      <c r="S26" s="137">
        <f t="shared" si="1"/>
        <v>8563.5485999999946</v>
      </c>
      <c r="T26" s="137">
        <f t="shared" si="1"/>
        <v>16461.520000000004</v>
      </c>
      <c r="U26" s="137">
        <f t="shared" si="1"/>
        <v>25025.068599999999</v>
      </c>
      <c r="V26" s="137">
        <f t="shared" si="1"/>
        <v>535.65</v>
      </c>
      <c r="W26" s="137">
        <f t="shared" si="1"/>
        <v>12083.589999999998</v>
      </c>
      <c r="X26" s="136">
        <f>X8+X12+X18+X23+X21</f>
        <v>0</v>
      </c>
      <c r="Y26" s="136">
        <f>Y8+Y12+Y18+Y23+Y21</f>
        <v>11701.769999999999</v>
      </c>
      <c r="Z26" s="136">
        <f>Z8+Z12+Z18+Z23+Z21</f>
        <v>0</v>
      </c>
      <c r="AA26" s="136">
        <f>AA8+AA12+AA18+AA23+AA21</f>
        <v>11701.769999999999</v>
      </c>
      <c r="AB26" s="136">
        <f>AB8+AB12+AB18+AB23+AB21</f>
        <v>74371.97</v>
      </c>
    </row>
    <row r="27" spans="1:29" s="52" customFormat="1" ht="12" customHeight="1" thickTop="1" x14ac:dyDescent="0.25">
      <c r="A27" s="108"/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</row>
    <row r="34" spans="4:29" ht="36.4" customHeight="1" x14ac:dyDescent="0.2"/>
    <row r="36" spans="4:29" ht="18" x14ac:dyDescent="0.25">
      <c r="D36" s="203" t="s">
        <v>400</v>
      </c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203" t="s">
        <v>546</v>
      </c>
      <c r="Z36" s="108"/>
      <c r="AA36" s="108"/>
      <c r="AB36" s="108"/>
      <c r="AC36" s="108"/>
    </row>
    <row r="37" spans="4:29" ht="18" x14ac:dyDescent="0.25">
      <c r="D37" s="203" t="s">
        <v>413</v>
      </c>
      <c r="E37" s="203"/>
      <c r="F37" s="203"/>
      <c r="G37" s="203"/>
      <c r="H37" s="203"/>
      <c r="I37" s="203"/>
      <c r="J37" s="203"/>
      <c r="K37" s="203"/>
      <c r="L37" s="203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203" t="s">
        <v>179</v>
      </c>
      <c r="Z37" s="108"/>
      <c r="AA37" s="203"/>
      <c r="AB37" s="203"/>
      <c r="AC37" s="203"/>
    </row>
  </sheetData>
  <mergeCells count="7">
    <mergeCell ref="A26:J26"/>
    <mergeCell ref="A1:AC1"/>
    <mergeCell ref="A2:AC2"/>
    <mergeCell ref="A3:AC3"/>
    <mergeCell ref="K5:M5"/>
    <mergeCell ref="P5:U5"/>
    <mergeCell ref="Y5:AA5"/>
  </mergeCells>
  <printOptions horizontalCentered="1"/>
  <pageMargins left="0.86614173228346458" right="0.27559055118110237" top="0.86614173228346458" bottom="0.86614173228346458" header="0.31496062992125984" footer="0.51181102362204722"/>
  <pageSetup scale="37" fitToHeight="0" orientation="landscape" horizontalDpi="4294967293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O33"/>
  <sheetViews>
    <sheetView topLeftCell="F1" zoomScale="75" zoomScaleNormal="75" workbookViewId="0">
      <selection activeCell="D22" sqref="D22:D23"/>
    </sheetView>
  </sheetViews>
  <sheetFormatPr baseColWidth="10" defaultColWidth="11.42578125" defaultRowHeight="12.75" x14ac:dyDescent="0.2"/>
  <cols>
    <col min="1" max="1" width="5.5703125" hidden="1" customWidth="1"/>
    <col min="2" max="2" width="14.140625" customWidth="1"/>
    <col min="3" max="3" width="11.28515625" customWidth="1"/>
    <col min="4" max="4" width="24.28515625" customWidth="1"/>
    <col min="5" max="5" width="28" customWidth="1"/>
    <col min="6" max="6" width="30.85546875" customWidth="1"/>
    <col min="7" max="7" width="17.28515625" customWidth="1"/>
    <col min="8" max="8" width="20.85546875" customWidth="1"/>
    <col min="9" max="9" width="6.5703125" hidden="1" customWidth="1"/>
    <col min="10" max="10" width="7.28515625" hidden="1" customWidth="1"/>
    <col min="11" max="11" width="17.42578125" customWidth="1"/>
    <col min="12" max="12" width="10.85546875" customWidth="1"/>
    <col min="13" max="13" width="16.42578125" customWidth="1"/>
    <col min="14" max="14" width="13.140625" hidden="1" customWidth="1"/>
    <col min="15" max="15" width="13.85546875" hidden="1" customWidth="1"/>
    <col min="16" max="16" width="13.5703125" hidden="1" customWidth="1"/>
    <col min="17" max="17" width="14" hidden="1" customWidth="1"/>
    <col min="18" max="19" width="13.140625" hidden="1" customWidth="1"/>
    <col min="20" max="20" width="10.5703125" hidden="1" customWidth="1"/>
    <col min="21" max="21" width="13" hidden="1" customWidth="1"/>
    <col min="22" max="22" width="13.140625" hidden="1" customWidth="1"/>
    <col min="23" max="23" width="15.42578125" hidden="1" customWidth="1"/>
    <col min="24" max="24" width="9.7109375" customWidth="1"/>
    <col min="25" max="25" width="14" customWidth="1"/>
    <col min="26" max="26" width="13.42578125" customWidth="1"/>
    <col min="27" max="27" width="14.42578125" customWidth="1"/>
    <col min="28" max="28" width="16.42578125" customWidth="1"/>
    <col min="29" max="29" width="68.28515625" customWidth="1"/>
  </cols>
  <sheetData>
    <row r="1" spans="1:30" ht="18" x14ac:dyDescent="0.25">
      <c r="A1" s="460" t="s">
        <v>76</v>
      </c>
      <c r="B1" s="460"/>
      <c r="C1" s="460"/>
      <c r="D1" s="460"/>
      <c r="E1" s="460"/>
      <c r="F1" s="460"/>
      <c r="G1" s="460"/>
      <c r="H1" s="460"/>
      <c r="I1" s="460"/>
      <c r="J1" s="460"/>
      <c r="K1" s="460"/>
      <c r="L1" s="460"/>
      <c r="M1" s="460"/>
      <c r="N1" s="460"/>
      <c r="O1" s="460"/>
      <c r="P1" s="460"/>
      <c r="Q1" s="460"/>
      <c r="R1" s="460"/>
      <c r="S1" s="460"/>
      <c r="T1" s="460"/>
      <c r="U1" s="460"/>
      <c r="V1" s="460"/>
      <c r="W1" s="460"/>
      <c r="X1" s="460"/>
      <c r="Y1" s="460"/>
      <c r="Z1" s="460"/>
      <c r="AA1" s="460"/>
      <c r="AB1" s="460"/>
      <c r="AC1" s="460"/>
    </row>
    <row r="2" spans="1:30" ht="18" x14ac:dyDescent="0.25">
      <c r="A2" s="460" t="s">
        <v>64</v>
      </c>
      <c r="B2" s="460"/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  <c r="T2" s="460"/>
      <c r="U2" s="460"/>
      <c r="V2" s="460"/>
      <c r="W2" s="460"/>
      <c r="X2" s="460"/>
      <c r="Y2" s="460"/>
      <c r="Z2" s="460"/>
      <c r="AA2" s="460"/>
      <c r="AB2" s="460"/>
      <c r="AC2" s="460"/>
    </row>
    <row r="3" spans="1:30" ht="19.5" x14ac:dyDescent="0.25">
      <c r="A3" s="149" t="s">
        <v>267</v>
      </c>
      <c r="B3" s="450" t="str">
        <f>PRESIDENCIA!A3</f>
        <v>SUELDO  DEL 15 AL 30 DE SEPTIEMBRE DE 2026</v>
      </c>
      <c r="C3" s="450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  <c r="P3" s="450"/>
      <c r="Q3" s="450"/>
      <c r="R3" s="450"/>
      <c r="S3" s="450"/>
      <c r="T3" s="450"/>
      <c r="U3" s="450"/>
      <c r="V3" s="450"/>
      <c r="W3" s="450"/>
      <c r="X3" s="450"/>
      <c r="Y3" s="450"/>
      <c r="Z3" s="450"/>
      <c r="AA3" s="450"/>
      <c r="AB3" s="450"/>
      <c r="AC3" s="450"/>
      <c r="AD3" s="450"/>
    </row>
    <row r="4" spans="1:30" ht="15" x14ac:dyDescent="0.2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</row>
    <row r="5" spans="1:30" x14ac:dyDescent="0.2">
      <c r="A5" s="22"/>
      <c r="B5" s="22"/>
      <c r="C5" s="22"/>
      <c r="D5" s="22"/>
      <c r="E5" s="22"/>
      <c r="F5" s="22"/>
      <c r="G5" s="22"/>
      <c r="H5" s="22"/>
      <c r="I5" s="23" t="s">
        <v>22</v>
      </c>
      <c r="J5" s="23" t="s">
        <v>162</v>
      </c>
      <c r="K5" s="461" t="s">
        <v>1</v>
      </c>
      <c r="L5" s="462"/>
      <c r="M5" s="463"/>
      <c r="N5" s="24" t="s">
        <v>25</v>
      </c>
      <c r="O5" s="25"/>
      <c r="P5" s="464" t="s">
        <v>8</v>
      </c>
      <c r="Q5" s="465"/>
      <c r="R5" s="465"/>
      <c r="S5" s="465"/>
      <c r="T5" s="465"/>
      <c r="U5" s="466"/>
      <c r="V5" s="24" t="s">
        <v>29</v>
      </c>
      <c r="W5" s="24" t="s">
        <v>9</v>
      </c>
      <c r="X5" s="23" t="s">
        <v>52</v>
      </c>
      <c r="Y5" s="467" t="s">
        <v>2</v>
      </c>
      <c r="Z5" s="468"/>
      <c r="AA5" s="469"/>
      <c r="AB5" s="23" t="s">
        <v>0</v>
      </c>
      <c r="AC5" s="33"/>
    </row>
    <row r="6" spans="1:30" ht="22.5" x14ac:dyDescent="0.2">
      <c r="A6" s="26" t="s">
        <v>20</v>
      </c>
      <c r="B6" s="45" t="s">
        <v>91</v>
      </c>
      <c r="C6" s="45" t="s">
        <v>106</v>
      </c>
      <c r="D6" s="26" t="s">
        <v>21</v>
      </c>
      <c r="E6" s="26"/>
      <c r="F6" s="26"/>
      <c r="G6" s="26"/>
      <c r="H6" s="26"/>
      <c r="I6" s="27" t="s">
        <v>23</v>
      </c>
      <c r="J6" s="26" t="s">
        <v>24</v>
      </c>
      <c r="K6" s="23" t="s">
        <v>5</v>
      </c>
      <c r="L6" s="23" t="s">
        <v>58</v>
      </c>
      <c r="M6" s="23" t="s">
        <v>27</v>
      </c>
      <c r="N6" s="28" t="s">
        <v>26</v>
      </c>
      <c r="O6" s="25" t="s">
        <v>31</v>
      </c>
      <c r="P6" s="25" t="s">
        <v>11</v>
      </c>
      <c r="Q6" s="25" t="s">
        <v>33</v>
      </c>
      <c r="R6" s="25" t="s">
        <v>35</v>
      </c>
      <c r="S6" s="25" t="s">
        <v>36</v>
      </c>
      <c r="T6" s="25" t="s">
        <v>13</v>
      </c>
      <c r="U6" s="25" t="s">
        <v>9</v>
      </c>
      <c r="V6" s="28" t="s">
        <v>39</v>
      </c>
      <c r="W6" s="28" t="s">
        <v>40</v>
      </c>
      <c r="X6" s="26" t="s">
        <v>30</v>
      </c>
      <c r="Y6" s="155" t="s">
        <v>227</v>
      </c>
      <c r="Z6" s="23" t="s">
        <v>56</v>
      </c>
      <c r="AA6" s="23" t="s">
        <v>6</v>
      </c>
      <c r="AB6" s="26" t="s">
        <v>3</v>
      </c>
      <c r="AC6" s="35" t="s">
        <v>57</v>
      </c>
    </row>
    <row r="7" spans="1:30" x14ac:dyDescent="0.2">
      <c r="A7" s="29"/>
      <c r="B7" s="29"/>
      <c r="C7" s="29"/>
      <c r="D7" s="29"/>
      <c r="E7" s="29"/>
      <c r="F7" s="29"/>
      <c r="G7" s="29"/>
      <c r="H7" s="29"/>
      <c r="I7" s="29"/>
      <c r="J7" s="29"/>
      <c r="K7" s="26" t="s">
        <v>46</v>
      </c>
      <c r="L7" s="26" t="s">
        <v>59</v>
      </c>
      <c r="M7" s="26" t="s">
        <v>28</v>
      </c>
      <c r="N7" s="28" t="s">
        <v>42</v>
      </c>
      <c r="O7" s="24" t="s">
        <v>32</v>
      </c>
      <c r="P7" s="24" t="s">
        <v>12</v>
      </c>
      <c r="Q7" s="24" t="s">
        <v>34</v>
      </c>
      <c r="R7" s="24" t="s">
        <v>34</v>
      </c>
      <c r="S7" s="24" t="s">
        <v>37</v>
      </c>
      <c r="T7" s="24" t="s">
        <v>14</v>
      </c>
      <c r="U7" s="24" t="s">
        <v>38</v>
      </c>
      <c r="V7" s="28" t="s">
        <v>18</v>
      </c>
      <c r="W7" s="31" t="s">
        <v>41</v>
      </c>
      <c r="X7" s="26" t="s">
        <v>51</v>
      </c>
      <c r="Y7" s="26"/>
      <c r="Z7" s="26"/>
      <c r="AA7" s="26" t="s">
        <v>43</v>
      </c>
      <c r="AB7" s="26" t="s">
        <v>4</v>
      </c>
      <c r="AC7" s="34"/>
    </row>
    <row r="8" spans="1:30" ht="56.25" customHeight="1" x14ac:dyDescent="0.25">
      <c r="A8" s="379"/>
      <c r="B8" s="148" t="s">
        <v>91</v>
      </c>
      <c r="C8" s="148" t="s">
        <v>111</v>
      </c>
      <c r="D8" s="174" t="s">
        <v>507</v>
      </c>
      <c r="E8" s="175" t="s">
        <v>92</v>
      </c>
      <c r="F8" s="175" t="s">
        <v>189</v>
      </c>
      <c r="G8" s="148" t="s">
        <v>229</v>
      </c>
      <c r="H8" s="156" t="s">
        <v>61</v>
      </c>
      <c r="I8" s="175"/>
      <c r="J8" s="37"/>
      <c r="K8" s="176">
        <f>K9</f>
        <v>12674.5</v>
      </c>
      <c r="L8" s="176">
        <f>L9</f>
        <v>0</v>
      </c>
      <c r="M8" s="176">
        <f>M9</f>
        <v>12674.5</v>
      </c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6">
        <f>X9</f>
        <v>0</v>
      </c>
      <c r="Y8" s="176">
        <f>Y9</f>
        <v>1775.52</v>
      </c>
      <c r="Z8" s="176">
        <f>Z9</f>
        <v>0</v>
      </c>
      <c r="AA8" s="176">
        <f>AA9</f>
        <v>1775.52</v>
      </c>
      <c r="AB8" s="176">
        <f>AB9</f>
        <v>10898.98</v>
      </c>
      <c r="AC8" s="177"/>
    </row>
    <row r="9" spans="1:30" ht="181.5" customHeight="1" x14ac:dyDescent="0.2">
      <c r="A9" s="379"/>
      <c r="B9" s="272" t="s">
        <v>415</v>
      </c>
      <c r="C9" s="267" t="s">
        <v>105</v>
      </c>
      <c r="D9" s="253" t="s">
        <v>416</v>
      </c>
      <c r="E9" s="254" t="s">
        <v>417</v>
      </c>
      <c r="F9" s="254" t="s">
        <v>418</v>
      </c>
      <c r="G9" s="255">
        <v>45601</v>
      </c>
      <c r="H9" s="256" t="s">
        <v>569</v>
      </c>
      <c r="I9" s="257">
        <v>15</v>
      </c>
      <c r="J9" s="258">
        <f>K9/I9</f>
        <v>844.9666666666667</v>
      </c>
      <c r="K9" s="259">
        <v>12674.5</v>
      </c>
      <c r="L9" s="260">
        <v>0</v>
      </c>
      <c r="M9" s="261">
        <f>SUM(K9:L9)</f>
        <v>12674.5</v>
      </c>
      <c r="N9" s="281">
        <f t="shared" ref="N9" si="0">IF(K9/15&lt;=SMG,0,L9/2)</f>
        <v>0</v>
      </c>
      <c r="O9" s="296">
        <f t="shared" ref="O9" si="1">(K9+N9)/I9*30.4</f>
        <v>25686.986666666668</v>
      </c>
      <c r="P9" s="296">
        <f t="shared" ref="P9" si="2">VLOOKUP(O9,Tarifa,1)</f>
        <v>17533.650000000001</v>
      </c>
      <c r="Q9" s="281">
        <f t="shared" ref="Q9" si="3">O9-P9</f>
        <v>8153.3366666666661</v>
      </c>
      <c r="R9" s="282">
        <f t="shared" ref="R9" si="4">VLOOKUP(O9,Tarifa,3)</f>
        <v>0.21360000000000001</v>
      </c>
      <c r="S9" s="281">
        <f t="shared" ref="S9" si="5">Q9*R9</f>
        <v>1741.5527119999999</v>
      </c>
      <c r="T9" s="283">
        <f t="shared" ref="T9" si="6">VLOOKUP(O9,Tarifa,2)</f>
        <v>1856.84</v>
      </c>
      <c r="U9" s="281">
        <f t="shared" ref="U9" si="7">S9+T9</f>
        <v>3598.3927119999998</v>
      </c>
      <c r="V9" s="281">
        <f t="shared" ref="V9" si="8">VLOOKUP(O9,Credito,2)</f>
        <v>0</v>
      </c>
      <c r="W9" s="281">
        <f t="shared" ref="W9" si="9">ROUND((U9-V9)/30.4*I9,2)</f>
        <v>1775.52</v>
      </c>
      <c r="X9" s="261">
        <f>-IF(W9&gt;0,0,0)</f>
        <v>0</v>
      </c>
      <c r="Y9" s="261">
        <f t="shared" ref="Y9" si="10">IF(K9/15&lt;=SMG,0,IF(W9&lt;0,0,W9))</f>
        <v>1775.52</v>
      </c>
      <c r="Z9" s="262">
        <v>0</v>
      </c>
      <c r="AA9" s="261">
        <f t="shared" ref="AA9" si="11">SUM(Y9:Z9)</f>
        <v>1775.52</v>
      </c>
      <c r="AB9" s="261">
        <f t="shared" ref="AB9" si="12">M9+X9-AA9</f>
        <v>10898.98</v>
      </c>
      <c r="AC9" s="263"/>
    </row>
    <row r="10" spans="1:30" ht="56.25" customHeight="1" x14ac:dyDescent="0.25">
      <c r="A10" s="138"/>
      <c r="B10" s="148" t="s">
        <v>91</v>
      </c>
      <c r="C10" s="148" t="s">
        <v>111</v>
      </c>
      <c r="D10" s="174" t="s">
        <v>401</v>
      </c>
      <c r="E10" s="156" t="s">
        <v>92</v>
      </c>
      <c r="F10" s="156"/>
      <c r="G10" s="163"/>
      <c r="H10" s="156" t="s">
        <v>61</v>
      </c>
      <c r="I10" s="175"/>
      <c r="J10" s="37"/>
      <c r="K10" s="176">
        <f>K11</f>
        <v>8548</v>
      </c>
      <c r="L10" s="176">
        <f>L11</f>
        <v>0</v>
      </c>
      <c r="M10" s="176">
        <f>M11</f>
        <v>8548</v>
      </c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6">
        <f>X11</f>
        <v>0</v>
      </c>
      <c r="Y10" s="176">
        <f>Y11</f>
        <v>897.67</v>
      </c>
      <c r="Z10" s="176">
        <f>Z11</f>
        <v>0</v>
      </c>
      <c r="AA10" s="176">
        <f>AA11</f>
        <v>897.67</v>
      </c>
      <c r="AB10" s="176">
        <f>AB11</f>
        <v>7650.33</v>
      </c>
      <c r="AC10" s="177"/>
    </row>
    <row r="11" spans="1:30" s="300" customFormat="1" ht="180.75" customHeight="1" x14ac:dyDescent="0.2">
      <c r="A11" s="297"/>
      <c r="B11" s="251" t="s">
        <v>412</v>
      </c>
      <c r="C11" s="252" t="s">
        <v>105</v>
      </c>
      <c r="D11" s="253" t="s">
        <v>424</v>
      </c>
      <c r="E11" s="254" t="s">
        <v>403</v>
      </c>
      <c r="F11" s="254" t="s">
        <v>404</v>
      </c>
      <c r="G11" s="277">
        <v>45581</v>
      </c>
      <c r="H11" s="269" t="s">
        <v>402</v>
      </c>
      <c r="I11" s="270">
        <v>15</v>
      </c>
      <c r="J11" s="299">
        <f>ROUND(K11/I11,2)</f>
        <v>569.87</v>
      </c>
      <c r="K11" s="278">
        <v>8548</v>
      </c>
      <c r="L11" s="279">
        <v>0</v>
      </c>
      <c r="M11" s="280">
        <f t="shared" ref="M11" si="13">SUM(K11:L11)</f>
        <v>8548</v>
      </c>
      <c r="N11" s="281">
        <f>IF(K11/15&lt;=SMG,0,L11/2)</f>
        <v>0</v>
      </c>
      <c r="O11" s="296">
        <f>(K11+N11)/I11*30.4</f>
        <v>17323.946666666667</v>
      </c>
      <c r="P11" s="296">
        <f>VLOOKUP(O11,Tarifa,1)</f>
        <v>14644.65</v>
      </c>
      <c r="Q11" s="281">
        <f>O11-P11</f>
        <v>2679.2966666666671</v>
      </c>
      <c r="R11" s="282">
        <f>VLOOKUP(O11,Tarifa,3)</f>
        <v>0.1792</v>
      </c>
      <c r="S11" s="281">
        <f>Q11*R11</f>
        <v>480.12996266666676</v>
      </c>
      <c r="T11" s="283">
        <f>VLOOKUP(O11,Tarifa,2)</f>
        <v>1339.14</v>
      </c>
      <c r="U11" s="281">
        <f>S11+T11</f>
        <v>1819.2699626666667</v>
      </c>
      <c r="V11" s="281">
        <f>VLOOKUP(O11,Credito,2)</f>
        <v>0</v>
      </c>
      <c r="W11" s="281">
        <f>ROUND((U11-V11)/30.4*I11,2)</f>
        <v>897.67</v>
      </c>
      <c r="X11" s="280">
        <f>-IF(W11&gt;0,0,0)</f>
        <v>0</v>
      </c>
      <c r="Y11" s="280">
        <f t="shared" ref="Y11" si="14">IF(K11/15&lt;=SMG,0,IF(W11&lt;0,0,W11))</f>
        <v>897.67</v>
      </c>
      <c r="Z11" s="284">
        <v>0</v>
      </c>
      <c r="AA11" s="280">
        <f t="shared" ref="AA11" si="15">SUM(Y11:Z11)</f>
        <v>897.67</v>
      </c>
      <c r="AB11" s="280">
        <f t="shared" ref="AB11" si="16">M11+X11-AA11</f>
        <v>7650.33</v>
      </c>
      <c r="AC11" s="263"/>
    </row>
    <row r="12" spans="1:30" ht="53.25" customHeight="1" x14ac:dyDescent="0.25">
      <c r="A12" s="138"/>
      <c r="B12" s="148" t="s">
        <v>91</v>
      </c>
      <c r="C12" s="148" t="s">
        <v>111</v>
      </c>
      <c r="D12" s="159" t="s">
        <v>74</v>
      </c>
      <c r="E12" s="156" t="s">
        <v>92</v>
      </c>
      <c r="F12" s="156" t="s">
        <v>189</v>
      </c>
      <c r="G12" s="163"/>
      <c r="H12" s="156" t="s">
        <v>61</v>
      </c>
      <c r="I12" s="156"/>
      <c r="J12" s="37"/>
      <c r="K12" s="176">
        <f>SUM(K13)</f>
        <v>13214</v>
      </c>
      <c r="L12" s="176">
        <f>SUM(L13)</f>
        <v>0</v>
      </c>
      <c r="M12" s="176">
        <f>SUM(M13)</f>
        <v>13214</v>
      </c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176">
        <f>SUM(X13)</f>
        <v>0</v>
      </c>
      <c r="Y12" s="176">
        <f>SUM(Y13)</f>
        <v>1890.76</v>
      </c>
      <c r="Z12" s="176">
        <f>SUM(Z13)</f>
        <v>0</v>
      </c>
      <c r="AA12" s="176">
        <f>SUM(AA13)</f>
        <v>1890.76</v>
      </c>
      <c r="AB12" s="176">
        <f>SUM(AB13)</f>
        <v>11323.24</v>
      </c>
      <c r="AC12" s="177"/>
    </row>
    <row r="13" spans="1:30" s="300" customFormat="1" ht="180.75" customHeight="1" x14ac:dyDescent="0.2">
      <c r="A13" s="297"/>
      <c r="B13" s="301">
        <v>160</v>
      </c>
      <c r="C13" s="272" t="s">
        <v>105</v>
      </c>
      <c r="D13" s="253" t="s">
        <v>376</v>
      </c>
      <c r="E13" s="302" t="s">
        <v>377</v>
      </c>
      <c r="F13" s="254" t="s">
        <v>378</v>
      </c>
      <c r="G13" s="277">
        <v>45566</v>
      </c>
      <c r="H13" s="254" t="s">
        <v>74</v>
      </c>
      <c r="I13" s="298">
        <v>15</v>
      </c>
      <c r="J13" s="299">
        <f>ROUND(K13/I13,2)</f>
        <v>880.93</v>
      </c>
      <c r="K13" s="303">
        <v>13214</v>
      </c>
      <c r="L13" s="304">
        <v>0</v>
      </c>
      <c r="M13" s="305">
        <f>SUM(K13:L13)</f>
        <v>13214</v>
      </c>
      <c r="N13" s="281">
        <f>IF(K13/15&lt;=SMG,0,L13/2)</f>
        <v>0</v>
      </c>
      <c r="O13" s="296">
        <f>(K13+N13)/I13*30.4</f>
        <v>26780.373333333329</v>
      </c>
      <c r="P13" s="296">
        <f>VLOOKUP(O13,Tarifa,1)</f>
        <v>17533.650000000001</v>
      </c>
      <c r="Q13" s="281">
        <f>O13-P13</f>
        <v>9246.7233333333279</v>
      </c>
      <c r="R13" s="282">
        <f>VLOOKUP(O13,Tarifa,3)</f>
        <v>0.21360000000000001</v>
      </c>
      <c r="S13" s="281">
        <f>Q13*R13</f>
        <v>1975.100103999999</v>
      </c>
      <c r="T13" s="283">
        <f>VLOOKUP(O13,Tarifa,2)</f>
        <v>1856.84</v>
      </c>
      <c r="U13" s="281">
        <f>S13+T13</f>
        <v>3831.9401039999989</v>
      </c>
      <c r="V13" s="281">
        <f>VLOOKUP(O13,Credito,2)</f>
        <v>0</v>
      </c>
      <c r="W13" s="281">
        <f>ROUND((U13-V13)/30.4*I13,2)</f>
        <v>1890.76</v>
      </c>
      <c r="X13" s="280">
        <f>-IF(W13&gt;0,0,0)</f>
        <v>0</v>
      </c>
      <c r="Y13" s="280">
        <f>IF(K13/15&lt;=SMG,0,IF(W13&lt;0,0,W13))</f>
        <v>1890.76</v>
      </c>
      <c r="Z13" s="284">
        <v>0</v>
      </c>
      <c r="AA13" s="280">
        <f>SUM(Y13:Z13)</f>
        <v>1890.76</v>
      </c>
      <c r="AB13" s="280">
        <f>M13+X13-AA13</f>
        <v>11323.24</v>
      </c>
      <c r="AC13" s="263"/>
    </row>
    <row r="14" spans="1:30" ht="40.5" customHeight="1" thickBot="1" x14ac:dyDescent="0.3">
      <c r="A14" s="446" t="s">
        <v>44</v>
      </c>
      <c r="B14" s="447"/>
      <c r="C14" s="447"/>
      <c r="D14" s="447"/>
      <c r="E14" s="447"/>
      <c r="F14" s="447"/>
      <c r="G14" s="447"/>
      <c r="H14" s="447"/>
      <c r="I14" s="447"/>
      <c r="J14" s="448"/>
      <c r="K14" s="154">
        <f>K8+K10+K12</f>
        <v>34436.5</v>
      </c>
      <c r="L14" s="154">
        <f>L8+L10+L12</f>
        <v>0</v>
      </c>
      <c r="M14" s="154">
        <f>M8+M10+M12</f>
        <v>34436.5</v>
      </c>
      <c r="N14" s="137" t="e">
        <f>SUM(#REF!)</f>
        <v>#REF!</v>
      </c>
      <c r="O14" s="137" t="e">
        <f>SUM(#REF!)</f>
        <v>#REF!</v>
      </c>
      <c r="P14" s="137" t="e">
        <f>SUM(#REF!)</f>
        <v>#REF!</v>
      </c>
      <c r="Q14" s="137" t="e">
        <f>SUM(#REF!)</f>
        <v>#REF!</v>
      </c>
      <c r="R14" s="137" t="e">
        <f>SUM(#REF!)</f>
        <v>#REF!</v>
      </c>
      <c r="S14" s="137" t="e">
        <f>SUM(#REF!)</f>
        <v>#REF!</v>
      </c>
      <c r="T14" s="137" t="e">
        <f>SUM(#REF!)</f>
        <v>#REF!</v>
      </c>
      <c r="U14" s="137" t="e">
        <f>SUM(#REF!)</f>
        <v>#REF!</v>
      </c>
      <c r="V14" s="137" t="e">
        <f>SUM(#REF!)</f>
        <v>#REF!</v>
      </c>
      <c r="W14" s="137" t="e">
        <f>SUM(#REF!)</f>
        <v>#REF!</v>
      </c>
      <c r="X14" s="154">
        <f>X8+X10+X12</f>
        <v>0</v>
      </c>
      <c r="Y14" s="154">
        <f>Y8+Y10+Y12</f>
        <v>4563.95</v>
      </c>
      <c r="Z14" s="154">
        <f>Z8+Z10+Z12</f>
        <v>0</v>
      </c>
      <c r="AA14" s="154">
        <f>AA8+AA10+AA12</f>
        <v>4563.95</v>
      </c>
      <c r="AB14" s="154">
        <f>AB8+AB10+AB12</f>
        <v>29872.549999999996</v>
      </c>
      <c r="AC14" s="108"/>
    </row>
    <row r="15" spans="1:30" ht="13.5" thickTop="1" x14ac:dyDescent="0.2"/>
    <row r="29" spans="4:41" ht="18" x14ac:dyDescent="0.25"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</row>
    <row r="30" spans="4:41" ht="18" x14ac:dyDescent="0.25">
      <c r="D30" s="203" t="s">
        <v>400</v>
      </c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203" t="s">
        <v>547</v>
      </c>
      <c r="Z30" s="108"/>
      <c r="AA30" s="108"/>
      <c r="AB30" s="108"/>
      <c r="AC30" s="108"/>
    </row>
    <row r="31" spans="4:41" ht="18" x14ac:dyDescent="0.25">
      <c r="D31" s="203" t="s">
        <v>413</v>
      </c>
      <c r="E31" s="203"/>
      <c r="F31" s="203"/>
      <c r="G31" s="203"/>
      <c r="H31" s="203"/>
      <c r="I31" s="203"/>
      <c r="J31" s="203"/>
      <c r="K31" s="203"/>
      <c r="L31" s="203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203" t="s">
        <v>179</v>
      </c>
      <c r="Z31" s="108"/>
      <c r="AA31" s="203"/>
      <c r="AB31" s="203"/>
      <c r="AC31" s="203"/>
      <c r="AD31" s="42"/>
      <c r="AE31" s="42"/>
      <c r="AF31" s="42"/>
      <c r="AG31" s="42"/>
      <c r="AH31" s="42"/>
      <c r="AI31" s="42"/>
      <c r="AJ31" s="42"/>
      <c r="AK31" s="42"/>
      <c r="AN31" s="42"/>
      <c r="AO31" s="42"/>
    </row>
    <row r="32" spans="4:41" ht="18" x14ac:dyDescent="0.25"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</row>
    <row r="33" spans="4:29" ht="18" x14ac:dyDescent="0.25"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108"/>
    </row>
  </sheetData>
  <mergeCells count="7">
    <mergeCell ref="A14:J14"/>
    <mergeCell ref="A1:AC1"/>
    <mergeCell ref="A2:AC2"/>
    <mergeCell ref="K5:M5"/>
    <mergeCell ref="P5:U5"/>
    <mergeCell ref="Y5:AA5"/>
    <mergeCell ref="B3:AD3"/>
  </mergeCells>
  <pageMargins left="0.27559055118110237" right="0.27559055118110237" top="0.74803149606299213" bottom="0.35433070866141736" header="0.31496062992125984" footer="0.31496062992125984"/>
  <pageSetup scale="40" orientation="landscape" horizontalDpi="4294967293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5"/>
  <sheetViews>
    <sheetView zoomScale="70" zoomScaleNormal="70" workbookViewId="0">
      <selection activeCell="E31" sqref="E31"/>
    </sheetView>
  </sheetViews>
  <sheetFormatPr baseColWidth="10" defaultRowHeight="12.75" x14ac:dyDescent="0.2"/>
  <cols>
    <col min="3" max="3" width="32.140625" customWidth="1"/>
    <col min="4" max="4" width="23.140625" bestFit="1" customWidth="1"/>
    <col min="5" max="5" width="32.5703125" bestFit="1" customWidth="1"/>
    <col min="6" max="6" width="20.85546875" customWidth="1"/>
    <col min="7" max="7" width="35.28515625" customWidth="1"/>
    <col min="10" max="10" width="19.28515625" customWidth="1"/>
    <col min="12" max="12" width="14.42578125" customWidth="1"/>
    <col min="13" max="13" width="10.28515625" hidden="1" customWidth="1"/>
    <col min="14" max="15" width="12" hidden="1" customWidth="1"/>
    <col min="16" max="16" width="14.42578125" hidden="1" customWidth="1"/>
    <col min="17" max="17" width="11.5703125" hidden="1" customWidth="1"/>
    <col min="18" max="20" width="12.85546875" hidden="1" customWidth="1"/>
    <col min="21" max="21" width="8.85546875" hidden="1" customWidth="1"/>
    <col min="22" max="22" width="12.85546875" hidden="1" customWidth="1"/>
    <col min="24" max="24" width="13.140625" bestFit="1" customWidth="1"/>
    <col min="26" max="26" width="12.85546875" bestFit="1" customWidth="1"/>
    <col min="27" max="27" width="14.42578125" bestFit="1" customWidth="1"/>
    <col min="28" max="28" width="83.28515625" customWidth="1"/>
  </cols>
  <sheetData>
    <row r="1" spans="1:28" ht="19.5" x14ac:dyDescent="0.25">
      <c r="A1" s="449" t="s">
        <v>76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  <c r="O1" s="449"/>
      <c r="P1" s="449"/>
      <c r="Q1" s="449"/>
      <c r="R1" s="449"/>
      <c r="S1" s="449"/>
      <c r="T1" s="449"/>
      <c r="U1" s="449"/>
      <c r="V1" s="449"/>
      <c r="W1" s="449"/>
      <c r="X1" s="449"/>
      <c r="Y1" s="449"/>
      <c r="Z1" s="449"/>
      <c r="AA1" s="449"/>
      <c r="AB1" s="449"/>
    </row>
    <row r="2" spans="1:28" ht="19.5" x14ac:dyDescent="0.25">
      <c r="A2" s="449" t="s">
        <v>64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  <c r="O2" s="449"/>
      <c r="P2" s="449"/>
      <c r="Q2" s="449"/>
      <c r="R2" s="449"/>
      <c r="S2" s="449"/>
      <c r="T2" s="449"/>
      <c r="U2" s="449"/>
      <c r="V2" s="449"/>
      <c r="W2" s="449"/>
      <c r="X2" s="449"/>
      <c r="Y2" s="449"/>
      <c r="Z2" s="449"/>
      <c r="AA2" s="449"/>
      <c r="AB2" s="449"/>
    </row>
    <row r="3" spans="1:28" ht="19.5" x14ac:dyDescent="0.25">
      <c r="A3" s="450" t="str">
        <f>[1]PRESIDENCIA!A3</f>
        <v>SUELDO  DEL 01 AL 15 DE AGOSTO DE 2026</v>
      </c>
      <c r="B3" s="450"/>
      <c r="C3" s="450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  <c r="P3" s="450"/>
      <c r="Q3" s="450"/>
      <c r="R3" s="450"/>
      <c r="S3" s="450"/>
      <c r="T3" s="450"/>
      <c r="U3" s="450"/>
      <c r="V3" s="450"/>
      <c r="W3" s="450"/>
      <c r="X3" s="450"/>
      <c r="Y3" s="450"/>
      <c r="Z3" s="450"/>
      <c r="AA3" s="450"/>
      <c r="AB3" s="450"/>
    </row>
    <row r="4" spans="1:28" ht="117" customHeight="1" x14ac:dyDescent="0.2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</row>
    <row r="5" spans="1:28" x14ac:dyDescent="0.2">
      <c r="A5" s="48"/>
      <c r="B5" s="470" t="s">
        <v>106</v>
      </c>
      <c r="C5" s="48"/>
      <c r="D5" s="48"/>
      <c r="E5" s="48"/>
      <c r="F5" s="48"/>
      <c r="G5" s="48"/>
      <c r="H5" s="49" t="s">
        <v>22</v>
      </c>
      <c r="I5" s="49" t="s">
        <v>5</v>
      </c>
      <c r="J5" s="473" t="s">
        <v>1</v>
      </c>
      <c r="K5" s="474"/>
      <c r="L5" s="475"/>
      <c r="M5" s="50" t="s">
        <v>25</v>
      </c>
      <c r="N5" s="51"/>
      <c r="O5" s="476" t="s">
        <v>8</v>
      </c>
      <c r="P5" s="477"/>
      <c r="Q5" s="477"/>
      <c r="R5" s="477"/>
      <c r="S5" s="477"/>
      <c r="T5" s="478"/>
      <c r="U5" s="50" t="s">
        <v>29</v>
      </c>
      <c r="V5" s="50" t="s">
        <v>9</v>
      </c>
      <c r="W5" s="49" t="s">
        <v>52</v>
      </c>
      <c r="X5" s="479" t="s">
        <v>2</v>
      </c>
      <c r="Y5" s="480"/>
      <c r="Z5" s="481"/>
      <c r="AA5" s="49" t="s">
        <v>0</v>
      </c>
      <c r="AB5" s="48"/>
    </row>
    <row r="6" spans="1:28" ht="24" x14ac:dyDescent="0.2">
      <c r="A6" s="47" t="s">
        <v>91</v>
      </c>
      <c r="B6" s="471"/>
      <c r="C6" s="53" t="s">
        <v>21</v>
      </c>
      <c r="D6" s="53"/>
      <c r="E6" s="53"/>
      <c r="F6" s="53"/>
      <c r="G6" s="53"/>
      <c r="H6" s="54" t="s">
        <v>23</v>
      </c>
      <c r="I6" s="53" t="s">
        <v>24</v>
      </c>
      <c r="J6" s="49" t="s">
        <v>5</v>
      </c>
      <c r="K6" s="49" t="s">
        <v>58</v>
      </c>
      <c r="L6" s="49" t="s">
        <v>27</v>
      </c>
      <c r="M6" s="55" t="s">
        <v>26</v>
      </c>
      <c r="N6" s="51" t="s">
        <v>31</v>
      </c>
      <c r="O6" s="51" t="s">
        <v>11</v>
      </c>
      <c r="P6" s="51" t="s">
        <v>33</v>
      </c>
      <c r="Q6" s="51" t="s">
        <v>35</v>
      </c>
      <c r="R6" s="51" t="s">
        <v>36</v>
      </c>
      <c r="S6" s="51" t="s">
        <v>13</v>
      </c>
      <c r="T6" s="51" t="s">
        <v>9</v>
      </c>
      <c r="U6" s="55" t="s">
        <v>39</v>
      </c>
      <c r="V6" s="55" t="s">
        <v>40</v>
      </c>
      <c r="W6" s="53" t="s">
        <v>30</v>
      </c>
      <c r="X6" s="49" t="s">
        <v>227</v>
      </c>
      <c r="Y6" s="49" t="s">
        <v>56</v>
      </c>
      <c r="Z6" s="49" t="s">
        <v>6</v>
      </c>
      <c r="AA6" s="53" t="s">
        <v>3</v>
      </c>
      <c r="AB6" s="53" t="s">
        <v>57</v>
      </c>
    </row>
    <row r="7" spans="1:28" x14ac:dyDescent="0.2">
      <c r="A7" s="62"/>
      <c r="B7" s="472"/>
      <c r="C7" s="62"/>
      <c r="D7" s="62"/>
      <c r="E7" s="62"/>
      <c r="F7" s="62"/>
      <c r="G7" s="62"/>
      <c r="H7" s="62"/>
      <c r="I7" s="62"/>
      <c r="J7" s="62" t="s">
        <v>46</v>
      </c>
      <c r="K7" s="62" t="s">
        <v>59</v>
      </c>
      <c r="L7" s="62" t="s">
        <v>28</v>
      </c>
      <c r="M7" s="63" t="s">
        <v>42</v>
      </c>
      <c r="N7" s="50" t="s">
        <v>32</v>
      </c>
      <c r="O7" s="50" t="s">
        <v>12</v>
      </c>
      <c r="P7" s="50" t="s">
        <v>34</v>
      </c>
      <c r="Q7" s="50" t="s">
        <v>34</v>
      </c>
      <c r="R7" s="50" t="s">
        <v>37</v>
      </c>
      <c r="S7" s="50" t="s">
        <v>14</v>
      </c>
      <c r="T7" s="50" t="s">
        <v>38</v>
      </c>
      <c r="U7" s="55" t="s">
        <v>18</v>
      </c>
      <c r="V7" s="56" t="s">
        <v>112</v>
      </c>
      <c r="W7" s="62" t="s">
        <v>51</v>
      </c>
      <c r="X7" s="62"/>
      <c r="Y7" s="62"/>
      <c r="Z7" s="62" t="s">
        <v>43</v>
      </c>
      <c r="AA7" s="62" t="s">
        <v>4</v>
      </c>
      <c r="AB7" s="58"/>
    </row>
    <row r="8" spans="1:28" ht="31.5" x14ac:dyDescent="0.25">
      <c r="A8" s="127"/>
      <c r="B8" s="127"/>
      <c r="C8" s="126" t="s">
        <v>68</v>
      </c>
      <c r="D8" s="127" t="s">
        <v>92</v>
      </c>
      <c r="E8" s="127" t="s">
        <v>189</v>
      </c>
      <c r="F8" s="125" t="s">
        <v>229</v>
      </c>
      <c r="G8" s="127" t="s">
        <v>61</v>
      </c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8"/>
      <c r="W8" s="127"/>
      <c r="X8" s="127"/>
      <c r="Y8" s="127"/>
      <c r="Z8" s="127"/>
      <c r="AA8" s="127"/>
      <c r="AB8" s="65"/>
    </row>
    <row r="9" spans="1:28" ht="141" customHeight="1" x14ac:dyDescent="0.2">
      <c r="A9" s="251" t="s">
        <v>405</v>
      </c>
      <c r="B9" s="252" t="s">
        <v>105</v>
      </c>
      <c r="C9" s="256" t="s">
        <v>406</v>
      </c>
      <c r="D9" s="302" t="s">
        <v>407</v>
      </c>
      <c r="E9" s="302" t="s">
        <v>408</v>
      </c>
      <c r="F9" s="255">
        <v>46266</v>
      </c>
      <c r="G9" s="256" t="s">
        <v>624</v>
      </c>
      <c r="H9" s="257">
        <v>15</v>
      </c>
      <c r="I9" s="258">
        <f t="shared" ref="I9" si="0">J9/H9</f>
        <v>975.9666666666667</v>
      </c>
      <c r="J9" s="278">
        <v>14639.5</v>
      </c>
      <c r="K9" s="279">
        <v>0</v>
      </c>
      <c r="L9" s="280">
        <f>SUM(J9:K9)</f>
        <v>14639.5</v>
      </c>
      <c r="M9" s="281">
        <f>IF(J9/15&lt;=SMG,0,K9/2)</f>
        <v>0</v>
      </c>
      <c r="N9" s="296">
        <f>(J9+M9)/H9*30.4</f>
        <v>29669.386666666665</v>
      </c>
      <c r="O9" s="296">
        <f>VLOOKUP(N9,Tarifa,1)</f>
        <v>17533.650000000001</v>
      </c>
      <c r="P9" s="281">
        <f>N9-O9</f>
        <v>12135.736666666664</v>
      </c>
      <c r="Q9" s="282">
        <f>VLOOKUP(N9,Tarifa,3)</f>
        <v>0.21360000000000001</v>
      </c>
      <c r="R9" s="281">
        <f>P9*Q9</f>
        <v>2592.1933519999998</v>
      </c>
      <c r="S9" s="283">
        <f>VLOOKUP(N9,Tarifa,2)</f>
        <v>1856.84</v>
      </c>
      <c r="T9" s="281">
        <f>R9+S9</f>
        <v>4449.0333519999995</v>
      </c>
      <c r="U9" s="281">
        <f>VLOOKUP(N9,Credito,2)</f>
        <v>0</v>
      </c>
      <c r="V9" s="281">
        <f>ROUND((T9-U9)/30.4*H9,2)</f>
        <v>2195.25</v>
      </c>
      <c r="W9" s="280">
        <f>-IF(V9&gt;0,0,0)</f>
        <v>0</v>
      </c>
      <c r="X9" s="280">
        <f>IF(J9/15&lt;=SMG,0,IF(V9&lt;0,0,V9))</f>
        <v>2195.25</v>
      </c>
      <c r="Y9" s="284">
        <v>0</v>
      </c>
      <c r="Z9" s="280">
        <f>SUM(X9:Y9)</f>
        <v>2195.25</v>
      </c>
      <c r="AA9" s="280">
        <f>L9+W9-Z9</f>
        <v>12444.25</v>
      </c>
      <c r="AB9" s="263"/>
    </row>
    <row r="10" spans="1:28" x14ac:dyDescent="0.2">
      <c r="AA10" s="53"/>
    </row>
    <row r="26" spans="1:28" ht="15" x14ac:dyDescent="0.25">
      <c r="L26" s="104"/>
    </row>
    <row r="27" spans="1:28" ht="15" x14ac:dyDescent="0.25">
      <c r="A27" s="103"/>
      <c r="B27" s="103"/>
      <c r="C27" s="103"/>
      <c r="D27" s="103"/>
      <c r="E27" s="103"/>
      <c r="F27" s="103"/>
      <c r="G27" s="103"/>
      <c r="H27" s="103"/>
      <c r="I27" s="104"/>
      <c r="J27" s="104"/>
      <c r="K27" s="104"/>
      <c r="L27" s="104"/>
      <c r="M27" s="105"/>
      <c r="N27" s="105"/>
      <c r="O27" s="105"/>
      <c r="P27" s="105"/>
      <c r="Q27" s="105"/>
      <c r="R27" s="105"/>
      <c r="S27" s="105"/>
      <c r="T27" s="105"/>
      <c r="U27" s="105"/>
      <c r="V27" s="104"/>
      <c r="W27" s="104"/>
      <c r="X27" s="104"/>
      <c r="Y27" s="104"/>
      <c r="Z27" s="104"/>
    </row>
    <row r="28" spans="1:28" ht="15" x14ac:dyDescent="0.25">
      <c r="A28" s="103"/>
      <c r="B28" s="103"/>
      <c r="C28" s="103"/>
      <c r="D28" s="103"/>
      <c r="E28" s="103"/>
      <c r="F28" s="103"/>
      <c r="G28" s="103"/>
      <c r="H28" s="103"/>
      <c r="I28" s="104"/>
      <c r="J28" s="104"/>
      <c r="K28" s="104"/>
      <c r="L28" s="104"/>
      <c r="M28" s="105"/>
      <c r="N28" s="105"/>
      <c r="O28" s="105"/>
      <c r="P28" s="105"/>
      <c r="Q28" s="105"/>
      <c r="R28" s="105"/>
      <c r="S28" s="105"/>
      <c r="T28" s="105"/>
      <c r="U28" s="105"/>
      <c r="V28" s="104"/>
      <c r="W28" s="104"/>
      <c r="X28" s="104"/>
      <c r="Y28" s="104"/>
      <c r="Z28" s="104"/>
    </row>
    <row r="29" spans="1:28" ht="20.25" x14ac:dyDescent="0.3">
      <c r="A29" s="103"/>
      <c r="B29" s="103"/>
      <c r="C29" s="414"/>
      <c r="D29" s="414"/>
      <c r="E29" s="414"/>
      <c r="F29" s="414"/>
      <c r="G29" s="414"/>
      <c r="H29" s="414"/>
      <c r="I29" s="415"/>
      <c r="J29" s="415"/>
      <c r="K29" s="415"/>
      <c r="L29" s="415"/>
      <c r="M29" s="416"/>
      <c r="N29" s="416"/>
      <c r="O29" s="416"/>
      <c r="P29" s="416"/>
      <c r="Q29" s="416"/>
      <c r="R29" s="416"/>
      <c r="S29" s="416"/>
      <c r="T29" s="416"/>
      <c r="U29" s="416"/>
      <c r="V29" s="415"/>
      <c r="W29" s="415"/>
      <c r="X29" s="415"/>
      <c r="Y29" s="415"/>
      <c r="Z29" s="415"/>
      <c r="AA29" s="202"/>
      <c r="AB29" s="202"/>
    </row>
    <row r="30" spans="1:28" ht="20.25" x14ac:dyDescent="0.3">
      <c r="A30" s="91"/>
      <c r="B30" s="91"/>
      <c r="C30" s="202"/>
      <c r="D30" s="202"/>
      <c r="E30" s="202"/>
      <c r="F30" s="202"/>
      <c r="G30" s="202"/>
      <c r="H30" s="202"/>
      <c r="I30" s="202"/>
      <c r="J30" s="202"/>
      <c r="K30" s="202"/>
      <c r="L30" s="415"/>
      <c r="M30" s="202"/>
      <c r="N30" s="202"/>
      <c r="O30" s="202"/>
      <c r="P30" s="202"/>
      <c r="Q30" s="202"/>
      <c r="R30" s="202"/>
      <c r="S30" s="202"/>
      <c r="T30" s="202"/>
      <c r="U30" s="202"/>
      <c r="V30" s="202"/>
      <c r="W30" s="202"/>
      <c r="X30" s="202"/>
      <c r="Y30" s="202"/>
      <c r="Z30" s="202"/>
      <c r="AA30" s="202"/>
      <c r="AB30" s="202"/>
    </row>
    <row r="31" spans="1:28" ht="20.25" x14ac:dyDescent="0.3">
      <c r="A31" s="91"/>
      <c r="B31" s="203" t="s">
        <v>400</v>
      </c>
      <c r="C31" s="201"/>
      <c r="D31" s="201"/>
      <c r="E31" s="201"/>
      <c r="F31" s="201"/>
      <c r="G31" s="202"/>
      <c r="H31" s="202"/>
      <c r="I31" s="202"/>
      <c r="J31" s="202"/>
      <c r="K31" s="202"/>
      <c r="L31" s="202"/>
      <c r="M31" s="202"/>
      <c r="N31" s="202"/>
      <c r="O31" s="202"/>
      <c r="P31" s="202"/>
      <c r="Q31" s="202"/>
      <c r="R31" s="202"/>
      <c r="S31" s="202"/>
      <c r="T31" s="202"/>
      <c r="U31" s="202"/>
      <c r="V31" s="202"/>
      <c r="W31" s="201" t="s">
        <v>548</v>
      </c>
      <c r="X31" s="202"/>
      <c r="Y31" s="202"/>
      <c r="Z31" s="202"/>
      <c r="AA31" s="202"/>
      <c r="AB31" s="202"/>
    </row>
    <row r="32" spans="1:28" ht="20.25" x14ac:dyDescent="0.3">
      <c r="A32" s="91"/>
      <c r="B32" s="203" t="s">
        <v>414</v>
      </c>
      <c r="C32" s="201"/>
      <c r="D32" s="201"/>
      <c r="E32" s="201"/>
      <c r="F32" s="201"/>
      <c r="G32" s="201"/>
      <c r="H32" s="201"/>
      <c r="I32" s="201"/>
      <c r="J32" s="201"/>
      <c r="K32" s="202"/>
      <c r="L32" s="202"/>
      <c r="M32" s="202"/>
      <c r="N32" s="202"/>
      <c r="O32" s="202"/>
      <c r="P32" s="202"/>
      <c r="Q32" s="202"/>
      <c r="R32" s="202"/>
      <c r="S32" s="202"/>
      <c r="T32" s="202"/>
      <c r="U32" s="202"/>
      <c r="V32" s="202"/>
      <c r="W32" s="201" t="s">
        <v>180</v>
      </c>
      <c r="X32" s="202"/>
      <c r="Y32" s="201"/>
      <c r="Z32" s="201"/>
      <c r="AA32" s="202"/>
      <c r="AB32" s="202"/>
    </row>
    <row r="33" spans="1:28" ht="20.25" x14ac:dyDescent="0.3">
      <c r="A33" s="91"/>
      <c r="B33" s="91"/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02"/>
      <c r="N33" s="202"/>
      <c r="O33" s="202"/>
      <c r="P33" s="202"/>
      <c r="Q33" s="202"/>
      <c r="R33" s="202"/>
      <c r="S33" s="202"/>
      <c r="T33" s="202"/>
      <c r="U33" s="202"/>
      <c r="V33" s="202"/>
      <c r="W33" s="202"/>
      <c r="X33" s="202"/>
      <c r="Y33" s="202"/>
      <c r="Z33" s="202"/>
      <c r="AA33" s="202"/>
      <c r="AB33" s="202"/>
    </row>
    <row r="34" spans="1:28" ht="20.25" x14ac:dyDescent="0.3">
      <c r="C34" s="202"/>
      <c r="D34" s="202"/>
      <c r="E34" s="202"/>
      <c r="F34" s="202"/>
      <c r="G34" s="202"/>
      <c r="H34" s="202"/>
      <c r="I34" s="202"/>
      <c r="J34" s="202"/>
      <c r="K34" s="202"/>
      <c r="L34" s="202"/>
      <c r="M34" s="202"/>
      <c r="N34" s="202"/>
      <c r="O34" s="202"/>
      <c r="P34" s="202"/>
      <c r="Q34" s="202"/>
      <c r="R34" s="202"/>
      <c r="S34" s="202"/>
      <c r="T34" s="202"/>
      <c r="U34" s="202"/>
      <c r="V34" s="202"/>
      <c r="W34" s="202"/>
      <c r="X34" s="202"/>
      <c r="Y34" s="202"/>
      <c r="Z34" s="202"/>
      <c r="AA34" s="202"/>
      <c r="AB34" s="202"/>
    </row>
    <row r="35" spans="1:28" ht="20.25" x14ac:dyDescent="0.3">
      <c r="C35" s="202"/>
      <c r="D35" s="202"/>
      <c r="E35" s="202"/>
      <c r="F35" s="202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2"/>
      <c r="S35" s="202"/>
      <c r="T35" s="202"/>
      <c r="U35" s="202"/>
      <c r="V35" s="202"/>
      <c r="W35" s="202"/>
      <c r="X35" s="202"/>
      <c r="Y35" s="202"/>
      <c r="Z35" s="202"/>
      <c r="AA35" s="202"/>
      <c r="AB35" s="202"/>
    </row>
  </sheetData>
  <mergeCells count="7">
    <mergeCell ref="A1:AB1"/>
    <mergeCell ref="A3:AB3"/>
    <mergeCell ref="A2:AB2"/>
    <mergeCell ref="B5:B7"/>
    <mergeCell ref="J5:L5"/>
    <mergeCell ref="O5:T5"/>
    <mergeCell ref="X5:Z5"/>
  </mergeCells>
  <pageMargins left="0.23622047244094491" right="0.23622047244094491" top="0.74803149606299213" bottom="0.74803149606299213" header="0.31496062992125984" footer="0.31496062992125984"/>
  <pageSetup scale="35" orientation="landscape" horizontalDpi="4294967293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topLeftCell="B1" zoomScale="55" zoomScaleNormal="55" workbookViewId="0">
      <selection activeCell="K31" sqref="K31:K32"/>
    </sheetView>
  </sheetViews>
  <sheetFormatPr baseColWidth="10" defaultColWidth="11.42578125" defaultRowHeight="12.75" x14ac:dyDescent="0.2"/>
  <cols>
    <col min="1" max="1" width="5.5703125" hidden="1" customWidth="1"/>
    <col min="2" max="2" width="11.42578125" customWidth="1"/>
    <col min="3" max="3" width="9.28515625" customWidth="1"/>
    <col min="4" max="4" width="25.7109375" customWidth="1"/>
    <col min="5" max="5" width="23.42578125" customWidth="1"/>
    <col min="6" max="6" width="31.85546875" customWidth="1"/>
    <col min="7" max="7" width="17.85546875" customWidth="1"/>
    <col min="8" max="8" width="32.28515625" customWidth="1"/>
    <col min="9" max="9" width="7.5703125" customWidth="1"/>
    <col min="10" max="10" width="0.140625" hidden="1" customWidth="1"/>
    <col min="11" max="11" width="20.28515625" customWidth="1"/>
    <col min="12" max="12" width="17.42578125" customWidth="1"/>
    <col min="13" max="13" width="19.28515625" customWidth="1"/>
    <col min="14" max="14" width="13.140625" hidden="1" customWidth="1"/>
    <col min="15" max="15" width="15.140625" hidden="1" customWidth="1"/>
    <col min="16" max="16" width="14" hidden="1" customWidth="1"/>
    <col min="17" max="17" width="14.5703125" hidden="1" customWidth="1"/>
    <col min="18" max="18" width="0.28515625" hidden="1" customWidth="1"/>
    <col min="19" max="19" width="14.140625" hidden="1" customWidth="1"/>
    <col min="20" max="21" width="15.85546875" hidden="1" customWidth="1"/>
    <col min="22" max="22" width="11.5703125" hidden="1" customWidth="1"/>
    <col min="23" max="23" width="15.85546875" hidden="1" customWidth="1"/>
    <col min="24" max="24" width="9.7109375" customWidth="1"/>
    <col min="25" max="25" width="16.42578125" customWidth="1"/>
    <col min="26" max="26" width="15.7109375" customWidth="1"/>
    <col min="27" max="27" width="19.140625" customWidth="1"/>
    <col min="28" max="28" width="18.28515625" customWidth="1"/>
    <col min="29" max="29" width="79.28515625" customWidth="1"/>
    <col min="30" max="30" width="1.42578125" customWidth="1"/>
  </cols>
  <sheetData>
    <row r="1" spans="1:35" ht="19.5" x14ac:dyDescent="0.25">
      <c r="A1" s="449" t="s">
        <v>76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  <c r="O1" s="449"/>
      <c r="P1" s="449"/>
      <c r="Q1" s="449"/>
      <c r="R1" s="449"/>
      <c r="S1" s="449"/>
      <c r="T1" s="449"/>
      <c r="U1" s="449"/>
      <c r="V1" s="449"/>
      <c r="W1" s="449"/>
      <c r="X1" s="449"/>
      <c r="Y1" s="449"/>
      <c r="Z1" s="449"/>
      <c r="AA1" s="449"/>
      <c r="AB1" s="449"/>
      <c r="AC1" s="449"/>
    </row>
    <row r="2" spans="1:35" ht="19.5" x14ac:dyDescent="0.25">
      <c r="A2" s="449" t="s">
        <v>64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  <c r="O2" s="449"/>
      <c r="P2" s="449"/>
      <c r="Q2" s="449"/>
      <c r="R2" s="449"/>
      <c r="S2" s="449"/>
      <c r="T2" s="449"/>
      <c r="U2" s="449"/>
      <c r="V2" s="449"/>
      <c r="W2" s="449"/>
      <c r="X2" s="449"/>
      <c r="Y2" s="449"/>
      <c r="Z2" s="449"/>
      <c r="AA2" s="449"/>
      <c r="AB2" s="449"/>
      <c r="AC2" s="449"/>
    </row>
    <row r="3" spans="1:35" ht="19.5" x14ac:dyDescent="0.25">
      <c r="A3" s="450" t="str">
        <f>PRESIDENCIA!A3</f>
        <v>SUELDO  DEL 15 AL 30 DE SEPTIEMBRE DE 2026</v>
      </c>
      <c r="B3" s="450"/>
      <c r="C3" s="450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  <c r="P3" s="450"/>
      <c r="Q3" s="450"/>
      <c r="R3" s="450"/>
      <c r="S3" s="450"/>
      <c r="T3" s="450"/>
      <c r="U3" s="450"/>
      <c r="V3" s="450"/>
      <c r="W3" s="450"/>
      <c r="X3" s="450"/>
      <c r="Y3" s="450"/>
      <c r="Z3" s="450"/>
      <c r="AA3" s="450"/>
      <c r="AB3" s="450"/>
      <c r="AC3" s="450"/>
    </row>
    <row r="4" spans="1:35" ht="48" customHeight="1" x14ac:dyDescent="0.2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</row>
    <row r="5" spans="1:35" s="52" customFormat="1" ht="12.75" customHeight="1" x14ac:dyDescent="0.2">
      <c r="A5" s="48"/>
      <c r="B5" s="48"/>
      <c r="C5" s="470" t="s">
        <v>106</v>
      </c>
      <c r="D5" s="48"/>
      <c r="E5" s="48"/>
      <c r="F5" s="48"/>
      <c r="G5" s="48"/>
      <c r="H5" s="48"/>
      <c r="I5" s="49" t="s">
        <v>22</v>
      </c>
      <c r="J5" s="49" t="s">
        <v>5</v>
      </c>
      <c r="K5" s="473" t="s">
        <v>1</v>
      </c>
      <c r="L5" s="474"/>
      <c r="M5" s="475"/>
      <c r="N5" s="50" t="s">
        <v>25</v>
      </c>
      <c r="O5" s="51"/>
      <c r="P5" s="476" t="s">
        <v>8</v>
      </c>
      <c r="Q5" s="477"/>
      <c r="R5" s="477"/>
      <c r="S5" s="477"/>
      <c r="T5" s="477"/>
      <c r="U5" s="478"/>
      <c r="V5" s="50" t="s">
        <v>29</v>
      </c>
      <c r="W5" s="50" t="s">
        <v>9</v>
      </c>
      <c r="X5" s="49" t="s">
        <v>52</v>
      </c>
      <c r="Y5" s="479" t="s">
        <v>2</v>
      </c>
      <c r="Z5" s="480"/>
      <c r="AA5" s="481"/>
      <c r="AB5" s="49" t="s">
        <v>0</v>
      </c>
      <c r="AC5" s="48"/>
    </row>
    <row r="6" spans="1:35" s="52" customFormat="1" ht="24" x14ac:dyDescent="0.2">
      <c r="A6" s="53" t="s">
        <v>20</v>
      </c>
      <c r="B6" s="47" t="s">
        <v>91</v>
      </c>
      <c r="C6" s="471"/>
      <c r="D6" s="53" t="s">
        <v>21</v>
      </c>
      <c r="E6" s="53"/>
      <c r="F6" s="53"/>
      <c r="G6" s="53"/>
      <c r="H6" s="53"/>
      <c r="I6" s="54" t="s">
        <v>23</v>
      </c>
      <c r="J6" s="53" t="s">
        <v>24</v>
      </c>
      <c r="K6" s="49" t="s">
        <v>5</v>
      </c>
      <c r="L6" s="49" t="s">
        <v>58</v>
      </c>
      <c r="M6" s="49" t="s">
        <v>27</v>
      </c>
      <c r="N6" s="55" t="s">
        <v>26</v>
      </c>
      <c r="O6" s="51" t="s">
        <v>31</v>
      </c>
      <c r="P6" s="51" t="s">
        <v>11</v>
      </c>
      <c r="Q6" s="51" t="s">
        <v>33</v>
      </c>
      <c r="R6" s="51" t="s">
        <v>35</v>
      </c>
      <c r="S6" s="51" t="s">
        <v>36</v>
      </c>
      <c r="T6" s="51" t="s">
        <v>13</v>
      </c>
      <c r="U6" s="51" t="s">
        <v>9</v>
      </c>
      <c r="V6" s="55" t="s">
        <v>39</v>
      </c>
      <c r="W6" s="55" t="s">
        <v>40</v>
      </c>
      <c r="X6" s="53" t="s">
        <v>30</v>
      </c>
      <c r="Y6" s="49" t="s">
        <v>227</v>
      </c>
      <c r="Z6" s="49" t="s">
        <v>56</v>
      </c>
      <c r="AA6" s="49" t="s">
        <v>6</v>
      </c>
      <c r="AB6" s="53" t="s">
        <v>3</v>
      </c>
      <c r="AC6" s="53" t="s">
        <v>57</v>
      </c>
    </row>
    <row r="7" spans="1:35" s="52" customFormat="1" ht="12" x14ac:dyDescent="0.2">
      <c r="A7" s="62"/>
      <c r="B7" s="62"/>
      <c r="C7" s="472"/>
      <c r="D7" s="62"/>
      <c r="E7" s="62"/>
      <c r="F7" s="62"/>
      <c r="G7" s="62"/>
      <c r="H7" s="62"/>
      <c r="I7" s="62"/>
      <c r="J7" s="62"/>
      <c r="K7" s="62" t="s">
        <v>46</v>
      </c>
      <c r="L7" s="62" t="s">
        <v>59</v>
      </c>
      <c r="M7" s="62" t="s">
        <v>28</v>
      </c>
      <c r="N7" s="63" t="s">
        <v>42</v>
      </c>
      <c r="O7" s="50" t="s">
        <v>32</v>
      </c>
      <c r="P7" s="50" t="s">
        <v>12</v>
      </c>
      <c r="Q7" s="50" t="s">
        <v>34</v>
      </c>
      <c r="R7" s="50" t="s">
        <v>34</v>
      </c>
      <c r="S7" s="50" t="s">
        <v>37</v>
      </c>
      <c r="T7" s="50" t="s">
        <v>14</v>
      </c>
      <c r="U7" s="50" t="s">
        <v>38</v>
      </c>
      <c r="V7" s="55" t="s">
        <v>18</v>
      </c>
      <c r="W7" s="56" t="s">
        <v>112</v>
      </c>
      <c r="X7" s="62" t="s">
        <v>51</v>
      </c>
      <c r="Y7" s="62"/>
      <c r="Z7" s="62"/>
      <c r="AA7" s="62" t="s">
        <v>43</v>
      </c>
      <c r="AB7" s="62" t="s">
        <v>4</v>
      </c>
      <c r="AC7" s="58"/>
    </row>
    <row r="8" spans="1:35" s="52" customFormat="1" ht="35.25" customHeight="1" x14ac:dyDescent="0.25">
      <c r="A8" s="64"/>
      <c r="B8" s="127"/>
      <c r="C8" s="127"/>
      <c r="D8" s="126" t="s">
        <v>68</v>
      </c>
      <c r="E8" s="127" t="s">
        <v>92</v>
      </c>
      <c r="F8" s="127" t="s">
        <v>189</v>
      </c>
      <c r="G8" s="125" t="s">
        <v>229</v>
      </c>
      <c r="H8" s="127" t="s">
        <v>61</v>
      </c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8"/>
      <c r="X8" s="127"/>
      <c r="Y8" s="127"/>
      <c r="Z8" s="127"/>
      <c r="AA8" s="127"/>
      <c r="AB8" s="127"/>
      <c r="AC8" s="65"/>
    </row>
    <row r="9" spans="1:35" s="265" customFormat="1" ht="219.75" customHeight="1" x14ac:dyDescent="0.2">
      <c r="A9" s="250"/>
      <c r="B9" s="251" t="s">
        <v>242</v>
      </c>
      <c r="C9" s="252" t="s">
        <v>105</v>
      </c>
      <c r="D9" s="253" t="s">
        <v>252</v>
      </c>
      <c r="E9" s="254" t="s">
        <v>253</v>
      </c>
      <c r="F9" s="254" t="s">
        <v>254</v>
      </c>
      <c r="G9" s="255">
        <v>45139</v>
      </c>
      <c r="H9" s="256" t="s">
        <v>562</v>
      </c>
      <c r="I9" s="257">
        <v>15</v>
      </c>
      <c r="J9" s="258">
        <f t="shared" ref="J9:J10" si="0">K9/I9</f>
        <v>391.83333333333331</v>
      </c>
      <c r="K9" s="259">
        <v>5877.5</v>
      </c>
      <c r="L9" s="260">
        <v>0</v>
      </c>
      <c r="M9" s="261">
        <f>SUM(K9:L9)</f>
        <v>5877.5</v>
      </c>
      <c r="N9" s="281">
        <f t="shared" ref="N9:N10" si="1">IF(K9/15&lt;=SMG,0,L9/2)</f>
        <v>0</v>
      </c>
      <c r="O9" s="296">
        <f t="shared" ref="O9:O10" si="2">(K9+N9)/I9*30.4</f>
        <v>11911.733333333332</v>
      </c>
      <c r="P9" s="296">
        <f t="shared" ref="P9:P10" si="3">VLOOKUP(O9,Tarifa,1)</f>
        <v>7168.52</v>
      </c>
      <c r="Q9" s="281">
        <f t="shared" ref="Q9:Q10" si="4">O9-P9</f>
        <v>4743.2133333333313</v>
      </c>
      <c r="R9" s="282">
        <f t="shared" ref="R9:R10" si="5">VLOOKUP(O9,Tarifa,3)</f>
        <v>0.10879999999999999</v>
      </c>
      <c r="S9" s="281">
        <f t="shared" ref="S9:S10" si="6">Q9*R9</f>
        <v>516.06161066666641</v>
      </c>
      <c r="T9" s="283">
        <f t="shared" ref="T9:T10" si="7">VLOOKUP(O9,Tarifa,2)</f>
        <v>420.95</v>
      </c>
      <c r="U9" s="281">
        <f t="shared" ref="U9:U10" si="8">S9+T9</f>
        <v>937.01161066666646</v>
      </c>
      <c r="V9" s="281">
        <f t="shared" ref="V9:V10" si="9">VLOOKUP(O9,Credito,2)</f>
        <v>0</v>
      </c>
      <c r="W9" s="281">
        <f t="shared" ref="W9:W10" si="10">ROUND((U9-V9)/30.4*I9,2)</f>
        <v>462.34</v>
      </c>
      <c r="X9" s="261">
        <f t="shared" ref="X9:X10" si="11">-IF(W9&gt;0,0,0)</f>
        <v>0</v>
      </c>
      <c r="Y9" s="261">
        <f>IF(K9/15&lt;=SMG,0,IF(W9&lt;0,0,W9))</f>
        <v>462.34</v>
      </c>
      <c r="Z9" s="262">
        <v>0</v>
      </c>
      <c r="AA9" s="261">
        <f>SUM(Y9:Z9)</f>
        <v>462.34</v>
      </c>
      <c r="AB9" s="261">
        <f>M9+X9-AA9</f>
        <v>5415.16</v>
      </c>
      <c r="AC9" s="263"/>
      <c r="AD9" s="264"/>
      <c r="AI9" s="266"/>
    </row>
    <row r="10" spans="1:35" s="265" customFormat="1" ht="219.75" customHeight="1" x14ac:dyDescent="0.2">
      <c r="A10" s="250"/>
      <c r="B10" s="252" t="s">
        <v>154</v>
      </c>
      <c r="C10" s="252" t="s">
        <v>105</v>
      </c>
      <c r="D10" s="253" t="s">
        <v>155</v>
      </c>
      <c r="E10" s="254" t="s">
        <v>156</v>
      </c>
      <c r="F10" s="254" t="s">
        <v>206</v>
      </c>
      <c r="G10" s="255">
        <v>43983</v>
      </c>
      <c r="H10" s="256" t="s">
        <v>537</v>
      </c>
      <c r="I10" s="257">
        <v>15</v>
      </c>
      <c r="J10" s="258">
        <f t="shared" si="0"/>
        <v>827.5</v>
      </c>
      <c r="K10" s="259">
        <v>12412.5</v>
      </c>
      <c r="L10" s="260">
        <v>0</v>
      </c>
      <c r="M10" s="261">
        <f>SUM(K10:L10)</f>
        <v>12412.5</v>
      </c>
      <c r="N10" s="281">
        <f t="shared" si="1"/>
        <v>0</v>
      </c>
      <c r="O10" s="296">
        <f t="shared" si="2"/>
        <v>25156</v>
      </c>
      <c r="P10" s="296">
        <f t="shared" si="3"/>
        <v>17533.650000000001</v>
      </c>
      <c r="Q10" s="281">
        <f t="shared" si="4"/>
        <v>7622.3499999999985</v>
      </c>
      <c r="R10" s="282">
        <f t="shared" si="5"/>
        <v>0.21360000000000001</v>
      </c>
      <c r="S10" s="281">
        <f t="shared" si="6"/>
        <v>1628.1339599999999</v>
      </c>
      <c r="T10" s="283">
        <f t="shared" si="7"/>
        <v>1856.84</v>
      </c>
      <c r="U10" s="281">
        <f t="shared" si="8"/>
        <v>3484.9739599999998</v>
      </c>
      <c r="V10" s="281">
        <f t="shared" si="9"/>
        <v>0</v>
      </c>
      <c r="W10" s="281">
        <f t="shared" si="10"/>
        <v>1719.56</v>
      </c>
      <c r="X10" s="261">
        <f t="shared" si="11"/>
        <v>0</v>
      </c>
      <c r="Y10" s="261">
        <f t="shared" ref="Y10" si="12">IF(K10/15&lt;=SMG,0,IF(W10&lt;0,0,W10))</f>
        <v>1719.56</v>
      </c>
      <c r="Z10" s="262">
        <v>0</v>
      </c>
      <c r="AA10" s="261">
        <f t="shared" ref="AA10" si="13">SUM(Y10:Z10)</f>
        <v>1719.56</v>
      </c>
      <c r="AB10" s="261">
        <f t="shared" ref="AB10" si="14">M10+X10-AA10</f>
        <v>10692.94</v>
      </c>
      <c r="AC10" s="263"/>
      <c r="AD10" s="264"/>
      <c r="AI10" s="266"/>
    </row>
    <row r="11" spans="1:35" s="265" customFormat="1" ht="219.75" customHeight="1" x14ac:dyDescent="0.2">
      <c r="A11" s="250"/>
      <c r="B11" s="272" t="s">
        <v>648</v>
      </c>
      <c r="C11" s="267" t="s">
        <v>105</v>
      </c>
      <c r="D11" s="430" t="s">
        <v>649</v>
      </c>
      <c r="E11" s="254" t="s">
        <v>655</v>
      </c>
      <c r="F11" s="254" t="s">
        <v>656</v>
      </c>
      <c r="G11" s="275">
        <v>46280</v>
      </c>
      <c r="H11" s="256" t="s">
        <v>562</v>
      </c>
      <c r="I11" s="270">
        <v>15</v>
      </c>
      <c r="J11" s="258">
        <f t="shared" ref="J11" si="15">K11/I11</f>
        <v>391.83333333333331</v>
      </c>
      <c r="K11" s="259">
        <v>5877.5</v>
      </c>
      <c r="L11" s="260">
        <v>0</v>
      </c>
      <c r="M11" s="261">
        <f>SUM(K11:L11)</f>
        <v>5877.5</v>
      </c>
      <c r="N11" s="281">
        <f t="shared" ref="N11" si="16">IF(K11/15&lt;=SMG,0,L11/2)</f>
        <v>0</v>
      </c>
      <c r="O11" s="296">
        <f t="shared" ref="O11" si="17">(K11+N11)/I11*30.4</f>
        <v>11911.733333333332</v>
      </c>
      <c r="P11" s="296">
        <f t="shared" ref="P11" si="18">VLOOKUP(O11,Tarifa,1)</f>
        <v>7168.52</v>
      </c>
      <c r="Q11" s="281">
        <f t="shared" ref="Q11" si="19">O11-P11</f>
        <v>4743.2133333333313</v>
      </c>
      <c r="R11" s="282">
        <f t="shared" ref="R11" si="20">VLOOKUP(O11,Tarifa,3)</f>
        <v>0.10879999999999999</v>
      </c>
      <c r="S11" s="281">
        <f t="shared" ref="S11" si="21">Q11*R11</f>
        <v>516.06161066666641</v>
      </c>
      <c r="T11" s="283">
        <f t="shared" ref="T11" si="22">VLOOKUP(O11,Tarifa,2)</f>
        <v>420.95</v>
      </c>
      <c r="U11" s="281">
        <f t="shared" ref="U11" si="23">S11+T11</f>
        <v>937.01161066666646</v>
      </c>
      <c r="V11" s="281">
        <f t="shared" ref="V11" si="24">VLOOKUP(O11,Credito,2)</f>
        <v>0</v>
      </c>
      <c r="W11" s="281">
        <f t="shared" ref="W11" si="25">ROUND((U11-V11)/30.4*I11,2)</f>
        <v>462.34</v>
      </c>
      <c r="X11" s="261">
        <f>-IF(W11&gt;0,0,0)</f>
        <v>0</v>
      </c>
      <c r="Y11" s="261">
        <f>IF(K11/15&lt;=SMG,0,IF(W11&lt;0,0,W11))</f>
        <v>462.34</v>
      </c>
      <c r="Z11" s="262">
        <v>0</v>
      </c>
      <c r="AA11" s="261">
        <f>SUM(Y11:Z11)</f>
        <v>462.34</v>
      </c>
      <c r="AB11" s="261">
        <f>M11+X11-AA11</f>
        <v>5415.16</v>
      </c>
      <c r="AC11" s="271"/>
      <c r="AD11" s="264"/>
      <c r="AI11" s="266"/>
    </row>
    <row r="12" spans="1:35" s="91" customFormat="1" ht="221.25" customHeight="1" x14ac:dyDescent="0.25">
      <c r="A12" s="143"/>
      <c r="B12" s="251" t="s">
        <v>650</v>
      </c>
      <c r="C12" s="251" t="s">
        <v>105</v>
      </c>
      <c r="D12" s="273" t="s">
        <v>651</v>
      </c>
      <c r="E12" s="307" t="s">
        <v>652</v>
      </c>
      <c r="F12" s="308" t="s">
        <v>653</v>
      </c>
      <c r="G12" s="306">
        <v>46286</v>
      </c>
      <c r="H12" s="429" t="s">
        <v>654</v>
      </c>
      <c r="I12" s="270">
        <v>10</v>
      </c>
      <c r="J12" s="258">
        <f>K12/I12</f>
        <v>623</v>
      </c>
      <c r="K12" s="259">
        <v>6230</v>
      </c>
      <c r="L12" s="260">
        <v>0</v>
      </c>
      <c r="M12" s="261">
        <f>SUM(K12:L12)</f>
        <v>6230</v>
      </c>
      <c r="N12" s="281">
        <f>IF(K12/15&lt;=SMG,0,L12/2)</f>
        <v>0</v>
      </c>
      <c r="O12" s="296">
        <f>(K12+N12)/I12*30.4</f>
        <v>18939.2</v>
      </c>
      <c r="P12" s="296">
        <f>VLOOKUP(O12,Tarifa,1)</f>
        <v>17533.650000000001</v>
      </c>
      <c r="Q12" s="281">
        <f>O12-P12</f>
        <v>1405.5499999999993</v>
      </c>
      <c r="R12" s="282">
        <f>VLOOKUP(O12,Tarifa,3)</f>
        <v>0.21360000000000001</v>
      </c>
      <c r="S12" s="281">
        <f>Q12*R12</f>
        <v>300.22547999999983</v>
      </c>
      <c r="T12" s="283">
        <f>VLOOKUP(O12,Tarifa,2)</f>
        <v>1856.84</v>
      </c>
      <c r="U12" s="281">
        <f>S12+T12</f>
        <v>2157.0654799999998</v>
      </c>
      <c r="V12" s="281">
        <f>VLOOKUP(O12,Credito,2)</f>
        <v>0</v>
      </c>
      <c r="W12" s="281">
        <f>ROUND((U12-V12)/30.4*I12,2)</f>
        <v>709.56</v>
      </c>
      <c r="X12" s="261">
        <f>-IF(W12&gt;0,0,0)</f>
        <v>0</v>
      </c>
      <c r="Y12" s="261">
        <f>IF(K12/15&lt;=SMG,0,IF(W12&lt;0,0,W12))</f>
        <v>709.56</v>
      </c>
      <c r="Z12" s="262">
        <v>0</v>
      </c>
      <c r="AA12" s="261">
        <f>SUM(Y12:Z12)</f>
        <v>709.56</v>
      </c>
      <c r="AB12" s="261">
        <f>M12+X12-AA12</f>
        <v>5520.4400000000005</v>
      </c>
      <c r="AC12" s="263"/>
      <c r="AD12" s="92"/>
      <c r="AI12" s="93"/>
    </row>
    <row r="13" spans="1:35" s="91" customFormat="1" ht="221.25" customHeight="1" x14ac:dyDescent="0.25">
      <c r="A13" s="143"/>
      <c r="B13" s="252" t="s">
        <v>432</v>
      </c>
      <c r="C13" s="252" t="s">
        <v>105</v>
      </c>
      <c r="D13" s="310" t="s">
        <v>137</v>
      </c>
      <c r="E13" s="134" t="s">
        <v>590</v>
      </c>
      <c r="F13" s="134" t="s">
        <v>591</v>
      </c>
      <c r="G13" s="200">
        <v>43512</v>
      </c>
      <c r="H13" s="256" t="s">
        <v>425</v>
      </c>
      <c r="I13" s="270">
        <v>15</v>
      </c>
      <c r="J13" s="258">
        <f>K13/I13</f>
        <v>623</v>
      </c>
      <c r="K13" s="259">
        <v>9345</v>
      </c>
      <c r="L13" s="260">
        <v>0</v>
      </c>
      <c r="M13" s="261">
        <f>SUM(K13:L13)</f>
        <v>9345</v>
      </c>
      <c r="N13" s="281">
        <f>IF(K13/15&lt;=SMG,0,L13/2)</f>
        <v>0</v>
      </c>
      <c r="O13" s="296">
        <f>(K13+N13)/I13*30.4</f>
        <v>18939.2</v>
      </c>
      <c r="P13" s="296">
        <f>VLOOKUP(O13,Tarifa,1)</f>
        <v>17533.650000000001</v>
      </c>
      <c r="Q13" s="281">
        <f>O13-P13</f>
        <v>1405.5499999999993</v>
      </c>
      <c r="R13" s="282">
        <f>VLOOKUP(O13,Tarifa,3)</f>
        <v>0.21360000000000001</v>
      </c>
      <c r="S13" s="281">
        <f>Q13*R13</f>
        <v>300.22547999999983</v>
      </c>
      <c r="T13" s="283">
        <f>VLOOKUP(O13,Tarifa,2)</f>
        <v>1856.84</v>
      </c>
      <c r="U13" s="281">
        <f>S13+T13</f>
        <v>2157.0654799999998</v>
      </c>
      <c r="V13" s="281">
        <f>VLOOKUP(O13,Credito,2)</f>
        <v>0</v>
      </c>
      <c r="W13" s="281">
        <f>ROUND((U13-V13)/30.4*I13,2)</f>
        <v>1064.3399999999999</v>
      </c>
      <c r="X13" s="261">
        <f>-IF(W13&gt;0,0,0)</f>
        <v>0</v>
      </c>
      <c r="Y13" s="261">
        <f>IF(K13/15&lt;=SMG,0,IF(W13&lt;0,0,W13))</f>
        <v>1064.3399999999999</v>
      </c>
      <c r="Z13" s="262">
        <v>0</v>
      </c>
      <c r="AA13" s="261">
        <f>SUM(Y13:Z13)</f>
        <v>1064.3399999999999</v>
      </c>
      <c r="AB13" s="261">
        <f t="shared" ref="AB13" si="26">M13+X13-AA13</f>
        <v>8280.66</v>
      </c>
      <c r="AC13" s="263"/>
      <c r="AD13" s="92"/>
      <c r="AI13" s="93"/>
    </row>
    <row r="14" spans="1:35" s="91" customFormat="1" ht="221.25" customHeight="1" x14ac:dyDescent="0.25">
      <c r="A14" s="143"/>
      <c r="B14" s="252" t="s">
        <v>212</v>
      </c>
      <c r="C14" s="252" t="s">
        <v>105</v>
      </c>
      <c r="D14" s="310" t="s">
        <v>213</v>
      </c>
      <c r="E14" s="134" t="s">
        <v>214</v>
      </c>
      <c r="F14" s="134" t="s">
        <v>215</v>
      </c>
      <c r="G14" s="200">
        <v>44728</v>
      </c>
      <c r="H14" s="256" t="s">
        <v>425</v>
      </c>
      <c r="I14" s="270">
        <v>15</v>
      </c>
      <c r="J14" s="258">
        <f t="shared" ref="J14" si="27">K14/I14</f>
        <v>623</v>
      </c>
      <c r="K14" s="259">
        <v>9345</v>
      </c>
      <c r="L14" s="260">
        <v>0</v>
      </c>
      <c r="M14" s="261">
        <f t="shared" ref="M14" si="28">SUM(K14:L14)</f>
        <v>9345</v>
      </c>
      <c r="N14" s="281">
        <f t="shared" ref="N14" si="29">IF(K14/15&lt;=SMG,0,L14/2)</f>
        <v>0</v>
      </c>
      <c r="O14" s="296">
        <f t="shared" ref="O14" si="30">(K14+N14)/I14*30.4</f>
        <v>18939.2</v>
      </c>
      <c r="P14" s="296">
        <f t="shared" ref="P14" si="31">VLOOKUP(O14,Tarifa,1)</f>
        <v>17533.650000000001</v>
      </c>
      <c r="Q14" s="281">
        <f t="shared" ref="Q14" si="32">O14-P14</f>
        <v>1405.5499999999993</v>
      </c>
      <c r="R14" s="282">
        <f t="shared" ref="R14" si="33">VLOOKUP(O14,Tarifa,3)</f>
        <v>0.21360000000000001</v>
      </c>
      <c r="S14" s="281">
        <f t="shared" ref="S14" si="34">Q14*R14</f>
        <v>300.22547999999983</v>
      </c>
      <c r="T14" s="283">
        <f t="shared" ref="T14" si="35">VLOOKUP(O14,Tarifa,2)</f>
        <v>1856.84</v>
      </c>
      <c r="U14" s="281">
        <f t="shared" ref="U14" si="36">S14+T14</f>
        <v>2157.0654799999998</v>
      </c>
      <c r="V14" s="281">
        <f t="shared" ref="V14" si="37">VLOOKUP(O14,Credito,2)</f>
        <v>0</v>
      </c>
      <c r="W14" s="281">
        <f t="shared" ref="W14" si="38">ROUND((U14-V14)/30.4*I14,2)</f>
        <v>1064.3399999999999</v>
      </c>
      <c r="X14" s="261">
        <f t="shared" ref="X14" si="39">-IF(W14&gt;0,0,0)</f>
        <v>0</v>
      </c>
      <c r="Y14" s="261">
        <f t="shared" ref="Y14" si="40">IF(K14/15&lt;=SMG,0,IF(W14&lt;0,0,W14))</f>
        <v>1064.3399999999999</v>
      </c>
      <c r="Z14" s="262">
        <v>0</v>
      </c>
      <c r="AA14" s="261">
        <f t="shared" ref="AA14" si="41">SUM(Y14:Z14)</f>
        <v>1064.3399999999999</v>
      </c>
      <c r="AB14" s="261">
        <f t="shared" ref="AB14" si="42">M14+X14-AA14</f>
        <v>8280.66</v>
      </c>
      <c r="AC14" s="263"/>
      <c r="AD14" s="92"/>
      <c r="AI14" s="93"/>
    </row>
    <row r="15" spans="1:35" s="91" customFormat="1" ht="23.25" x14ac:dyDescent="0.25">
      <c r="A15" s="143"/>
      <c r="B15" s="433"/>
      <c r="C15" s="433"/>
      <c r="D15" s="434"/>
      <c r="E15" s="435"/>
      <c r="F15" s="435"/>
      <c r="G15" s="436"/>
      <c r="H15" s="428"/>
      <c r="I15" s="431"/>
      <c r="J15" s="432"/>
      <c r="K15" s="374"/>
      <c r="L15" s="375"/>
      <c r="M15" s="376"/>
      <c r="N15" s="358"/>
      <c r="O15" s="359"/>
      <c r="P15" s="359"/>
      <c r="Q15" s="358"/>
      <c r="R15" s="360"/>
      <c r="S15" s="358"/>
      <c r="T15" s="361"/>
      <c r="U15" s="358"/>
      <c r="V15" s="358"/>
      <c r="W15" s="358"/>
      <c r="X15" s="376"/>
      <c r="Y15" s="376"/>
      <c r="Z15" s="377"/>
      <c r="AA15" s="376"/>
      <c r="AB15" s="376"/>
      <c r="AC15" s="427"/>
      <c r="AD15" s="92"/>
      <c r="AI15" s="93"/>
    </row>
    <row r="16" spans="1:35" s="91" customFormat="1" ht="115.5" customHeight="1" x14ac:dyDescent="0.25">
      <c r="A16" s="143"/>
      <c r="B16" s="449" t="s">
        <v>76</v>
      </c>
      <c r="C16" s="449"/>
      <c r="D16" s="449"/>
      <c r="E16" s="449"/>
      <c r="F16" s="449"/>
      <c r="G16" s="449"/>
      <c r="H16" s="449"/>
      <c r="I16" s="449"/>
      <c r="J16" s="449"/>
      <c r="K16" s="449"/>
      <c r="L16" s="449"/>
      <c r="M16" s="449"/>
      <c r="N16" s="449"/>
      <c r="O16" s="449"/>
      <c r="P16" s="449"/>
      <c r="Q16" s="449"/>
      <c r="R16" s="449"/>
      <c r="S16" s="449"/>
      <c r="T16" s="449"/>
      <c r="U16" s="449"/>
      <c r="V16" s="449"/>
      <c r="W16" s="449"/>
      <c r="X16" s="449"/>
      <c r="Y16" s="449"/>
      <c r="Z16" s="449"/>
      <c r="AA16" s="449"/>
      <c r="AB16" s="449"/>
      <c r="AC16" s="449"/>
      <c r="AD16" s="449"/>
      <c r="AI16" s="93"/>
    </row>
    <row r="17" spans="1:35" s="91" customFormat="1" ht="28.5" customHeight="1" x14ac:dyDescent="0.25">
      <c r="A17" s="143"/>
      <c r="B17" s="449" t="s">
        <v>64</v>
      </c>
      <c r="C17" s="449"/>
      <c r="D17" s="449"/>
      <c r="E17" s="449"/>
      <c r="F17" s="449"/>
      <c r="G17" s="449"/>
      <c r="H17" s="449"/>
      <c r="I17" s="449"/>
      <c r="J17" s="449"/>
      <c r="K17" s="449"/>
      <c r="L17" s="449"/>
      <c r="M17" s="449"/>
      <c r="N17" s="449"/>
      <c r="O17" s="449"/>
      <c r="P17" s="449"/>
      <c r="Q17" s="449"/>
      <c r="R17" s="449"/>
      <c r="S17" s="449"/>
      <c r="T17" s="449"/>
      <c r="U17" s="449"/>
      <c r="V17" s="449"/>
      <c r="W17" s="449"/>
      <c r="X17" s="449"/>
      <c r="Y17" s="449"/>
      <c r="Z17" s="449"/>
      <c r="AA17" s="449"/>
      <c r="AB17" s="449"/>
      <c r="AC17" s="449"/>
      <c r="AD17" s="449"/>
      <c r="AI17" s="93"/>
    </row>
    <row r="18" spans="1:35" s="91" customFormat="1" ht="27.75" customHeight="1" x14ac:dyDescent="0.3">
      <c r="A18" s="143"/>
      <c r="B18" s="482" t="str">
        <f>PRESIDENCIA!A3</f>
        <v>SUELDO  DEL 15 AL 30 DE SEPTIEMBRE DE 2026</v>
      </c>
      <c r="C18" s="482"/>
      <c r="D18" s="482"/>
      <c r="E18" s="482"/>
      <c r="F18" s="482"/>
      <c r="G18" s="482"/>
      <c r="H18" s="482"/>
      <c r="I18" s="482"/>
      <c r="J18" s="482"/>
      <c r="K18" s="482"/>
      <c r="L18" s="482"/>
      <c r="M18" s="482"/>
      <c r="N18" s="482"/>
      <c r="O18" s="482"/>
      <c r="P18" s="482"/>
      <c r="Q18" s="482"/>
      <c r="R18" s="482"/>
      <c r="S18" s="482"/>
      <c r="T18" s="482"/>
      <c r="U18" s="482"/>
      <c r="V18" s="482"/>
      <c r="W18" s="482"/>
      <c r="X18" s="482"/>
      <c r="Y18" s="482"/>
      <c r="Z18" s="482"/>
      <c r="AA18" s="482"/>
      <c r="AB18" s="482"/>
      <c r="AC18" s="482"/>
      <c r="AD18" s="92"/>
      <c r="AI18" s="93"/>
    </row>
    <row r="19" spans="1:35" s="91" customFormat="1" ht="26.25" customHeight="1" x14ac:dyDescent="0.3">
      <c r="A19" s="143"/>
      <c r="B19" s="233"/>
      <c r="C19" s="204"/>
      <c r="D19" s="205"/>
      <c r="E19" s="206"/>
      <c r="F19" s="206"/>
      <c r="G19" s="232"/>
      <c r="H19" s="150"/>
      <c r="I19" s="151"/>
      <c r="J19" s="152"/>
      <c r="K19" s="210"/>
      <c r="L19" s="211"/>
      <c r="M19" s="212"/>
      <c r="N19" s="213"/>
      <c r="O19" s="213"/>
      <c r="P19" s="213"/>
      <c r="Q19" s="213"/>
      <c r="R19" s="214"/>
      <c r="S19" s="213"/>
      <c r="T19" s="215"/>
      <c r="U19" s="213"/>
      <c r="V19" s="213"/>
      <c r="W19" s="213"/>
      <c r="X19" s="212"/>
      <c r="Y19" s="212"/>
      <c r="Z19" s="216"/>
      <c r="AA19" s="212"/>
      <c r="AB19" s="212"/>
      <c r="AD19" s="92"/>
      <c r="AI19" s="93"/>
    </row>
    <row r="20" spans="1:35" s="265" customFormat="1" ht="229.5" customHeight="1" x14ac:dyDescent="0.2">
      <c r="A20" s="309"/>
      <c r="B20" s="252" t="s">
        <v>269</v>
      </c>
      <c r="C20" s="252" t="s">
        <v>105</v>
      </c>
      <c r="D20" s="253" t="s">
        <v>270</v>
      </c>
      <c r="E20" s="254" t="s">
        <v>271</v>
      </c>
      <c r="F20" s="254" t="s">
        <v>272</v>
      </c>
      <c r="G20" s="312">
        <v>45475</v>
      </c>
      <c r="H20" s="256" t="s">
        <v>425</v>
      </c>
      <c r="I20" s="270">
        <v>15</v>
      </c>
      <c r="J20" s="258">
        <f t="shared" ref="J20" si="43">K20/I20</f>
        <v>498.46666666666664</v>
      </c>
      <c r="K20" s="259">
        <v>7477</v>
      </c>
      <c r="L20" s="260">
        <v>0</v>
      </c>
      <c r="M20" s="261">
        <f t="shared" ref="M20" si="44">SUM(K20:L20)</f>
        <v>7477</v>
      </c>
      <c r="N20" s="281">
        <f t="shared" ref="N20" si="45">IF(K20/15&lt;=SMG,0,L20/2)</f>
        <v>0</v>
      </c>
      <c r="O20" s="296">
        <f t="shared" ref="O20" si="46">(K20+N20)/I20*30.4</f>
        <v>15153.386666666665</v>
      </c>
      <c r="P20" s="296">
        <f t="shared" ref="P20" si="47">VLOOKUP(O20,Tarifa,1)</f>
        <v>14644.65</v>
      </c>
      <c r="Q20" s="281">
        <f t="shared" ref="Q20" si="48">O20-P20</f>
        <v>508.73666666666577</v>
      </c>
      <c r="R20" s="282">
        <f t="shared" ref="R20" si="49">VLOOKUP(O20,Tarifa,3)</f>
        <v>0.1792</v>
      </c>
      <c r="S20" s="281">
        <f t="shared" ref="S20" si="50">Q20*R20</f>
        <v>91.16561066666651</v>
      </c>
      <c r="T20" s="283">
        <f t="shared" ref="T20" si="51">VLOOKUP(O20,Tarifa,2)</f>
        <v>1339.14</v>
      </c>
      <c r="U20" s="281">
        <f t="shared" ref="U20" si="52">S20+T20</f>
        <v>1430.3056106666666</v>
      </c>
      <c r="V20" s="281">
        <f t="shared" ref="V20" si="53">VLOOKUP(O20,Credito,2)</f>
        <v>0</v>
      </c>
      <c r="W20" s="281">
        <f t="shared" ref="W20" si="54">ROUND((U20-V20)/30.4*I20,2)</f>
        <v>705.74</v>
      </c>
      <c r="X20" s="261">
        <f t="shared" ref="X20" si="55">-IF(W20&gt;0,0,0)</f>
        <v>0</v>
      </c>
      <c r="Y20" s="261">
        <f t="shared" ref="Y20" si="56">IF(K20/15&lt;=SMG,0,IF(W20&lt;0,0,W20))</f>
        <v>705.74</v>
      </c>
      <c r="Z20" s="262">
        <v>0</v>
      </c>
      <c r="AA20" s="261">
        <f t="shared" ref="AA20" si="57">SUM(Y20:Z20)</f>
        <v>705.74</v>
      </c>
      <c r="AB20" s="261">
        <f>M20+X20-AA20</f>
        <v>6771.26</v>
      </c>
      <c r="AC20" s="263"/>
      <c r="AD20" s="311"/>
      <c r="AI20" s="266"/>
    </row>
    <row r="21" spans="1:35" s="265" customFormat="1" ht="229.5" customHeight="1" x14ac:dyDescent="0.2">
      <c r="A21" s="309"/>
      <c r="B21" s="252" t="s">
        <v>358</v>
      </c>
      <c r="C21" s="252" t="s">
        <v>105</v>
      </c>
      <c r="D21" s="253" t="s">
        <v>359</v>
      </c>
      <c r="E21" s="254" t="s">
        <v>360</v>
      </c>
      <c r="F21" s="254" t="s">
        <v>361</v>
      </c>
      <c r="G21" s="312">
        <v>45566</v>
      </c>
      <c r="H21" s="256" t="s">
        <v>426</v>
      </c>
      <c r="I21" s="270">
        <v>15</v>
      </c>
      <c r="J21" s="258">
        <f t="shared" ref="J21:J22" si="58">K21/I21</f>
        <v>468.73333333333335</v>
      </c>
      <c r="K21" s="259">
        <v>7031</v>
      </c>
      <c r="L21" s="260">
        <v>0</v>
      </c>
      <c r="M21" s="261">
        <f t="shared" ref="M21:M22" si="59">SUM(K21:L21)</f>
        <v>7031</v>
      </c>
      <c r="N21" s="281">
        <f t="shared" ref="N21:N22" si="60">IF(K21/15&lt;=SMG,0,L21/2)</f>
        <v>0</v>
      </c>
      <c r="O21" s="296">
        <f t="shared" ref="O21:O22" si="61">(K21+N21)/I21*30.4</f>
        <v>14249.493333333334</v>
      </c>
      <c r="P21" s="296">
        <f t="shared" ref="P21:P22" si="62">VLOOKUP(O21,Tarifa,1)</f>
        <v>12598.03</v>
      </c>
      <c r="Q21" s="281">
        <f t="shared" ref="Q21:Q22" si="63">O21-P21</f>
        <v>1651.4633333333331</v>
      </c>
      <c r="R21" s="282">
        <f t="shared" ref="R21:R22" si="64">VLOOKUP(O21,Tarifa,3)</f>
        <v>0.16</v>
      </c>
      <c r="S21" s="281">
        <f t="shared" ref="S21:S22" si="65">Q21*R21</f>
        <v>264.23413333333332</v>
      </c>
      <c r="T21" s="283">
        <f t="shared" ref="T21:T22" si="66">VLOOKUP(O21,Tarifa,2)</f>
        <v>1011.68</v>
      </c>
      <c r="U21" s="281">
        <f t="shared" ref="U21:U22" si="67">S21+T21</f>
        <v>1275.9141333333332</v>
      </c>
      <c r="V21" s="281">
        <f t="shared" ref="V21:V22" si="68">VLOOKUP(O21,Credito,2)</f>
        <v>0</v>
      </c>
      <c r="W21" s="281">
        <f t="shared" ref="W21:W22" si="69">ROUND((U21-V21)/30.4*I21,2)</f>
        <v>629.55999999999995</v>
      </c>
      <c r="X21" s="261">
        <f t="shared" ref="X21:X22" si="70">-IF(W21&gt;0,0,0)</f>
        <v>0</v>
      </c>
      <c r="Y21" s="261">
        <f t="shared" ref="Y21:Y22" si="71">IF(K21/15&lt;=SMG,0,IF(W21&lt;0,0,W21))</f>
        <v>629.55999999999995</v>
      </c>
      <c r="Z21" s="262">
        <v>0</v>
      </c>
      <c r="AA21" s="261">
        <f t="shared" ref="AA21:AA22" si="72">SUM(Y21:Z21)</f>
        <v>629.55999999999995</v>
      </c>
      <c r="AB21" s="261">
        <f t="shared" ref="AB21:AB22" si="73">M21+X21-AA21</f>
        <v>6401.4400000000005</v>
      </c>
      <c r="AC21" s="263"/>
      <c r="AD21" s="311"/>
      <c r="AI21" s="266"/>
    </row>
    <row r="22" spans="1:35" s="91" customFormat="1" ht="229.5" customHeight="1" x14ac:dyDescent="0.25">
      <c r="A22" s="143"/>
      <c r="B22" s="272" t="s">
        <v>313</v>
      </c>
      <c r="C22" s="267" t="s">
        <v>105</v>
      </c>
      <c r="D22" s="253" t="s">
        <v>314</v>
      </c>
      <c r="E22" s="254" t="s">
        <v>315</v>
      </c>
      <c r="F22" s="254" t="s">
        <v>316</v>
      </c>
      <c r="G22" s="255">
        <v>45459</v>
      </c>
      <c r="H22" s="256" t="s">
        <v>427</v>
      </c>
      <c r="I22" s="270">
        <v>15</v>
      </c>
      <c r="J22" s="258">
        <f t="shared" si="58"/>
        <v>384.4</v>
      </c>
      <c r="K22" s="259">
        <v>5766</v>
      </c>
      <c r="L22" s="260">
        <v>0</v>
      </c>
      <c r="M22" s="261">
        <f t="shared" si="59"/>
        <v>5766</v>
      </c>
      <c r="N22" s="281">
        <f t="shared" si="60"/>
        <v>0</v>
      </c>
      <c r="O22" s="296">
        <f t="shared" si="61"/>
        <v>11685.759999999998</v>
      </c>
      <c r="P22" s="296">
        <f t="shared" si="62"/>
        <v>7168.52</v>
      </c>
      <c r="Q22" s="281">
        <f t="shared" si="63"/>
        <v>4517.239999999998</v>
      </c>
      <c r="R22" s="282">
        <f t="shared" si="64"/>
        <v>0.10879999999999999</v>
      </c>
      <c r="S22" s="281">
        <f t="shared" si="65"/>
        <v>491.47571199999976</v>
      </c>
      <c r="T22" s="283">
        <f t="shared" si="66"/>
        <v>420.95</v>
      </c>
      <c r="U22" s="281">
        <f t="shared" si="67"/>
        <v>912.42571199999975</v>
      </c>
      <c r="V22" s="281">
        <f t="shared" si="68"/>
        <v>0</v>
      </c>
      <c r="W22" s="281">
        <f t="shared" si="69"/>
        <v>450.21</v>
      </c>
      <c r="X22" s="261">
        <f t="shared" si="70"/>
        <v>0</v>
      </c>
      <c r="Y22" s="261">
        <f t="shared" si="71"/>
        <v>450.21</v>
      </c>
      <c r="Z22" s="262">
        <v>0</v>
      </c>
      <c r="AA22" s="261">
        <f t="shared" si="72"/>
        <v>450.21</v>
      </c>
      <c r="AB22" s="261">
        <f t="shared" si="73"/>
        <v>5315.79</v>
      </c>
      <c r="AC22" s="263"/>
      <c r="AI22" s="93"/>
    </row>
    <row r="23" spans="1:35" s="265" customFormat="1" ht="176.25" customHeight="1" x14ac:dyDescent="0.2">
      <c r="A23" s="250"/>
      <c r="B23" s="252" t="s">
        <v>220</v>
      </c>
      <c r="C23" s="252" t="s">
        <v>105</v>
      </c>
      <c r="D23" s="310" t="s">
        <v>218</v>
      </c>
      <c r="E23" s="134" t="s">
        <v>216</v>
      </c>
      <c r="F23" s="134" t="s">
        <v>217</v>
      </c>
      <c r="G23" s="255">
        <v>44728</v>
      </c>
      <c r="H23" s="256" t="s">
        <v>219</v>
      </c>
      <c r="I23" s="270">
        <v>15</v>
      </c>
      <c r="J23" s="258">
        <f>K23/I23</f>
        <v>455.53333333333336</v>
      </c>
      <c r="K23" s="259">
        <v>6833</v>
      </c>
      <c r="L23" s="260">
        <v>0</v>
      </c>
      <c r="M23" s="259">
        <f>K23</f>
        <v>6833</v>
      </c>
      <c r="N23" s="281">
        <f>IF(K23/15&lt;=SMG,0,L23/2)</f>
        <v>0</v>
      </c>
      <c r="O23" s="296">
        <f>(K23+N23)/I23*30.4</f>
        <v>13848.213333333333</v>
      </c>
      <c r="P23" s="296">
        <f>VLOOKUP(O23,Tarifa,1)</f>
        <v>12598.03</v>
      </c>
      <c r="Q23" s="281">
        <f>O23-P23</f>
        <v>1250.1833333333325</v>
      </c>
      <c r="R23" s="282">
        <f>VLOOKUP(O23,Tarifa,3)</f>
        <v>0.16</v>
      </c>
      <c r="S23" s="281">
        <f>Q23*R23</f>
        <v>200.0293333333332</v>
      </c>
      <c r="T23" s="283">
        <f>VLOOKUP(O23,Tarifa,2)</f>
        <v>1011.68</v>
      </c>
      <c r="U23" s="281">
        <f>S23+T23</f>
        <v>1211.7093333333332</v>
      </c>
      <c r="V23" s="281">
        <f>VLOOKUP(O23,Credito,2)</f>
        <v>0</v>
      </c>
      <c r="W23" s="281">
        <f>ROUND((U23-V23)/30.4*I23,2)</f>
        <v>597.88</v>
      </c>
      <c r="X23" s="261">
        <f>-IF(W23&gt;0,0,0)</f>
        <v>0</v>
      </c>
      <c r="Y23" s="261">
        <f>IF(K23/15&lt;=SMG,0,IF(W23&lt;0,0,W23))</f>
        <v>597.88</v>
      </c>
      <c r="Z23" s="262">
        <v>0</v>
      </c>
      <c r="AA23" s="261">
        <f>SUM(Y23:Z23)</f>
        <v>597.88</v>
      </c>
      <c r="AB23" s="261">
        <f>M23+X23-AA23+L23</f>
        <v>6235.12</v>
      </c>
      <c r="AC23" s="271"/>
      <c r="AI23" s="266"/>
    </row>
    <row r="24" spans="1:35" s="265" customFormat="1" ht="176.25" customHeight="1" x14ac:dyDescent="0.2">
      <c r="A24" s="250"/>
      <c r="B24" s="267" t="s">
        <v>234</v>
      </c>
      <c r="C24" s="267" t="s">
        <v>105</v>
      </c>
      <c r="D24" s="273" t="s">
        <v>235</v>
      </c>
      <c r="E24" s="274" t="s">
        <v>236</v>
      </c>
      <c r="F24" s="274" t="s">
        <v>237</v>
      </c>
      <c r="G24" s="313">
        <v>45078</v>
      </c>
      <c r="H24" s="256" t="s">
        <v>430</v>
      </c>
      <c r="I24" s="270">
        <v>15</v>
      </c>
      <c r="J24" s="258">
        <f>K24/I24</f>
        <v>327</v>
      </c>
      <c r="K24" s="259">
        <v>4905</v>
      </c>
      <c r="L24" s="260">
        <v>654</v>
      </c>
      <c r="M24" s="261">
        <f t="shared" ref="M24" si="74">SUM(K24:L24)</f>
        <v>5559</v>
      </c>
      <c r="N24" s="281">
        <f>IF(K24/15&lt;=SMG,0,L24/2)</f>
        <v>327</v>
      </c>
      <c r="O24" s="296">
        <f>(K24+N24)/I24*30.4</f>
        <v>10603.52</v>
      </c>
      <c r="P24" s="296">
        <f>VLOOKUP(O24,Tarifa,1)</f>
        <v>7168.52</v>
      </c>
      <c r="Q24" s="281">
        <f>O24-P24</f>
        <v>3435</v>
      </c>
      <c r="R24" s="282">
        <f>VLOOKUP(O24,Tarifa,3)</f>
        <v>0.10879999999999999</v>
      </c>
      <c r="S24" s="281">
        <f>Q24*R24</f>
        <v>373.72799999999995</v>
      </c>
      <c r="T24" s="283">
        <f>VLOOKUP(O24,Tarifa,2)</f>
        <v>420.95</v>
      </c>
      <c r="U24" s="281">
        <f>S24+T24</f>
        <v>794.67799999999988</v>
      </c>
      <c r="V24" s="281">
        <f>VLOOKUP(O24,Credito,2)</f>
        <v>535.65</v>
      </c>
      <c r="W24" s="281">
        <f>ROUND((U24-V24)/30.4*I24,2)</f>
        <v>127.81</v>
      </c>
      <c r="X24" s="261">
        <f>-IF(W24&gt;0,0,0)</f>
        <v>0</v>
      </c>
      <c r="Y24" s="261">
        <f>IF(K24/15&lt;=SMG,0,IF(W24&lt;0,0,W24))</f>
        <v>127.81</v>
      </c>
      <c r="Z24" s="262">
        <v>0</v>
      </c>
      <c r="AA24" s="261">
        <f>SUM(Y24:Z24)</f>
        <v>127.81</v>
      </c>
      <c r="AB24" s="261">
        <f>M24+X24-AA24</f>
        <v>5431.19</v>
      </c>
      <c r="AC24" s="268"/>
      <c r="AI24" s="266"/>
    </row>
    <row r="25" spans="1:35" s="265" customFormat="1" ht="176.25" customHeight="1" x14ac:dyDescent="0.2">
      <c r="A25" s="250"/>
      <c r="B25" s="272" t="s">
        <v>486</v>
      </c>
      <c r="C25" s="267" t="s">
        <v>105</v>
      </c>
      <c r="D25" s="253" t="s">
        <v>487</v>
      </c>
      <c r="E25" s="254" t="s">
        <v>488</v>
      </c>
      <c r="F25" s="254" t="s">
        <v>489</v>
      </c>
      <c r="G25" s="255">
        <v>45754</v>
      </c>
      <c r="H25" s="256" t="s">
        <v>67</v>
      </c>
      <c r="I25" s="257">
        <v>15</v>
      </c>
      <c r="J25" s="258">
        <f t="shared" ref="J25" si="75">K25/I25</f>
        <v>543.73333333333335</v>
      </c>
      <c r="K25" s="259">
        <v>8156</v>
      </c>
      <c r="L25" s="260">
        <v>1631</v>
      </c>
      <c r="M25" s="261">
        <f>SUM(K25:L25)</f>
        <v>9787</v>
      </c>
      <c r="N25" s="281">
        <f>IF(K25/15&lt;=SMG,0,L25/2)</f>
        <v>815.5</v>
      </c>
      <c r="O25" s="296">
        <f>(K25+N25)/I25*30.4</f>
        <v>18182.240000000002</v>
      </c>
      <c r="P25" s="296">
        <f>VLOOKUP(O25,Tarifa,1)</f>
        <v>17533.650000000001</v>
      </c>
      <c r="Q25" s="281">
        <f>O25-P25</f>
        <v>648.59000000000015</v>
      </c>
      <c r="R25" s="282">
        <f>VLOOKUP(O25,Tarifa,3)</f>
        <v>0.21360000000000001</v>
      </c>
      <c r="S25" s="281">
        <f>Q25*R25</f>
        <v>138.53882400000003</v>
      </c>
      <c r="T25" s="283">
        <f>VLOOKUP(O25,Tarifa,2)</f>
        <v>1856.84</v>
      </c>
      <c r="U25" s="281">
        <f>S25+T25</f>
        <v>1995.3788239999999</v>
      </c>
      <c r="V25" s="281">
        <f>VLOOKUP(O25,Credito,2)</f>
        <v>0</v>
      </c>
      <c r="W25" s="281">
        <f>ROUND((U25-V25)/30.4*I25,2)</f>
        <v>984.56</v>
      </c>
      <c r="X25" s="261">
        <f>-IF(W25&gt;0,0,0)</f>
        <v>0</v>
      </c>
      <c r="Y25" s="261">
        <f>IF(K25/15&lt;=SMG,0,IF(W25&lt;0,0,W25))</f>
        <v>984.56</v>
      </c>
      <c r="Z25" s="262">
        <v>0</v>
      </c>
      <c r="AA25" s="261">
        <f>SUM(Y25:Z25)</f>
        <v>984.56</v>
      </c>
      <c r="AB25" s="261">
        <f>M25+X25-AA25</f>
        <v>8802.44</v>
      </c>
      <c r="AC25" s="268"/>
      <c r="AI25" s="266"/>
    </row>
    <row r="26" spans="1:35" s="52" customFormat="1" ht="39" customHeight="1" thickBot="1" x14ac:dyDescent="0.35">
      <c r="A26" s="446" t="s">
        <v>44</v>
      </c>
      <c r="B26" s="447"/>
      <c r="C26" s="447"/>
      <c r="D26" s="447"/>
      <c r="E26" s="447"/>
      <c r="F26" s="447"/>
      <c r="G26" s="447"/>
      <c r="H26" s="447"/>
      <c r="I26" s="447"/>
      <c r="J26" s="448"/>
      <c r="K26" s="198">
        <f t="shared" ref="K26:AB26" si="76">SUM(K9:K25)</f>
        <v>89255.5</v>
      </c>
      <c r="L26" s="198">
        <f t="shared" si="76"/>
        <v>2285</v>
      </c>
      <c r="M26" s="198">
        <f t="shared" si="76"/>
        <v>91540.5</v>
      </c>
      <c r="N26" s="199">
        <f t="shared" si="76"/>
        <v>1142.5</v>
      </c>
      <c r="O26" s="199">
        <f t="shared" si="76"/>
        <v>189519.67999999996</v>
      </c>
      <c r="P26" s="199">
        <f t="shared" si="76"/>
        <v>156183.04000000001</v>
      </c>
      <c r="Q26" s="199">
        <f t="shared" si="76"/>
        <v>33336.639999999985</v>
      </c>
      <c r="R26" s="199">
        <f t="shared" si="76"/>
        <v>2.0023999999999997</v>
      </c>
      <c r="S26" s="199">
        <f t="shared" si="76"/>
        <v>5120.1052346666656</v>
      </c>
      <c r="T26" s="199">
        <f t="shared" si="76"/>
        <v>14330.500000000002</v>
      </c>
      <c r="U26" s="199">
        <f t="shared" si="76"/>
        <v>19450.605234666662</v>
      </c>
      <c r="V26" s="199">
        <f t="shared" si="76"/>
        <v>535.65</v>
      </c>
      <c r="W26" s="199">
        <f t="shared" si="76"/>
        <v>8978.2400000000016</v>
      </c>
      <c r="X26" s="198">
        <f t="shared" si="76"/>
        <v>0</v>
      </c>
      <c r="Y26" s="198">
        <f t="shared" si="76"/>
        <v>8978.2400000000016</v>
      </c>
      <c r="Z26" s="198">
        <f t="shared" si="76"/>
        <v>0</v>
      </c>
      <c r="AA26" s="198">
        <f t="shared" si="76"/>
        <v>8978.2400000000016</v>
      </c>
      <c r="AB26" s="198">
        <f t="shared" si="76"/>
        <v>82562.260000000009</v>
      </c>
      <c r="AC26" s="108"/>
    </row>
    <row r="27" spans="1:35" s="52" customFormat="1" ht="26.25" customHeight="1" thickTop="1" x14ac:dyDescent="0.25">
      <c r="A27" s="103"/>
      <c r="B27" s="103"/>
      <c r="C27" s="103"/>
      <c r="D27" s="103"/>
      <c r="E27" s="103"/>
      <c r="F27" s="103"/>
      <c r="G27" s="103"/>
      <c r="H27" s="103"/>
      <c r="I27" s="103"/>
      <c r="J27" s="103"/>
      <c r="K27" s="104"/>
      <c r="L27" s="104"/>
      <c r="M27" s="104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4"/>
      <c r="Y27" s="104"/>
      <c r="Z27" s="104"/>
      <c r="AA27" s="104"/>
      <c r="AB27" s="104"/>
    </row>
    <row r="28" spans="1:35" s="52" customFormat="1" ht="26.25" customHeight="1" x14ac:dyDescent="0.25">
      <c r="A28" s="103"/>
      <c r="B28" s="103"/>
      <c r="C28" s="103"/>
      <c r="D28" s="103"/>
      <c r="E28" s="103"/>
      <c r="F28" s="103"/>
      <c r="G28" s="103"/>
      <c r="H28" s="103"/>
      <c r="I28" s="103"/>
      <c r="J28" s="103"/>
      <c r="K28" s="104"/>
      <c r="L28" s="104"/>
      <c r="M28" s="104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4"/>
      <c r="Y28" s="104"/>
      <c r="Z28" s="104"/>
      <c r="AA28" s="104"/>
      <c r="AB28" s="104"/>
    </row>
    <row r="29" spans="1:35" s="52" customFormat="1" ht="26.25" customHeight="1" x14ac:dyDescent="0.25">
      <c r="A29" s="103"/>
      <c r="B29" s="103"/>
      <c r="C29" s="103"/>
      <c r="D29" s="103"/>
      <c r="E29" s="103"/>
      <c r="F29" s="103"/>
      <c r="G29" s="103"/>
      <c r="H29" s="103"/>
      <c r="I29" s="103"/>
      <c r="J29" s="103"/>
      <c r="K29" s="104"/>
      <c r="L29" s="104"/>
      <c r="M29" s="104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4"/>
      <c r="Y29" s="104"/>
      <c r="Z29" s="104"/>
      <c r="AA29" s="104"/>
      <c r="AB29" s="104"/>
    </row>
    <row r="30" spans="1:35" s="52" customFormat="1" ht="26.25" customHeight="1" x14ac:dyDescent="0.25">
      <c r="A30" s="103"/>
      <c r="B30" s="103"/>
      <c r="C30" s="103"/>
      <c r="D30" s="103"/>
      <c r="E30" s="103"/>
      <c r="F30" s="103"/>
      <c r="G30" s="103"/>
      <c r="H30" s="103"/>
      <c r="I30" s="103"/>
      <c r="J30" s="103"/>
      <c r="K30" s="104"/>
      <c r="L30" s="104"/>
      <c r="M30" s="104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4"/>
      <c r="Y30" s="104"/>
      <c r="Z30" s="104"/>
      <c r="AA30" s="104"/>
      <c r="AB30" s="104"/>
    </row>
    <row r="31" spans="1:35" s="52" customFormat="1" ht="24.75" customHeight="1" x14ac:dyDescent="0.25">
      <c r="A31" s="103"/>
      <c r="B31" s="103"/>
      <c r="C31" s="103"/>
      <c r="D31" s="103"/>
      <c r="E31" s="103"/>
      <c r="F31" s="103"/>
      <c r="G31" s="103"/>
      <c r="H31" s="103"/>
      <c r="I31" s="103"/>
      <c r="J31" s="103"/>
      <c r="K31" s="104"/>
      <c r="L31" s="104"/>
      <c r="M31" s="104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4"/>
      <c r="Y31" s="104"/>
      <c r="Z31" s="104"/>
      <c r="AA31" s="104"/>
      <c r="AB31" s="104"/>
    </row>
    <row r="32" spans="1:35" s="52" customFormat="1" ht="14.25" x14ac:dyDescent="0.2"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</row>
    <row r="33" spans="2:29" s="52" customFormat="1" ht="18" x14ac:dyDescent="0.25">
      <c r="B33" s="91"/>
      <c r="C33" s="91"/>
      <c r="D33" s="203" t="s">
        <v>400</v>
      </c>
      <c r="E33" s="203"/>
      <c r="F33" s="203"/>
      <c r="G33" s="203"/>
      <c r="H33" s="203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203" t="s">
        <v>548</v>
      </c>
      <c r="Z33" s="108"/>
      <c r="AA33" s="108"/>
      <c r="AB33" s="108"/>
    </row>
    <row r="34" spans="2:29" s="52" customFormat="1" ht="18" x14ac:dyDescent="0.25">
      <c r="B34" s="91"/>
      <c r="C34" s="91"/>
      <c r="D34" s="203" t="s">
        <v>414</v>
      </c>
      <c r="E34" s="203"/>
      <c r="F34" s="203"/>
      <c r="G34" s="203"/>
      <c r="H34" s="203"/>
      <c r="I34" s="203"/>
      <c r="J34" s="203"/>
      <c r="K34" s="203"/>
      <c r="L34" s="203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203" t="s">
        <v>180</v>
      </c>
      <c r="Z34" s="108"/>
      <c r="AA34" s="203"/>
      <c r="AB34" s="203"/>
      <c r="AC34" s="61"/>
    </row>
    <row r="35" spans="2:29" s="52" customFormat="1" ht="14.25" x14ac:dyDescent="0.2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</row>
  </sheetData>
  <mergeCells count="11">
    <mergeCell ref="B17:AD17"/>
    <mergeCell ref="B18:AC18"/>
    <mergeCell ref="A26:J26"/>
    <mergeCell ref="C5:C7"/>
    <mergeCell ref="B16:AD16"/>
    <mergeCell ref="A1:AC1"/>
    <mergeCell ref="A2:AC2"/>
    <mergeCell ref="A3:AC3"/>
    <mergeCell ref="K5:M5"/>
    <mergeCell ref="P5:U5"/>
    <mergeCell ref="Y5:AA5"/>
  </mergeCells>
  <phoneticPr fontId="34" type="noConversion"/>
  <dataValidations count="1">
    <dataValidation allowBlank="1" showInputMessage="1" showErrorMessage="1" prompt="Captura el nombre asignado o el nombre como se le identifica a la plaza (ejem. Jefe de Ingresos, Secretario Particular, Oficial Mayor, etc.)" sqref="D23:F25 D20:F22 D13:G15 D14:G15"/>
  </dataValidations>
  <pageMargins left="0.27559055118110237" right="0.27559055118110237" top="0.35433070866141736" bottom="0.15748031496062992" header="0.31496062992125984" footer="0.31496062992125984"/>
  <pageSetup scale="36" orientation="landscape" horizontalDpi="4294967293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4"/>
  <sheetViews>
    <sheetView topLeftCell="B1" zoomScale="85" zoomScaleNormal="85" workbookViewId="0">
      <selection activeCell="L12" sqref="L12"/>
    </sheetView>
  </sheetViews>
  <sheetFormatPr baseColWidth="10" defaultColWidth="11.42578125" defaultRowHeight="12.75" x14ac:dyDescent="0.2"/>
  <cols>
    <col min="1" max="1" width="5.5703125" hidden="1" customWidth="1"/>
    <col min="2" max="2" width="13.140625" customWidth="1"/>
    <col min="3" max="3" width="10" customWidth="1"/>
    <col min="4" max="4" width="30.28515625" customWidth="1"/>
    <col min="5" max="5" width="24.5703125" customWidth="1"/>
    <col min="6" max="6" width="31" customWidth="1"/>
    <col min="7" max="7" width="16.42578125" customWidth="1"/>
    <col min="8" max="8" width="23.28515625" bestFit="1" customWidth="1"/>
    <col min="9" max="9" width="6.85546875" customWidth="1"/>
    <col min="10" max="10" width="10.7109375" hidden="1" customWidth="1"/>
    <col min="11" max="11" width="16.140625" customWidth="1"/>
    <col min="12" max="12" width="14.5703125" customWidth="1"/>
    <col min="13" max="13" width="16" customWidth="1"/>
    <col min="14" max="14" width="13.140625" hidden="1" customWidth="1"/>
    <col min="15" max="16" width="13" hidden="1" customWidth="1"/>
    <col min="17" max="17" width="14.5703125" hidden="1" customWidth="1"/>
    <col min="18" max="19" width="13.140625" hidden="1" customWidth="1"/>
    <col min="20" max="20" width="10.5703125" hidden="1" customWidth="1"/>
    <col min="21" max="21" width="10.42578125" hidden="1" customWidth="1"/>
    <col min="22" max="22" width="13.140625" hidden="1" customWidth="1"/>
    <col min="23" max="23" width="11.5703125" hidden="1" customWidth="1"/>
    <col min="24" max="24" width="8.5703125" customWidth="1"/>
    <col min="25" max="25" width="15.42578125" customWidth="1"/>
    <col min="26" max="26" width="12.7109375" customWidth="1"/>
    <col min="27" max="27" width="14.7109375" customWidth="1"/>
    <col min="28" max="28" width="16.28515625" customWidth="1"/>
    <col min="29" max="29" width="63.28515625" customWidth="1"/>
  </cols>
  <sheetData>
    <row r="1" spans="1:29" ht="18" x14ac:dyDescent="0.25">
      <c r="A1" s="460" t="s">
        <v>76</v>
      </c>
      <c r="B1" s="460"/>
      <c r="C1" s="460"/>
      <c r="D1" s="460"/>
      <c r="E1" s="460"/>
      <c r="F1" s="460"/>
      <c r="G1" s="460"/>
      <c r="H1" s="460"/>
      <c r="I1" s="460"/>
      <c r="J1" s="460"/>
      <c r="K1" s="460"/>
      <c r="L1" s="460"/>
      <c r="M1" s="460"/>
      <c r="N1" s="460"/>
      <c r="O1" s="460"/>
      <c r="P1" s="460"/>
      <c r="Q1" s="460"/>
      <c r="R1" s="460"/>
      <c r="S1" s="460"/>
      <c r="T1" s="460"/>
      <c r="U1" s="460"/>
      <c r="V1" s="460"/>
      <c r="W1" s="460"/>
      <c r="X1" s="460"/>
      <c r="Y1" s="460"/>
      <c r="Z1" s="460"/>
      <c r="AA1" s="460"/>
      <c r="AB1" s="460"/>
      <c r="AC1" s="460"/>
    </row>
    <row r="2" spans="1:29" ht="18" x14ac:dyDescent="0.25">
      <c r="A2" s="460" t="s">
        <v>64</v>
      </c>
      <c r="B2" s="460"/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  <c r="T2" s="460"/>
      <c r="U2" s="460"/>
      <c r="V2" s="460"/>
      <c r="W2" s="460"/>
      <c r="X2" s="460"/>
      <c r="Y2" s="460"/>
      <c r="Z2" s="460"/>
      <c r="AA2" s="460"/>
      <c r="AB2" s="460"/>
      <c r="AC2" s="460"/>
    </row>
    <row r="3" spans="1:29" ht="19.5" x14ac:dyDescent="0.25">
      <c r="A3" s="450" t="str">
        <f>PRESIDENCIA!A3</f>
        <v>SUELDO  DEL 15 AL 30 DE SEPTIEMBRE DE 2026</v>
      </c>
      <c r="B3" s="450"/>
      <c r="C3" s="450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  <c r="P3" s="450"/>
      <c r="Q3" s="450"/>
      <c r="R3" s="450"/>
      <c r="S3" s="450"/>
      <c r="T3" s="450"/>
      <c r="U3" s="450"/>
      <c r="V3" s="450"/>
      <c r="W3" s="450"/>
      <c r="X3" s="450"/>
      <c r="Y3" s="450"/>
      <c r="Z3" s="450"/>
      <c r="AA3" s="450"/>
      <c r="AB3" s="450"/>
      <c r="AC3" s="450"/>
    </row>
    <row r="4" spans="1:29" ht="24.75" customHeight="1" x14ac:dyDescent="0.2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</row>
    <row r="5" spans="1:29" s="52" customFormat="1" ht="12" x14ac:dyDescent="0.2">
      <c r="A5" s="48"/>
      <c r="B5" s="48"/>
      <c r="C5" s="48"/>
      <c r="D5" s="48"/>
      <c r="E5" s="48"/>
      <c r="F5" s="48"/>
      <c r="G5" s="48"/>
      <c r="H5" s="48"/>
      <c r="I5" s="49" t="s">
        <v>22</v>
      </c>
      <c r="J5" s="49" t="s">
        <v>5</v>
      </c>
      <c r="K5" s="473" t="s">
        <v>1</v>
      </c>
      <c r="L5" s="474"/>
      <c r="M5" s="475"/>
      <c r="N5" s="50" t="s">
        <v>25</v>
      </c>
      <c r="O5" s="51"/>
      <c r="P5" s="476" t="s">
        <v>8</v>
      </c>
      <c r="Q5" s="477"/>
      <c r="R5" s="477"/>
      <c r="S5" s="477"/>
      <c r="T5" s="477"/>
      <c r="U5" s="478"/>
      <c r="V5" s="50" t="s">
        <v>29</v>
      </c>
      <c r="W5" s="50" t="s">
        <v>9</v>
      </c>
      <c r="X5" s="49" t="s">
        <v>52</v>
      </c>
      <c r="Y5" s="479" t="s">
        <v>2</v>
      </c>
      <c r="Z5" s="480"/>
      <c r="AA5" s="481"/>
      <c r="AB5" s="49" t="s">
        <v>0</v>
      </c>
      <c r="AC5" s="48"/>
    </row>
    <row r="6" spans="1:29" s="52" customFormat="1" ht="24" x14ac:dyDescent="0.2">
      <c r="A6" s="53" t="s">
        <v>97</v>
      </c>
      <c r="B6" s="47" t="s">
        <v>91</v>
      </c>
      <c r="C6" s="47" t="s">
        <v>111</v>
      </c>
      <c r="D6" s="53" t="s">
        <v>21</v>
      </c>
      <c r="E6" s="53"/>
      <c r="F6" s="53"/>
      <c r="G6" s="53"/>
      <c r="H6" s="53"/>
      <c r="I6" s="54" t="s">
        <v>23</v>
      </c>
      <c r="J6" s="53" t="s">
        <v>24</v>
      </c>
      <c r="K6" s="49" t="s">
        <v>5</v>
      </c>
      <c r="L6" s="49" t="s">
        <v>58</v>
      </c>
      <c r="M6" s="49" t="s">
        <v>27</v>
      </c>
      <c r="N6" s="55" t="s">
        <v>26</v>
      </c>
      <c r="O6" s="51" t="s">
        <v>31</v>
      </c>
      <c r="P6" s="51" t="s">
        <v>11</v>
      </c>
      <c r="Q6" s="51" t="s">
        <v>33</v>
      </c>
      <c r="R6" s="51" t="s">
        <v>35</v>
      </c>
      <c r="S6" s="51" t="s">
        <v>36</v>
      </c>
      <c r="T6" s="86" t="s">
        <v>13</v>
      </c>
      <c r="U6" s="51" t="s">
        <v>9</v>
      </c>
      <c r="V6" s="55" t="s">
        <v>39</v>
      </c>
      <c r="W6" s="55" t="s">
        <v>40</v>
      </c>
      <c r="X6" s="53" t="s">
        <v>30</v>
      </c>
      <c r="Y6" s="49" t="s">
        <v>227</v>
      </c>
      <c r="Z6" s="49" t="s">
        <v>56</v>
      </c>
      <c r="AA6" s="49" t="s">
        <v>6</v>
      </c>
      <c r="AB6" s="53" t="s">
        <v>3</v>
      </c>
      <c r="AC6" s="53" t="s">
        <v>57</v>
      </c>
    </row>
    <row r="7" spans="1:29" s="52" customFormat="1" ht="12" x14ac:dyDescent="0.2">
      <c r="A7" s="53"/>
      <c r="B7" s="53"/>
      <c r="C7" s="53"/>
      <c r="D7" s="53"/>
      <c r="E7" s="53"/>
      <c r="F7" s="53"/>
      <c r="G7" s="53"/>
      <c r="H7" s="53"/>
      <c r="I7" s="53"/>
      <c r="J7" s="53"/>
      <c r="K7" s="53" t="s">
        <v>46</v>
      </c>
      <c r="L7" s="53" t="s">
        <v>59</v>
      </c>
      <c r="M7" s="53" t="s">
        <v>28</v>
      </c>
      <c r="N7" s="55" t="s">
        <v>42</v>
      </c>
      <c r="O7" s="50" t="s">
        <v>32</v>
      </c>
      <c r="P7" s="50" t="s">
        <v>12</v>
      </c>
      <c r="Q7" s="50" t="s">
        <v>34</v>
      </c>
      <c r="R7" s="50" t="s">
        <v>34</v>
      </c>
      <c r="S7" s="50" t="s">
        <v>37</v>
      </c>
      <c r="T7" s="87" t="s">
        <v>14</v>
      </c>
      <c r="U7" s="50" t="s">
        <v>38</v>
      </c>
      <c r="V7" s="55" t="s">
        <v>18</v>
      </c>
      <c r="W7" s="56" t="s">
        <v>112</v>
      </c>
      <c r="X7" s="53" t="s">
        <v>51</v>
      </c>
      <c r="Y7" s="53"/>
      <c r="Z7" s="53"/>
      <c r="AA7" s="53" t="s">
        <v>43</v>
      </c>
      <c r="AB7" s="53" t="s">
        <v>4</v>
      </c>
      <c r="AC7" s="57"/>
    </row>
    <row r="8" spans="1:29" s="4" customFormat="1" ht="39.75" customHeight="1" x14ac:dyDescent="0.25">
      <c r="A8" s="95"/>
      <c r="B8" s="112"/>
      <c r="C8" s="112"/>
      <c r="D8" s="175" t="s">
        <v>69</v>
      </c>
      <c r="E8" s="175" t="s">
        <v>92</v>
      </c>
      <c r="F8" s="175" t="s">
        <v>189</v>
      </c>
      <c r="G8" s="148" t="s">
        <v>229</v>
      </c>
      <c r="H8" s="175" t="s">
        <v>61</v>
      </c>
      <c r="I8" s="175"/>
      <c r="J8" s="175"/>
      <c r="K8" s="176">
        <f>SUM(K9:K25)</f>
        <v>53270.5</v>
      </c>
      <c r="L8" s="176">
        <f>SUM(L9:L25)</f>
        <v>3100</v>
      </c>
      <c r="M8" s="176">
        <f>SUM(M9:M25)</f>
        <v>54870.5</v>
      </c>
      <c r="N8" s="175"/>
      <c r="O8" s="175"/>
      <c r="P8" s="175"/>
      <c r="Q8" s="175"/>
      <c r="R8" s="175"/>
      <c r="S8" s="175"/>
      <c r="T8" s="178"/>
      <c r="U8" s="175"/>
      <c r="V8" s="175"/>
      <c r="W8" s="175"/>
      <c r="X8" s="176">
        <f>SUM(X9:X25)</f>
        <v>0</v>
      </c>
      <c r="Y8" s="176">
        <f>SUM(Y9:Y25)</f>
        <v>2552.2599999999998</v>
      </c>
      <c r="Z8" s="176">
        <f>SUM(Z9:Z25)</f>
        <v>0</v>
      </c>
      <c r="AA8" s="176">
        <f>SUM(AA9:AA25)</f>
        <v>2552.2599999999998</v>
      </c>
      <c r="AB8" s="176">
        <f>SUM(AB9:AB26)</f>
        <v>59134.03</v>
      </c>
      <c r="AC8" s="96"/>
    </row>
    <row r="9" spans="1:29" s="316" customFormat="1" ht="212.25" customHeight="1" x14ac:dyDescent="0.2">
      <c r="A9" s="314"/>
      <c r="B9" s="267" t="s">
        <v>143</v>
      </c>
      <c r="C9" s="267" t="s">
        <v>105</v>
      </c>
      <c r="D9" s="253" t="s">
        <v>140</v>
      </c>
      <c r="E9" s="254" t="s">
        <v>142</v>
      </c>
      <c r="F9" s="254" t="s">
        <v>201</v>
      </c>
      <c r="G9" s="255">
        <v>43512</v>
      </c>
      <c r="H9" s="256" t="s">
        <v>139</v>
      </c>
      <c r="I9" s="257">
        <v>15</v>
      </c>
      <c r="J9" s="258">
        <f>K9/I9</f>
        <v>373.2</v>
      </c>
      <c r="K9" s="259">
        <v>5598</v>
      </c>
      <c r="L9" s="260">
        <v>0</v>
      </c>
      <c r="M9" s="261">
        <f>SUM(K9:L9)</f>
        <v>5598</v>
      </c>
      <c r="N9" s="281">
        <f>IF(K9/15&lt;=SMG,0,L9/2)</f>
        <v>0</v>
      </c>
      <c r="O9" s="296">
        <f>(K9+N9)/I9*30.4</f>
        <v>11345.279999999999</v>
      </c>
      <c r="P9" s="296">
        <f>VLOOKUP(O9,Tarifa,1)</f>
        <v>7168.52</v>
      </c>
      <c r="Q9" s="281">
        <f>O9-P9</f>
        <v>4176.7599999999984</v>
      </c>
      <c r="R9" s="282">
        <f>VLOOKUP(O9,Tarifa,3)</f>
        <v>0.10879999999999999</v>
      </c>
      <c r="S9" s="281">
        <f>Q9*R9</f>
        <v>454.43148799999977</v>
      </c>
      <c r="T9" s="283">
        <f>VLOOKUP(O9,Tarifa,2)</f>
        <v>420.95</v>
      </c>
      <c r="U9" s="281">
        <f>S9+T9</f>
        <v>875.38148799999976</v>
      </c>
      <c r="V9" s="281">
        <f>VLOOKUP(O9,Credito,2)</f>
        <v>535.65</v>
      </c>
      <c r="W9" s="281">
        <f>ROUND((U9-V9)/30.4*I9,2)</f>
        <v>167.63</v>
      </c>
      <c r="X9" s="261">
        <f>-IF(W9&gt;0,0,0)</f>
        <v>0</v>
      </c>
      <c r="Y9" s="261">
        <f>IF(K9/15&lt;=SMG,0,IF(W9&lt;0,0,W9))</f>
        <v>167.63</v>
      </c>
      <c r="Z9" s="262">
        <v>0</v>
      </c>
      <c r="AA9" s="261">
        <f>SUM(Y9:Z9)</f>
        <v>167.63</v>
      </c>
      <c r="AB9" s="261">
        <f>M9+X9-AA9</f>
        <v>5430.37</v>
      </c>
      <c r="AC9" s="315"/>
    </row>
    <row r="10" spans="1:29" s="316" customFormat="1" ht="212.25" customHeight="1" x14ac:dyDescent="0.2">
      <c r="A10" s="314"/>
      <c r="B10" s="267" t="s">
        <v>221</v>
      </c>
      <c r="C10" s="267" t="s">
        <v>105</v>
      </c>
      <c r="D10" s="253" t="s">
        <v>223</v>
      </c>
      <c r="E10" s="263" t="s">
        <v>224</v>
      </c>
      <c r="F10" s="263" t="s">
        <v>225</v>
      </c>
      <c r="G10" s="306">
        <v>44743</v>
      </c>
      <c r="H10" s="256" t="s">
        <v>139</v>
      </c>
      <c r="I10" s="257">
        <v>15</v>
      </c>
      <c r="J10" s="258">
        <f>K10/I10</f>
        <v>373.2</v>
      </c>
      <c r="K10" s="259">
        <v>5598</v>
      </c>
      <c r="L10" s="260">
        <v>800</v>
      </c>
      <c r="M10" s="261">
        <f>SUM(K10:L10)</f>
        <v>6398</v>
      </c>
      <c r="N10" s="281">
        <f>IF(K10/15&lt;=SMG,0,L10/2)</f>
        <v>400</v>
      </c>
      <c r="O10" s="296">
        <f>(K10+N10)/I10*30.4</f>
        <v>12155.946666666667</v>
      </c>
      <c r="P10" s="296">
        <f>VLOOKUP(O10,Tarifa,1)</f>
        <v>7168.52</v>
      </c>
      <c r="Q10" s="281">
        <f>O10-P10</f>
        <v>4987.4266666666663</v>
      </c>
      <c r="R10" s="282">
        <f>VLOOKUP(O10,Tarifa,3)</f>
        <v>0.10879999999999999</v>
      </c>
      <c r="S10" s="281">
        <f>Q10*R10</f>
        <v>542.63202133333323</v>
      </c>
      <c r="T10" s="283">
        <f>VLOOKUP(O10,Tarifa,2)</f>
        <v>420.95</v>
      </c>
      <c r="U10" s="281">
        <f>S10+T10</f>
        <v>963.58202133333316</v>
      </c>
      <c r="V10" s="281">
        <f>VLOOKUP(O10,Credito,2)</f>
        <v>0</v>
      </c>
      <c r="W10" s="281">
        <f>ROUND((U10-V10)/30.4*I10,2)</f>
        <v>475.45</v>
      </c>
      <c r="X10" s="261">
        <f t="shared" ref="X10" si="0">-IF(W10&gt;0,0,0)</f>
        <v>0</v>
      </c>
      <c r="Y10" s="261">
        <f>IF(K10/15&lt;=SMG,0,IF(W10&lt;0,0,W10))</f>
        <v>475.45</v>
      </c>
      <c r="Z10" s="262">
        <v>0</v>
      </c>
      <c r="AA10" s="261">
        <f>SUM(Y10:Z10)</f>
        <v>475.45</v>
      </c>
      <c r="AB10" s="261">
        <f>M10+X10-AA10</f>
        <v>5922.55</v>
      </c>
      <c r="AC10" s="315"/>
    </row>
    <row r="11" spans="1:29" s="316" customFormat="1" ht="212.25" customHeight="1" x14ac:dyDescent="0.2">
      <c r="A11" s="314"/>
      <c r="B11" s="267" t="s">
        <v>94</v>
      </c>
      <c r="C11" s="267" t="s">
        <v>105</v>
      </c>
      <c r="D11" s="253" t="s">
        <v>70</v>
      </c>
      <c r="E11" s="254" t="s">
        <v>95</v>
      </c>
      <c r="F11" s="254" t="s">
        <v>191</v>
      </c>
      <c r="G11" s="255">
        <v>39448</v>
      </c>
      <c r="H11" s="256" t="s">
        <v>428</v>
      </c>
      <c r="I11" s="257">
        <v>15</v>
      </c>
      <c r="J11" s="258">
        <f>K11/I11</f>
        <v>373.2</v>
      </c>
      <c r="K11" s="259">
        <v>5598</v>
      </c>
      <c r="L11" s="260">
        <v>800</v>
      </c>
      <c r="M11" s="261">
        <f>SUM(K11:L11)</f>
        <v>6398</v>
      </c>
      <c r="N11" s="281">
        <f>IF(K11/15&lt;=SMG,0,L11/2)</f>
        <v>400</v>
      </c>
      <c r="O11" s="296">
        <f>(K11+N11)/I11*30.4</f>
        <v>12155.946666666667</v>
      </c>
      <c r="P11" s="296">
        <f>VLOOKUP(O11,Tarifa,1)</f>
        <v>7168.52</v>
      </c>
      <c r="Q11" s="281">
        <f>O11-P11</f>
        <v>4987.4266666666663</v>
      </c>
      <c r="R11" s="282">
        <f>VLOOKUP(O11,Tarifa,3)</f>
        <v>0.10879999999999999</v>
      </c>
      <c r="S11" s="281">
        <f>Q11*R11</f>
        <v>542.63202133333323</v>
      </c>
      <c r="T11" s="283">
        <f>VLOOKUP(O11,Tarifa,2)</f>
        <v>420.95</v>
      </c>
      <c r="U11" s="281">
        <f>S11+T11</f>
        <v>963.58202133333316</v>
      </c>
      <c r="V11" s="281">
        <f>VLOOKUP(O11,Credito,2)</f>
        <v>0</v>
      </c>
      <c r="W11" s="281">
        <f>ROUND((U11-V11)/30.4*I11,2)</f>
        <v>475.45</v>
      </c>
      <c r="X11" s="261">
        <f t="shared" ref="X11:X37" si="1">-IF(W11&gt;0,0,0)</f>
        <v>0</v>
      </c>
      <c r="Y11" s="261">
        <f>IF(K11/15&lt;=SMG,0,IF(W11&lt;0,0,W11))</f>
        <v>475.45</v>
      </c>
      <c r="Z11" s="262">
        <v>0</v>
      </c>
      <c r="AA11" s="261">
        <f>SUM(Y11:Z11)</f>
        <v>475.45</v>
      </c>
      <c r="AB11" s="261">
        <f>M11+X11-AA11</f>
        <v>5922.55</v>
      </c>
      <c r="AC11" s="315"/>
    </row>
    <row r="12" spans="1:29" s="316" customFormat="1" ht="212.25" customHeight="1" x14ac:dyDescent="0.2">
      <c r="A12" s="314"/>
      <c r="B12" s="272" t="s">
        <v>150</v>
      </c>
      <c r="C12" s="267" t="s">
        <v>105</v>
      </c>
      <c r="D12" s="273" t="s">
        <v>148</v>
      </c>
      <c r="E12" s="274" t="s">
        <v>149</v>
      </c>
      <c r="F12" s="274" t="s">
        <v>204</v>
      </c>
      <c r="G12" s="275">
        <v>43617</v>
      </c>
      <c r="H12" s="256" t="s">
        <v>428</v>
      </c>
      <c r="I12" s="257">
        <v>15</v>
      </c>
      <c r="J12" s="258">
        <f>K12/I12</f>
        <v>373.2</v>
      </c>
      <c r="K12" s="259">
        <v>5598</v>
      </c>
      <c r="L12" s="260">
        <v>0</v>
      </c>
      <c r="M12" s="261">
        <f>SUM(K12:L12)</f>
        <v>5598</v>
      </c>
      <c r="N12" s="281">
        <f>IF(K12/15&lt;=SMG,0,L12/2)</f>
        <v>0</v>
      </c>
      <c r="O12" s="296">
        <f>(K12+N12)/I12*30.4</f>
        <v>11345.279999999999</v>
      </c>
      <c r="P12" s="296">
        <f>VLOOKUP(O12,Tarifa,1)</f>
        <v>7168.52</v>
      </c>
      <c r="Q12" s="281">
        <f>O12-P12</f>
        <v>4176.7599999999984</v>
      </c>
      <c r="R12" s="282">
        <f>VLOOKUP(O12,Tarifa,3)</f>
        <v>0.10879999999999999</v>
      </c>
      <c r="S12" s="281">
        <f>Q12*R12</f>
        <v>454.43148799999977</v>
      </c>
      <c r="T12" s="283">
        <f>VLOOKUP(O12,Tarifa,2)</f>
        <v>420.95</v>
      </c>
      <c r="U12" s="281">
        <f>S12+T12</f>
        <v>875.38148799999976</v>
      </c>
      <c r="V12" s="281">
        <f>VLOOKUP(O12,Credito,2)</f>
        <v>535.65</v>
      </c>
      <c r="W12" s="281">
        <f>ROUND((U12-V12)/30.4*I12,2)</f>
        <v>167.63</v>
      </c>
      <c r="X12" s="261">
        <f t="shared" ref="X12:X13" si="2">-IF(W12&gt;0,0,0)</f>
        <v>0</v>
      </c>
      <c r="Y12" s="261">
        <f>IF(K12/15&lt;=SMG,0,IF(W12&lt;0,0,W12))</f>
        <v>167.63</v>
      </c>
      <c r="Z12" s="262">
        <v>0</v>
      </c>
      <c r="AA12" s="261">
        <f>SUM(Y12:Z12)</f>
        <v>167.63</v>
      </c>
      <c r="AB12" s="261">
        <f>M12+X12-AA12</f>
        <v>5430.37</v>
      </c>
      <c r="AC12" s="315"/>
    </row>
    <row r="13" spans="1:29" s="316" customFormat="1" ht="217.5" customHeight="1" x14ac:dyDescent="0.2">
      <c r="A13" s="314"/>
      <c r="B13" s="267" t="s">
        <v>117</v>
      </c>
      <c r="C13" s="267" t="s">
        <v>105</v>
      </c>
      <c r="D13" s="273" t="s">
        <v>116</v>
      </c>
      <c r="E13" s="274" t="s">
        <v>118</v>
      </c>
      <c r="F13" s="274" t="s">
        <v>195</v>
      </c>
      <c r="G13" s="313">
        <v>42948</v>
      </c>
      <c r="H13" s="256" t="s">
        <v>429</v>
      </c>
      <c r="I13" s="257">
        <v>15</v>
      </c>
      <c r="J13" s="258">
        <f>K13/I13</f>
        <v>455.13333333333333</v>
      </c>
      <c r="K13" s="259">
        <v>6827</v>
      </c>
      <c r="L13" s="260">
        <v>1500</v>
      </c>
      <c r="M13" s="259">
        <f>K13</f>
        <v>6827</v>
      </c>
      <c r="N13" s="281">
        <f>IF(K13/15&lt;=SMG,0,L13/2)</f>
        <v>750</v>
      </c>
      <c r="O13" s="296">
        <f>(K13+N13)/I13*30.4</f>
        <v>15356.053333333333</v>
      </c>
      <c r="P13" s="296">
        <f>VLOOKUP(O13,Tarifa,1)</f>
        <v>14644.65</v>
      </c>
      <c r="Q13" s="281">
        <f>O13-P13</f>
        <v>711.40333333333365</v>
      </c>
      <c r="R13" s="282">
        <f>VLOOKUP(O13,Tarifa,3)</f>
        <v>0.1792</v>
      </c>
      <c r="S13" s="281">
        <f>Q13*R13</f>
        <v>127.48347733333338</v>
      </c>
      <c r="T13" s="283">
        <f>VLOOKUP(O13,Tarifa,2)</f>
        <v>1339.14</v>
      </c>
      <c r="U13" s="281">
        <f>S13+T13</f>
        <v>1466.6234773333335</v>
      </c>
      <c r="V13" s="281">
        <f>VLOOKUP(O13,Credito,2)</f>
        <v>0</v>
      </c>
      <c r="W13" s="281">
        <f>ROUND((U13-V13)/30.4*I13,2)</f>
        <v>723.66</v>
      </c>
      <c r="X13" s="261">
        <f t="shared" si="2"/>
        <v>0</v>
      </c>
      <c r="Y13" s="261">
        <f t="shared" ref="Y13" si="3">IF(K13/15&lt;=SMG,0,IF(W13&lt;0,0,W13))</f>
        <v>723.66</v>
      </c>
      <c r="Z13" s="262">
        <v>0</v>
      </c>
      <c r="AA13" s="261">
        <f t="shared" ref="AA13" si="4">SUM(Y13:Z13)</f>
        <v>723.66</v>
      </c>
      <c r="AB13" s="261">
        <f>M13+X13-AA13+L13</f>
        <v>7603.34</v>
      </c>
      <c r="AC13" s="315"/>
    </row>
    <row r="14" spans="1:29" s="4" customFormat="1" ht="12.75" customHeight="1" x14ac:dyDescent="0.3">
      <c r="A14" s="194"/>
      <c r="B14" s="204"/>
      <c r="C14" s="204"/>
      <c r="D14" s="205"/>
      <c r="E14" s="206"/>
      <c r="F14" s="206"/>
      <c r="G14" s="207"/>
      <c r="H14" s="196"/>
      <c r="I14" s="208"/>
      <c r="J14" s="209"/>
      <c r="K14" s="210"/>
      <c r="L14" s="211"/>
      <c r="M14" s="212"/>
      <c r="N14" s="213"/>
      <c r="O14" s="213"/>
      <c r="P14" s="213"/>
      <c r="Q14" s="213"/>
      <c r="R14" s="214"/>
      <c r="S14" s="213"/>
      <c r="T14" s="215"/>
      <c r="U14" s="213"/>
      <c r="V14" s="213"/>
      <c r="W14" s="213"/>
      <c r="X14" s="212"/>
      <c r="Y14" s="212"/>
      <c r="Z14" s="216"/>
      <c r="AA14" s="212"/>
      <c r="AB14" s="212"/>
    </row>
    <row r="15" spans="1:29" s="4" customFormat="1" ht="24.75" customHeight="1" x14ac:dyDescent="0.3">
      <c r="A15" s="194"/>
      <c r="B15" s="204"/>
      <c r="C15" s="204"/>
      <c r="D15" s="205"/>
      <c r="E15" s="206"/>
      <c r="F15" s="206"/>
      <c r="G15" s="207"/>
      <c r="H15" s="196"/>
      <c r="I15" s="208"/>
      <c r="J15" s="209"/>
      <c r="K15" s="210"/>
      <c r="L15" s="211"/>
      <c r="M15" s="212"/>
      <c r="N15" s="213"/>
      <c r="O15" s="213"/>
      <c r="P15" s="213"/>
      <c r="Q15" s="213"/>
      <c r="R15" s="214"/>
      <c r="S15" s="213"/>
      <c r="T15" s="215"/>
      <c r="U15" s="213"/>
      <c r="V15" s="213"/>
      <c r="W15" s="213"/>
      <c r="X15" s="212"/>
      <c r="Y15" s="212"/>
      <c r="Z15" s="216"/>
      <c r="AA15" s="212"/>
      <c r="AB15" s="212"/>
    </row>
    <row r="16" spans="1:29" s="4" customFormat="1" ht="40.5" customHeight="1" x14ac:dyDescent="0.3">
      <c r="A16" s="194"/>
      <c r="B16" s="204"/>
      <c r="C16" s="204"/>
      <c r="D16" s="205"/>
      <c r="E16" s="206"/>
      <c r="F16" s="206"/>
      <c r="G16" s="207"/>
      <c r="H16" s="196"/>
      <c r="I16" s="208"/>
      <c r="J16" s="209"/>
      <c r="K16" s="210"/>
      <c r="L16" s="211"/>
      <c r="M16" s="212"/>
      <c r="N16" s="213"/>
      <c r="O16" s="213"/>
      <c r="P16" s="213"/>
      <c r="Q16" s="213"/>
      <c r="R16" s="214"/>
      <c r="S16" s="213"/>
      <c r="T16" s="215"/>
      <c r="U16" s="213"/>
      <c r="V16" s="213"/>
      <c r="W16" s="213"/>
      <c r="X16" s="212"/>
      <c r="Y16" s="212"/>
      <c r="Z16" s="216"/>
      <c r="AA16" s="212"/>
      <c r="AB16" s="212"/>
    </row>
    <row r="17" spans="1:30" s="4" customFormat="1" ht="27" customHeight="1" x14ac:dyDescent="0.25">
      <c r="A17" s="194"/>
      <c r="B17" s="460" t="s">
        <v>76</v>
      </c>
      <c r="C17" s="460"/>
      <c r="D17" s="460"/>
      <c r="E17" s="460"/>
      <c r="F17" s="460"/>
      <c r="G17" s="460"/>
      <c r="H17" s="460"/>
      <c r="I17" s="460"/>
      <c r="J17" s="460"/>
      <c r="K17" s="460"/>
      <c r="L17" s="460"/>
      <c r="M17" s="460"/>
      <c r="N17" s="460"/>
      <c r="O17" s="460"/>
      <c r="P17" s="460"/>
      <c r="Q17" s="460"/>
      <c r="R17" s="460"/>
      <c r="S17" s="460"/>
      <c r="T17" s="460"/>
      <c r="U17" s="460"/>
      <c r="V17" s="460"/>
      <c r="W17" s="460"/>
      <c r="X17" s="460"/>
      <c r="Y17" s="460"/>
      <c r="Z17" s="460"/>
      <c r="AA17" s="460"/>
      <c r="AB17" s="460"/>
      <c r="AC17" s="460"/>
      <c r="AD17" s="460"/>
    </row>
    <row r="18" spans="1:30" s="4" customFormat="1" ht="27" customHeight="1" x14ac:dyDescent="0.25">
      <c r="A18" s="194"/>
      <c r="B18" s="460" t="s">
        <v>64</v>
      </c>
      <c r="C18" s="460"/>
      <c r="D18" s="460"/>
      <c r="E18" s="460"/>
      <c r="F18" s="460"/>
      <c r="G18" s="460"/>
      <c r="H18" s="460"/>
      <c r="I18" s="460"/>
      <c r="J18" s="460"/>
      <c r="K18" s="460"/>
      <c r="L18" s="460"/>
      <c r="M18" s="460"/>
      <c r="N18" s="460"/>
      <c r="O18" s="460"/>
      <c r="P18" s="460"/>
      <c r="Q18" s="460"/>
      <c r="R18" s="460"/>
      <c r="S18" s="460"/>
      <c r="T18" s="460"/>
      <c r="U18" s="460"/>
      <c r="V18" s="460"/>
      <c r="W18" s="460"/>
      <c r="X18" s="460"/>
      <c r="Y18" s="460"/>
      <c r="Z18" s="460"/>
      <c r="AA18" s="460"/>
      <c r="AB18" s="460"/>
      <c r="AC18" s="460"/>
      <c r="AD18" s="460"/>
    </row>
    <row r="19" spans="1:30" s="4" customFormat="1" ht="27" customHeight="1" x14ac:dyDescent="0.3">
      <c r="A19" s="194"/>
      <c r="B19" s="483" t="str">
        <f>PRESIDENCIA!A3</f>
        <v>SUELDO  DEL 15 AL 30 DE SEPTIEMBRE DE 2026</v>
      </c>
      <c r="C19" s="483"/>
      <c r="D19" s="483"/>
      <c r="E19" s="483"/>
      <c r="F19" s="483"/>
      <c r="G19" s="483"/>
      <c r="H19" s="483"/>
      <c r="I19" s="483"/>
      <c r="J19" s="483"/>
      <c r="K19" s="483"/>
      <c r="L19" s="483"/>
      <c r="M19" s="483"/>
      <c r="N19" s="483"/>
      <c r="O19" s="483"/>
      <c r="P19" s="483"/>
      <c r="Q19" s="483"/>
      <c r="R19" s="483"/>
      <c r="S19" s="483"/>
      <c r="T19" s="483"/>
      <c r="U19" s="483"/>
      <c r="V19" s="483"/>
      <c r="W19" s="483"/>
      <c r="X19" s="483"/>
      <c r="Y19" s="483"/>
      <c r="Z19" s="483"/>
      <c r="AA19" s="483"/>
      <c r="AB19" s="483"/>
      <c r="AC19" s="483"/>
    </row>
    <row r="20" spans="1:30" s="4" customFormat="1" ht="18.75" customHeight="1" x14ac:dyDescent="0.3">
      <c r="A20" s="194"/>
      <c r="B20" s="204"/>
      <c r="C20" s="204"/>
      <c r="D20" s="205"/>
      <c r="E20" s="206"/>
      <c r="F20" s="206"/>
      <c r="G20" s="207"/>
      <c r="H20" s="196"/>
      <c r="I20" s="208"/>
      <c r="J20" s="209"/>
      <c r="K20" s="210"/>
      <c r="L20" s="211"/>
      <c r="M20" s="212"/>
      <c r="N20" s="213"/>
      <c r="O20" s="213"/>
      <c r="P20" s="213"/>
      <c r="Q20" s="213"/>
      <c r="R20" s="214"/>
      <c r="S20" s="213"/>
      <c r="T20" s="215"/>
      <c r="U20" s="213"/>
      <c r="V20" s="213"/>
      <c r="W20" s="213"/>
      <c r="X20" s="212"/>
      <c r="Y20" s="212"/>
      <c r="Z20" s="216"/>
      <c r="AA20" s="212"/>
      <c r="AB20" s="212"/>
    </row>
    <row r="21" spans="1:30" s="316" customFormat="1" ht="166.5" customHeight="1" x14ac:dyDescent="0.2">
      <c r="A21" s="317"/>
      <c r="B21" s="318" t="s">
        <v>350</v>
      </c>
      <c r="C21" s="318" t="s">
        <v>105</v>
      </c>
      <c r="D21" s="319" t="s">
        <v>340</v>
      </c>
      <c r="E21" s="320" t="s">
        <v>351</v>
      </c>
      <c r="F21" s="320" t="s">
        <v>352</v>
      </c>
      <c r="G21" s="321">
        <v>45566</v>
      </c>
      <c r="H21" s="322" t="s">
        <v>93</v>
      </c>
      <c r="I21" s="257">
        <v>15</v>
      </c>
      <c r="J21" s="258">
        <f t="shared" ref="J21:J24" si="5">K21/I21</f>
        <v>327</v>
      </c>
      <c r="K21" s="323">
        <v>4905</v>
      </c>
      <c r="L21" s="324">
        <v>0</v>
      </c>
      <c r="M21" s="325">
        <f t="shared" ref="M21" si="6">SUM(K21:L21)</f>
        <v>4905</v>
      </c>
      <c r="N21" s="281">
        <f>IF(K21/15&lt;=SMG,0,L21/2)</f>
        <v>0</v>
      </c>
      <c r="O21" s="296">
        <f>(K21+N21)/I21*30.4</f>
        <v>9940.7999999999993</v>
      </c>
      <c r="P21" s="296">
        <f>VLOOKUP(O21,Tarifa,1)</f>
        <v>7168.52</v>
      </c>
      <c r="Q21" s="281">
        <f>O21-P21</f>
        <v>2772.2799999999988</v>
      </c>
      <c r="R21" s="282">
        <f>VLOOKUP(O21,Tarifa,3)</f>
        <v>0.10879999999999999</v>
      </c>
      <c r="S21" s="281">
        <f>Q21*R21</f>
        <v>301.62406399999986</v>
      </c>
      <c r="T21" s="283">
        <f>VLOOKUP(O21,Tarifa,2)</f>
        <v>420.95</v>
      </c>
      <c r="U21" s="281">
        <f>S21+T21</f>
        <v>722.57406399999991</v>
      </c>
      <c r="V21" s="281">
        <f>VLOOKUP(O21,Credito,2)</f>
        <v>535.65</v>
      </c>
      <c r="W21" s="281">
        <f>ROUND((U21-V21)/30.4*I21,2)</f>
        <v>92.23</v>
      </c>
      <c r="X21" s="325">
        <f t="shared" ref="X21:X22" si="7">-IF(W21&gt;0,0,0)</f>
        <v>0</v>
      </c>
      <c r="Y21" s="325">
        <f t="shared" ref="Y21:Y22" si="8">IF(K21/15&lt;=SMG,0,IF(W21&lt;0,0,W21))</f>
        <v>92.23</v>
      </c>
      <c r="Z21" s="326">
        <v>0</v>
      </c>
      <c r="AA21" s="325">
        <f t="shared" ref="AA21" si="9">SUM(Y21:Z21)</f>
        <v>92.23</v>
      </c>
      <c r="AB21" s="325">
        <f t="shared" ref="AB21" si="10">M21+X21-AA21</f>
        <v>4812.7700000000004</v>
      </c>
      <c r="AC21" s="327"/>
    </row>
    <row r="22" spans="1:30" s="316" customFormat="1" ht="166.5" customHeight="1" x14ac:dyDescent="0.2">
      <c r="A22" s="317"/>
      <c r="B22" s="267" t="s">
        <v>249</v>
      </c>
      <c r="C22" s="267" t="s">
        <v>105</v>
      </c>
      <c r="D22" s="273" t="s">
        <v>248</v>
      </c>
      <c r="E22" s="274" t="s">
        <v>250</v>
      </c>
      <c r="F22" s="274" t="s">
        <v>251</v>
      </c>
      <c r="G22" s="313">
        <v>45123</v>
      </c>
      <c r="H22" s="256" t="s">
        <v>247</v>
      </c>
      <c r="I22" s="257">
        <v>15</v>
      </c>
      <c r="J22" s="258">
        <f t="shared" si="5"/>
        <v>314.23333333333335</v>
      </c>
      <c r="K22" s="259">
        <v>4713.5</v>
      </c>
      <c r="L22" s="260">
        <v>0</v>
      </c>
      <c r="M22" s="261">
        <f>SUM(K22:L22)</f>
        <v>4713.5</v>
      </c>
      <c r="N22" s="281">
        <f>IF(K22/15&lt;=SMG,0,L22/2)</f>
        <v>0</v>
      </c>
      <c r="O22" s="296">
        <f>(K22+N22)/I22*30.4</f>
        <v>9552.6933333333327</v>
      </c>
      <c r="P22" s="296">
        <f>VLOOKUP(O22,Tarifa,1)</f>
        <v>7168.52</v>
      </c>
      <c r="Q22" s="281">
        <f>O22-P22</f>
        <v>2384.1733333333323</v>
      </c>
      <c r="R22" s="282">
        <f>VLOOKUP(O22,Tarifa,3)</f>
        <v>0.10879999999999999</v>
      </c>
      <c r="S22" s="281">
        <f>Q22*R22</f>
        <v>259.39805866666654</v>
      </c>
      <c r="T22" s="283">
        <f>VLOOKUP(O22,Tarifa,2)</f>
        <v>420.95</v>
      </c>
      <c r="U22" s="281">
        <f>S22+T22</f>
        <v>680.34805866666647</v>
      </c>
      <c r="V22" s="281">
        <f>VLOOKUP(O22,Credito,2)</f>
        <v>535.65</v>
      </c>
      <c r="W22" s="281">
        <f>ROUND((U22-V22)/30.4*I22,2)</f>
        <v>71.400000000000006</v>
      </c>
      <c r="X22" s="261">
        <f t="shared" si="7"/>
        <v>0</v>
      </c>
      <c r="Y22" s="261">
        <f t="shared" si="8"/>
        <v>0</v>
      </c>
      <c r="Z22" s="262">
        <v>0</v>
      </c>
      <c r="AA22" s="261">
        <f>SUM(Y22:Z22)</f>
        <v>0</v>
      </c>
      <c r="AB22" s="261">
        <f>M22+X22-AA22</f>
        <v>4713.5</v>
      </c>
      <c r="AC22" s="327"/>
    </row>
    <row r="23" spans="1:30" s="316" customFormat="1" ht="166.5" customHeight="1" x14ac:dyDescent="0.2">
      <c r="A23" s="314"/>
      <c r="B23" s="267" t="s">
        <v>151</v>
      </c>
      <c r="C23" s="267" t="s">
        <v>105</v>
      </c>
      <c r="D23" s="273" t="s">
        <v>152</v>
      </c>
      <c r="E23" s="274" t="s">
        <v>153</v>
      </c>
      <c r="F23" s="274" t="s">
        <v>205</v>
      </c>
      <c r="G23" s="313">
        <v>43709</v>
      </c>
      <c r="H23" s="256" t="s">
        <v>182</v>
      </c>
      <c r="I23" s="257">
        <v>15</v>
      </c>
      <c r="J23" s="258">
        <f t="shared" si="5"/>
        <v>296.66666666666669</v>
      </c>
      <c r="K23" s="259">
        <v>4450</v>
      </c>
      <c r="L23" s="260">
        <v>0</v>
      </c>
      <c r="M23" s="261">
        <f>SUM(K23:L23)</f>
        <v>4450</v>
      </c>
      <c r="N23" s="281">
        <f>IF(K23/15&lt;=SMG,0,L23/2)</f>
        <v>0</v>
      </c>
      <c r="O23" s="296">
        <f>(K23+N23)/I23*30.4</f>
        <v>9018.6666666666661</v>
      </c>
      <c r="P23" s="296">
        <f>VLOOKUP(O23,Tarifa,1)</f>
        <v>7168.52</v>
      </c>
      <c r="Q23" s="281">
        <f>O23-P23</f>
        <v>1850.1466666666656</v>
      </c>
      <c r="R23" s="282">
        <f>VLOOKUP(O23,Tarifa,3)</f>
        <v>0.10879999999999999</v>
      </c>
      <c r="S23" s="281">
        <f>Q23*R23</f>
        <v>201.29595733333321</v>
      </c>
      <c r="T23" s="283">
        <f>VLOOKUP(O23,Tarifa,2)</f>
        <v>420.95</v>
      </c>
      <c r="U23" s="281">
        <f>S23+T23</f>
        <v>622.24595733333319</v>
      </c>
      <c r="V23" s="281">
        <f>VLOOKUP(O23,Credito,2)</f>
        <v>535.65</v>
      </c>
      <c r="W23" s="281">
        <f>ROUND((U23-V23)/30.4*I23,2)</f>
        <v>42.73</v>
      </c>
      <c r="X23" s="261">
        <f t="shared" si="1"/>
        <v>0</v>
      </c>
      <c r="Y23" s="261">
        <f>IF(K23/15&lt;=SMG,0,IF(W23&lt;0,0,W23))</f>
        <v>0</v>
      </c>
      <c r="Z23" s="262">
        <v>0</v>
      </c>
      <c r="AA23" s="261">
        <f>SUM(Y23:Z23)</f>
        <v>0</v>
      </c>
      <c r="AB23" s="261">
        <f>M23+X23-AA23</f>
        <v>4450</v>
      </c>
      <c r="AC23" s="315"/>
    </row>
    <row r="24" spans="1:30" s="316" customFormat="1" ht="166.5" customHeight="1" x14ac:dyDescent="0.2">
      <c r="A24" s="314"/>
      <c r="B24" s="272" t="s">
        <v>186</v>
      </c>
      <c r="C24" s="267" t="s">
        <v>105</v>
      </c>
      <c r="D24" s="253" t="s">
        <v>175</v>
      </c>
      <c r="E24" s="254" t="s">
        <v>176</v>
      </c>
      <c r="F24" s="254" t="s">
        <v>194</v>
      </c>
      <c r="G24" s="255">
        <v>44473</v>
      </c>
      <c r="H24" s="256" t="s">
        <v>339</v>
      </c>
      <c r="I24" s="257">
        <v>15</v>
      </c>
      <c r="J24" s="258">
        <f t="shared" si="5"/>
        <v>281.13333333333333</v>
      </c>
      <c r="K24" s="259">
        <v>4217</v>
      </c>
      <c r="L24" s="260">
        <v>0</v>
      </c>
      <c r="M24" s="261">
        <f>SUM(K24:L24)</f>
        <v>4217</v>
      </c>
      <c r="N24" s="281">
        <f>IF(K24/15&lt;=SMG,0,L24/2)</f>
        <v>0</v>
      </c>
      <c r="O24" s="296">
        <f>(K24+N24)/I24*30.4</f>
        <v>8546.4533333333329</v>
      </c>
      <c r="P24" s="296">
        <f>VLOOKUP(O24,Tarifa,1)</f>
        <v>7168.52</v>
      </c>
      <c r="Q24" s="281">
        <f>O24-P24</f>
        <v>1377.9333333333325</v>
      </c>
      <c r="R24" s="282">
        <f>VLOOKUP(O24,Tarifa,3)</f>
        <v>0.10879999999999999</v>
      </c>
      <c r="S24" s="281">
        <f>Q24*R24</f>
        <v>149.91914666666656</v>
      </c>
      <c r="T24" s="283">
        <f>VLOOKUP(O24,Tarifa,2)</f>
        <v>420.95</v>
      </c>
      <c r="U24" s="281">
        <f>S24+T24</f>
        <v>570.86914666666655</v>
      </c>
      <c r="V24" s="281">
        <f>VLOOKUP(O24,Credito,2)</f>
        <v>535.65</v>
      </c>
      <c r="W24" s="281">
        <f>ROUND((U24-V24)/30.4*I24,2)</f>
        <v>17.38</v>
      </c>
      <c r="X24" s="261">
        <f>-IF(W24&gt;0,0,0)</f>
        <v>0</v>
      </c>
      <c r="Y24" s="261">
        <f t="shared" ref="Y24:Y25" si="11">IF(K24/15&lt;=SMG,0,IF(W24&lt;0,0,W24))</f>
        <v>0</v>
      </c>
      <c r="Z24" s="262">
        <v>0</v>
      </c>
      <c r="AA24" s="261">
        <f>SUM(Y24:Z24)</f>
        <v>0</v>
      </c>
      <c r="AB24" s="261">
        <f>M24+X24-AA24</f>
        <v>4217</v>
      </c>
      <c r="AC24" s="315"/>
    </row>
    <row r="25" spans="1:30" s="316" customFormat="1" ht="166.5" customHeight="1" x14ac:dyDescent="0.2">
      <c r="A25" s="314"/>
      <c r="B25" s="272" t="s">
        <v>433</v>
      </c>
      <c r="C25" s="267" t="s">
        <v>105</v>
      </c>
      <c r="D25" s="253" t="s">
        <v>434</v>
      </c>
      <c r="E25" s="254" t="s">
        <v>435</v>
      </c>
      <c r="F25" s="254" t="s">
        <v>436</v>
      </c>
      <c r="G25" s="255">
        <v>45673</v>
      </c>
      <c r="H25" s="256" t="s">
        <v>317</v>
      </c>
      <c r="I25" s="257">
        <v>15</v>
      </c>
      <c r="J25" s="258">
        <f>K25/I25</f>
        <v>384.4</v>
      </c>
      <c r="K25" s="259">
        <v>5766</v>
      </c>
      <c r="L25" s="260">
        <v>0</v>
      </c>
      <c r="M25" s="261">
        <f t="shared" ref="M25" si="12">SUM(K25:L25)</f>
        <v>5766</v>
      </c>
      <c r="N25" s="281">
        <f t="shared" ref="N25" si="13">IF(K25/15&lt;=SMG,0,L25/2)</f>
        <v>0</v>
      </c>
      <c r="O25" s="296">
        <f t="shared" ref="O25" si="14">(K25+N25)/I25*30.4</f>
        <v>11685.759999999998</v>
      </c>
      <c r="P25" s="296">
        <f t="shared" ref="P25" si="15">VLOOKUP(O25,Tarifa,1)</f>
        <v>7168.52</v>
      </c>
      <c r="Q25" s="281">
        <f t="shared" ref="Q25" si="16">O25-P25</f>
        <v>4517.239999999998</v>
      </c>
      <c r="R25" s="282">
        <f t="shared" ref="R25" si="17">VLOOKUP(O25,Tarifa,3)</f>
        <v>0.10879999999999999</v>
      </c>
      <c r="S25" s="281">
        <f t="shared" ref="S25" si="18">Q25*R25</f>
        <v>491.47571199999976</v>
      </c>
      <c r="T25" s="283">
        <f t="shared" ref="T25" si="19">VLOOKUP(O25,Tarifa,2)</f>
        <v>420.95</v>
      </c>
      <c r="U25" s="281">
        <f t="shared" ref="U25" si="20">S25+T25</f>
        <v>912.42571199999975</v>
      </c>
      <c r="V25" s="281">
        <f t="shared" ref="V25" si="21">VLOOKUP(O25,Credito,2)</f>
        <v>0</v>
      </c>
      <c r="W25" s="281">
        <f t="shared" ref="W25" si="22">ROUND((U25-V25)/30.4*I25,2)</f>
        <v>450.21</v>
      </c>
      <c r="X25" s="261">
        <f t="shared" ref="X25" si="23">-IF(W25&gt;0,0,0)</f>
        <v>0</v>
      </c>
      <c r="Y25" s="261">
        <f t="shared" si="11"/>
        <v>450.21</v>
      </c>
      <c r="Z25" s="262">
        <v>0</v>
      </c>
      <c r="AA25" s="261">
        <f t="shared" ref="AA25" si="24">SUM(Y25:Z25)</f>
        <v>450.21</v>
      </c>
      <c r="AB25" s="261">
        <f t="shared" ref="AB25" si="25">M25+X25-AA25</f>
        <v>5315.79</v>
      </c>
      <c r="AC25" s="315"/>
    </row>
    <row r="26" spans="1:30" s="316" customFormat="1" ht="166.5" customHeight="1" x14ac:dyDescent="0.2">
      <c r="A26" s="378"/>
      <c r="B26" s="272" t="s">
        <v>523</v>
      </c>
      <c r="C26" s="267" t="s">
        <v>105</v>
      </c>
      <c r="D26" s="253" t="s">
        <v>519</v>
      </c>
      <c r="E26" s="254" t="s">
        <v>520</v>
      </c>
      <c r="F26" s="254" t="s">
        <v>521</v>
      </c>
      <c r="G26" s="255">
        <v>45901</v>
      </c>
      <c r="H26" s="256" t="s">
        <v>317</v>
      </c>
      <c r="I26" s="257">
        <v>15</v>
      </c>
      <c r="J26" s="258">
        <f>K26/I26</f>
        <v>384.4</v>
      </c>
      <c r="K26" s="259">
        <v>5766</v>
      </c>
      <c r="L26" s="260">
        <v>0</v>
      </c>
      <c r="M26" s="261">
        <f t="shared" ref="M26" si="26">SUM(K26:L26)</f>
        <v>5766</v>
      </c>
      <c r="N26" s="281">
        <f t="shared" ref="N26" si="27">IF(K26/15&lt;=SMG,0,L26/2)</f>
        <v>0</v>
      </c>
      <c r="O26" s="296">
        <f t="shared" ref="O26" si="28">(K26+N26)/I26*30.4</f>
        <v>11685.759999999998</v>
      </c>
      <c r="P26" s="296">
        <f t="shared" ref="P26" si="29">VLOOKUP(O26,Tarifa,1)</f>
        <v>7168.52</v>
      </c>
      <c r="Q26" s="281">
        <f t="shared" ref="Q26" si="30">O26-P26</f>
        <v>4517.239999999998</v>
      </c>
      <c r="R26" s="282">
        <f t="shared" ref="R26" si="31">VLOOKUP(O26,Tarifa,3)</f>
        <v>0.10879999999999999</v>
      </c>
      <c r="S26" s="281">
        <f t="shared" ref="S26" si="32">Q26*R26</f>
        <v>491.47571199999976</v>
      </c>
      <c r="T26" s="283">
        <f t="shared" ref="T26" si="33">VLOOKUP(O26,Tarifa,2)</f>
        <v>420.95</v>
      </c>
      <c r="U26" s="281">
        <f t="shared" ref="U26" si="34">S26+T26</f>
        <v>912.42571199999975</v>
      </c>
      <c r="V26" s="281">
        <f t="shared" ref="V26" si="35">VLOOKUP(O26,Credito,2)</f>
        <v>0</v>
      </c>
      <c r="W26" s="281">
        <f t="shared" ref="W26" si="36">ROUND((U26-V26)/30.4*I26,2)</f>
        <v>450.21</v>
      </c>
      <c r="X26" s="261">
        <f t="shared" ref="X26" si="37">-IF(W26&gt;0,0,0)</f>
        <v>0</v>
      </c>
      <c r="Y26" s="261">
        <f t="shared" ref="Y26" si="38">IF(K26/15&lt;=SMG,0,IF(W26&lt;0,0,W26))</f>
        <v>450.21</v>
      </c>
      <c r="Z26" s="262">
        <v>0</v>
      </c>
      <c r="AA26" s="261">
        <f t="shared" ref="AA26" si="39">SUM(Y26:Z26)</f>
        <v>450.21</v>
      </c>
      <c r="AB26" s="261">
        <f t="shared" ref="AB26" si="40">M26+X26-AA26</f>
        <v>5315.79</v>
      </c>
      <c r="AC26" s="315"/>
    </row>
    <row r="27" spans="1:30" s="316" customFormat="1" ht="166.5" customHeight="1" x14ac:dyDescent="0.2">
      <c r="A27" s="378"/>
      <c r="B27" s="366"/>
      <c r="C27" s="367"/>
      <c r="D27" s="368"/>
      <c r="E27" s="369"/>
      <c r="F27" s="369"/>
      <c r="G27" s="370"/>
      <c r="H27" s="371"/>
      <c r="I27" s="372"/>
      <c r="J27" s="373"/>
      <c r="K27" s="374"/>
      <c r="L27" s="375"/>
      <c r="M27" s="376"/>
      <c r="N27" s="358"/>
      <c r="O27" s="359"/>
      <c r="P27" s="359"/>
      <c r="Q27" s="358"/>
      <c r="R27" s="360"/>
      <c r="S27" s="358"/>
      <c r="T27" s="361"/>
      <c r="U27" s="358"/>
      <c r="V27" s="358"/>
      <c r="W27" s="358"/>
      <c r="X27" s="376"/>
      <c r="Y27" s="376"/>
      <c r="Z27" s="377"/>
      <c r="AA27" s="376"/>
      <c r="AB27" s="376"/>
    </row>
    <row r="28" spans="1:30" s="316" customFormat="1" ht="63" customHeight="1" x14ac:dyDescent="0.2">
      <c r="A28" s="378"/>
      <c r="B28" s="366"/>
      <c r="C28" s="367"/>
      <c r="D28" s="368"/>
      <c r="E28" s="369"/>
      <c r="F28" s="369"/>
      <c r="G28" s="370"/>
      <c r="H28" s="371"/>
      <c r="I28" s="372"/>
      <c r="J28" s="373"/>
      <c r="K28" s="374"/>
      <c r="L28" s="375"/>
      <c r="M28" s="376"/>
      <c r="N28" s="358"/>
      <c r="O28" s="359"/>
      <c r="P28" s="359"/>
      <c r="Q28" s="358"/>
      <c r="R28" s="360"/>
      <c r="S28" s="358"/>
      <c r="T28" s="361"/>
      <c r="U28" s="358"/>
      <c r="V28" s="358"/>
      <c r="W28" s="358"/>
      <c r="X28" s="376"/>
      <c r="Y28" s="376"/>
      <c r="Z28" s="377"/>
      <c r="AA28" s="376"/>
      <c r="AB28" s="376"/>
    </row>
    <row r="29" spans="1:30" s="4" customFormat="1" ht="34.5" customHeight="1" x14ac:dyDescent="0.25">
      <c r="A29" s="235"/>
      <c r="B29" s="460" t="s">
        <v>76</v>
      </c>
      <c r="C29" s="460"/>
      <c r="D29" s="460"/>
      <c r="E29" s="460"/>
      <c r="F29" s="460"/>
      <c r="G29" s="460"/>
      <c r="H29" s="460"/>
      <c r="I29" s="460"/>
      <c r="J29" s="460"/>
      <c r="K29" s="460"/>
      <c r="L29" s="460"/>
      <c r="M29" s="460"/>
      <c r="N29" s="460"/>
      <c r="O29" s="460"/>
      <c r="P29" s="460"/>
      <c r="Q29" s="460"/>
      <c r="R29" s="460"/>
      <c r="S29" s="460"/>
      <c r="T29" s="460"/>
      <c r="U29" s="460"/>
      <c r="V29" s="460"/>
      <c r="W29" s="460"/>
      <c r="X29" s="460"/>
      <c r="Y29" s="460"/>
      <c r="Z29" s="460"/>
      <c r="AA29" s="460"/>
      <c r="AB29" s="460"/>
      <c r="AC29" s="460"/>
      <c r="AD29" s="460"/>
    </row>
    <row r="30" spans="1:30" s="4" customFormat="1" ht="27" customHeight="1" x14ac:dyDescent="0.25">
      <c r="A30" s="235"/>
      <c r="B30" s="460" t="s">
        <v>64</v>
      </c>
      <c r="C30" s="460"/>
      <c r="D30" s="460"/>
      <c r="E30" s="460"/>
      <c r="F30" s="460"/>
      <c r="G30" s="460"/>
      <c r="H30" s="460"/>
      <c r="I30" s="460"/>
      <c r="J30" s="460"/>
      <c r="K30" s="460"/>
      <c r="L30" s="460"/>
      <c r="M30" s="460"/>
      <c r="N30" s="460"/>
      <c r="O30" s="460"/>
      <c r="P30" s="460"/>
      <c r="Q30" s="460"/>
      <c r="R30" s="460"/>
      <c r="S30" s="460"/>
      <c r="T30" s="460"/>
      <c r="U30" s="460"/>
      <c r="V30" s="460"/>
      <c r="W30" s="460"/>
      <c r="X30" s="460"/>
      <c r="Y30" s="460"/>
      <c r="Z30" s="460"/>
      <c r="AA30" s="460"/>
      <c r="AB30" s="460"/>
      <c r="AC30" s="460"/>
      <c r="AD30" s="460"/>
    </row>
    <row r="31" spans="1:30" s="4" customFormat="1" ht="24" customHeight="1" x14ac:dyDescent="0.25">
      <c r="A31" s="235"/>
      <c r="B31" s="450" t="str">
        <f>PRESIDENCIA!A3</f>
        <v>SUELDO  DEL 15 AL 30 DE SEPTIEMBRE DE 2026</v>
      </c>
      <c r="C31" s="450"/>
      <c r="D31" s="450"/>
      <c r="E31" s="450"/>
      <c r="F31" s="450"/>
      <c r="G31" s="450"/>
      <c r="H31" s="450"/>
      <c r="I31" s="450"/>
      <c r="J31" s="450"/>
      <c r="K31" s="450"/>
      <c r="L31" s="450"/>
      <c r="M31" s="450"/>
      <c r="N31" s="450"/>
      <c r="O31" s="450"/>
      <c r="P31" s="450"/>
      <c r="Q31" s="450"/>
      <c r="R31" s="450"/>
      <c r="S31" s="450"/>
      <c r="T31" s="450"/>
      <c r="U31" s="450"/>
      <c r="V31" s="450"/>
      <c r="W31" s="450"/>
      <c r="X31" s="450"/>
      <c r="Y31" s="450"/>
      <c r="Z31" s="450"/>
      <c r="AA31" s="450"/>
      <c r="AB31" s="450"/>
      <c r="AC31" s="450"/>
      <c r="AD31" s="450"/>
    </row>
    <row r="32" spans="1:30" s="4" customFormat="1" ht="23.25" customHeight="1" x14ac:dyDescent="0.3">
      <c r="A32" s="235"/>
      <c r="B32" s="233"/>
      <c r="C32" s="204"/>
      <c r="D32" s="196"/>
      <c r="E32" s="197"/>
      <c r="F32" s="197"/>
      <c r="G32" s="239"/>
      <c r="H32" s="196"/>
      <c r="I32" s="208"/>
      <c r="J32" s="209"/>
      <c r="K32" s="210"/>
      <c r="L32" s="211"/>
      <c r="M32" s="212"/>
      <c r="N32" s="213"/>
      <c r="O32" s="213"/>
      <c r="P32" s="213"/>
      <c r="Q32" s="213"/>
      <c r="R32" s="214"/>
      <c r="S32" s="213"/>
      <c r="T32" s="215"/>
      <c r="U32" s="213"/>
      <c r="V32" s="213"/>
      <c r="W32" s="213"/>
      <c r="X32" s="212"/>
      <c r="Y32" s="212"/>
      <c r="Z32" s="216"/>
      <c r="AA32" s="212"/>
      <c r="AB32" s="212"/>
    </row>
    <row r="33" spans="1:35" s="4" customFormat="1" ht="49.5" customHeight="1" x14ac:dyDescent="0.25">
      <c r="A33" s="235"/>
      <c r="B33" s="111" t="s">
        <v>91</v>
      </c>
      <c r="C33" s="111" t="s">
        <v>111</v>
      </c>
      <c r="D33" s="175" t="s">
        <v>110</v>
      </c>
      <c r="E33" s="175" t="s">
        <v>92</v>
      </c>
      <c r="F33" s="175" t="s">
        <v>189</v>
      </c>
      <c r="G33" s="148" t="s">
        <v>229</v>
      </c>
      <c r="H33" s="175" t="s">
        <v>61</v>
      </c>
      <c r="I33" s="175"/>
      <c r="J33" s="175"/>
      <c r="K33" s="176">
        <f>SUM(K34:K34)</f>
        <v>7290.5</v>
      </c>
      <c r="L33" s="176">
        <f>SUM(L34:L34)</f>
        <v>0</v>
      </c>
      <c r="M33" s="176">
        <f>SUM(M34:M34)</f>
        <v>7290.5</v>
      </c>
      <c r="N33" s="175"/>
      <c r="O33" s="175"/>
      <c r="P33" s="175"/>
      <c r="Q33" s="175"/>
      <c r="R33" s="175"/>
      <c r="S33" s="175"/>
      <c r="T33" s="178"/>
      <c r="U33" s="175"/>
      <c r="V33" s="175"/>
      <c r="W33" s="175"/>
      <c r="X33" s="176">
        <f>SUM(X34:X34)</f>
        <v>0</v>
      </c>
      <c r="Y33" s="176">
        <f>SUM(Y34:Y34)</f>
        <v>672.32</v>
      </c>
      <c r="Z33" s="176">
        <f>SUM(Z34:Z34)</f>
        <v>0</v>
      </c>
      <c r="AA33" s="176">
        <f>SUM(AA34:AA34)</f>
        <v>672.32</v>
      </c>
      <c r="AB33" s="176">
        <f>SUM(AB34:AB34)</f>
        <v>6618.18</v>
      </c>
      <c r="AC33" s="96"/>
    </row>
    <row r="34" spans="1:35" s="4" customFormat="1" ht="186.75" customHeight="1" x14ac:dyDescent="0.2">
      <c r="A34" s="235"/>
      <c r="B34" s="272" t="s">
        <v>144</v>
      </c>
      <c r="C34" s="267" t="s">
        <v>105</v>
      </c>
      <c r="D34" s="253" t="s">
        <v>138</v>
      </c>
      <c r="E34" s="254" t="s">
        <v>141</v>
      </c>
      <c r="F34" s="254" t="s">
        <v>202</v>
      </c>
      <c r="G34" s="255">
        <v>43512</v>
      </c>
      <c r="H34" s="256" t="s">
        <v>431</v>
      </c>
      <c r="I34" s="257">
        <v>15</v>
      </c>
      <c r="J34" s="258">
        <f>K34/I34</f>
        <v>486.03333333333336</v>
      </c>
      <c r="K34" s="259">
        <v>7290.5</v>
      </c>
      <c r="L34" s="260">
        <v>0</v>
      </c>
      <c r="M34" s="261">
        <f>SUM(K34:L34)</f>
        <v>7290.5</v>
      </c>
      <c r="N34" s="281">
        <f>IF(K34/15&lt;=SMG,0,L34/2)</f>
        <v>0</v>
      </c>
      <c r="O34" s="296">
        <f>(K34+N34)/I34*30.4</f>
        <v>14775.413333333334</v>
      </c>
      <c r="P34" s="296">
        <f>VLOOKUP(O34,Tarifa,1)</f>
        <v>14644.65</v>
      </c>
      <c r="Q34" s="281">
        <f>O34-P34</f>
        <v>130.76333333333423</v>
      </c>
      <c r="R34" s="282">
        <f>VLOOKUP(O34,Tarifa,3)</f>
        <v>0.1792</v>
      </c>
      <c r="S34" s="281">
        <f>Q34*R34</f>
        <v>23.432789333333496</v>
      </c>
      <c r="T34" s="283">
        <f>VLOOKUP(O34,Tarifa,2)</f>
        <v>1339.14</v>
      </c>
      <c r="U34" s="281">
        <f>S34+T34</f>
        <v>1362.5727893333335</v>
      </c>
      <c r="V34" s="281">
        <f>VLOOKUP(O34,Credito,2)</f>
        <v>0</v>
      </c>
      <c r="W34" s="281">
        <f>ROUND((U34-V34)/30.4*I34,2)</f>
        <v>672.32</v>
      </c>
      <c r="X34" s="261">
        <f>-IF(W34&gt;0,0,0)</f>
        <v>0</v>
      </c>
      <c r="Y34" s="261">
        <f>IF(K34/15&lt;=SMG,0,IF(W34&lt;0,0,W34))</f>
        <v>672.32</v>
      </c>
      <c r="Z34" s="262">
        <v>0</v>
      </c>
      <c r="AA34" s="261">
        <f>SUM(Y34:Z34)</f>
        <v>672.32</v>
      </c>
      <c r="AB34" s="261">
        <f>M34+X34-AA34</f>
        <v>6618.18</v>
      </c>
      <c r="AC34" s="315"/>
    </row>
    <row r="35" spans="1:35" s="4" customFormat="1" ht="48.75" customHeight="1" x14ac:dyDescent="0.25">
      <c r="A35" s="44"/>
      <c r="B35" s="111" t="s">
        <v>91</v>
      </c>
      <c r="C35" s="111" t="s">
        <v>111</v>
      </c>
      <c r="D35" s="175" t="s">
        <v>69</v>
      </c>
      <c r="E35" s="175" t="s">
        <v>92</v>
      </c>
      <c r="F35" s="175" t="s">
        <v>189</v>
      </c>
      <c r="G35" s="148" t="s">
        <v>229</v>
      </c>
      <c r="H35" s="175" t="s">
        <v>61</v>
      </c>
      <c r="I35" s="175"/>
      <c r="J35" s="175"/>
      <c r="K35" s="176">
        <f>SUM(K36:K37)</f>
        <v>13537.6</v>
      </c>
      <c r="L35" s="176">
        <f>SUM(L36:L37)</f>
        <v>1631</v>
      </c>
      <c r="M35" s="176">
        <f>SUM(M36:M37)</f>
        <v>15168.6</v>
      </c>
      <c r="N35" s="175"/>
      <c r="O35" s="175"/>
      <c r="P35" s="175"/>
      <c r="Q35" s="175"/>
      <c r="R35" s="175"/>
      <c r="S35" s="175"/>
      <c r="T35" s="178"/>
      <c r="U35" s="175"/>
      <c r="V35" s="175"/>
      <c r="W35" s="175"/>
      <c r="X35" s="176">
        <f>SUM(X36:X37)</f>
        <v>0</v>
      </c>
      <c r="Y35" s="176">
        <f>SUM(Y36:Y37)</f>
        <v>1404.76</v>
      </c>
      <c r="Z35" s="176">
        <f>SUM(Z36:Z37)</f>
        <v>0</v>
      </c>
      <c r="AA35" s="176">
        <f>SUM(AA36:AA37)</f>
        <v>1404.76</v>
      </c>
      <c r="AB35" s="176">
        <f>SUM(AB36:AB37)</f>
        <v>13763.84</v>
      </c>
      <c r="AC35" s="96"/>
    </row>
    <row r="36" spans="1:35" s="316" customFormat="1" ht="186.75" customHeight="1" x14ac:dyDescent="0.2">
      <c r="A36" s="314"/>
      <c r="B36" s="272" t="s">
        <v>172</v>
      </c>
      <c r="C36" s="267" t="s">
        <v>105</v>
      </c>
      <c r="D36" s="253" t="s">
        <v>177</v>
      </c>
      <c r="E36" s="254" t="s">
        <v>178</v>
      </c>
      <c r="F36" s="254" t="s">
        <v>209</v>
      </c>
      <c r="G36" s="255">
        <v>44470</v>
      </c>
      <c r="H36" s="302" t="s">
        <v>71</v>
      </c>
      <c r="I36" s="257">
        <v>15</v>
      </c>
      <c r="J36" s="258">
        <f>K36/I36</f>
        <v>543.73333333333335</v>
      </c>
      <c r="K36" s="259">
        <v>8156</v>
      </c>
      <c r="L36" s="260">
        <v>1631</v>
      </c>
      <c r="M36" s="261">
        <f t="shared" ref="M36" si="41">SUM(K36:L36)</f>
        <v>9787</v>
      </c>
      <c r="N36" s="281">
        <f>IF(K36/15&lt;=SMG,0,L36/2)</f>
        <v>815.5</v>
      </c>
      <c r="O36" s="296">
        <f>(K36+N36)/I36*30.4</f>
        <v>18182.240000000002</v>
      </c>
      <c r="P36" s="296">
        <f>VLOOKUP(O36,Tarifa,1)</f>
        <v>17533.650000000001</v>
      </c>
      <c r="Q36" s="281">
        <f>O36-P36</f>
        <v>648.59000000000015</v>
      </c>
      <c r="R36" s="282">
        <f>VLOOKUP(O36,Tarifa,3)</f>
        <v>0.21360000000000001</v>
      </c>
      <c r="S36" s="281">
        <f>Q36*R36</f>
        <v>138.53882400000003</v>
      </c>
      <c r="T36" s="283">
        <f>VLOOKUP(O36,Tarifa,2)</f>
        <v>1856.84</v>
      </c>
      <c r="U36" s="281">
        <f>S36+T36</f>
        <v>1995.3788239999999</v>
      </c>
      <c r="V36" s="281">
        <f>VLOOKUP(O36,Credito,2)</f>
        <v>0</v>
      </c>
      <c r="W36" s="281">
        <f>ROUND((U36-V36)/30.4*I36,2)</f>
        <v>984.56</v>
      </c>
      <c r="X36" s="261">
        <f t="shared" si="1"/>
        <v>0</v>
      </c>
      <c r="Y36" s="261">
        <f t="shared" ref="Y36:Y37" si="42">IF(K36/15&lt;=SMG,0,IF(W36&lt;0,0,W36))</f>
        <v>984.56</v>
      </c>
      <c r="Z36" s="262">
        <v>0</v>
      </c>
      <c r="AA36" s="261">
        <f t="shared" ref="AA36:AA37" si="43">SUM(Y36:Z36)</f>
        <v>984.56</v>
      </c>
      <c r="AB36" s="261">
        <f t="shared" ref="AB36:AB37" si="44">M36+X36-AA36</f>
        <v>8802.44</v>
      </c>
      <c r="AC36" s="315"/>
    </row>
    <row r="37" spans="1:35" s="316" customFormat="1" ht="186.75" customHeight="1" x14ac:dyDescent="0.2">
      <c r="A37" s="314"/>
      <c r="B37" s="267" t="s">
        <v>515</v>
      </c>
      <c r="C37" s="267" t="s">
        <v>105</v>
      </c>
      <c r="D37" s="249" t="s">
        <v>516</v>
      </c>
      <c r="E37" s="135" t="s">
        <v>517</v>
      </c>
      <c r="F37" s="135" t="s">
        <v>518</v>
      </c>
      <c r="G37" s="157">
        <v>45459</v>
      </c>
      <c r="H37" s="269" t="s">
        <v>597</v>
      </c>
      <c r="I37" s="270">
        <v>14</v>
      </c>
      <c r="J37" s="258">
        <f t="shared" ref="J37" si="45">K37/I37</f>
        <v>384.40000000000003</v>
      </c>
      <c r="K37" s="259">
        <v>5381.6</v>
      </c>
      <c r="L37" s="260">
        <v>0</v>
      </c>
      <c r="M37" s="261">
        <f t="shared" ref="M37" si="46">SUM(K37:L37)</f>
        <v>5381.6</v>
      </c>
      <c r="N37" s="281">
        <f t="shared" ref="N37" si="47">IF(K37/15&lt;=SMG,0,L37/2)</f>
        <v>0</v>
      </c>
      <c r="O37" s="296">
        <f t="shared" ref="O37" si="48">(K37+N37)/I37*30.4</f>
        <v>11685.76</v>
      </c>
      <c r="P37" s="296">
        <f t="shared" ref="P37" si="49">VLOOKUP(O37,Tarifa,1)</f>
        <v>7168.52</v>
      </c>
      <c r="Q37" s="281">
        <f t="shared" ref="Q37" si="50">O37-P37</f>
        <v>4517.24</v>
      </c>
      <c r="R37" s="282">
        <f t="shared" ref="R37" si="51">VLOOKUP(O37,Tarifa,3)</f>
        <v>0.10879999999999999</v>
      </c>
      <c r="S37" s="281">
        <f t="shared" ref="S37" si="52">Q37*R37</f>
        <v>491.47571199999993</v>
      </c>
      <c r="T37" s="283">
        <f t="shared" ref="T37" si="53">VLOOKUP(O37,Tarifa,2)</f>
        <v>420.95</v>
      </c>
      <c r="U37" s="281">
        <f t="shared" ref="U37" si="54">S37+T37</f>
        <v>912.42571199999998</v>
      </c>
      <c r="V37" s="281">
        <f t="shared" ref="V37" si="55">VLOOKUP(O37,Credito,2)</f>
        <v>0</v>
      </c>
      <c r="W37" s="281">
        <f t="shared" ref="W37" si="56">ROUND((U37-V37)/30.4*I37,2)</f>
        <v>420.2</v>
      </c>
      <c r="X37" s="261">
        <f t="shared" si="1"/>
        <v>0</v>
      </c>
      <c r="Y37" s="261">
        <f t="shared" si="42"/>
        <v>420.2</v>
      </c>
      <c r="Z37" s="262">
        <v>0</v>
      </c>
      <c r="AA37" s="261">
        <f t="shared" si="43"/>
        <v>420.2</v>
      </c>
      <c r="AB37" s="261">
        <f t="shared" si="44"/>
        <v>4961.4000000000005</v>
      </c>
      <c r="AC37" s="271"/>
    </row>
    <row r="38" spans="1:35" s="4" customFormat="1" ht="50.25" customHeight="1" x14ac:dyDescent="0.25">
      <c r="A38" s="106"/>
      <c r="B38" s="111" t="s">
        <v>91</v>
      </c>
      <c r="C38" s="111" t="s">
        <v>111</v>
      </c>
      <c r="D38" s="175" t="s">
        <v>110</v>
      </c>
      <c r="E38" s="175" t="s">
        <v>92</v>
      </c>
      <c r="F38" s="175" t="s">
        <v>189</v>
      </c>
      <c r="G38" s="148" t="s">
        <v>229</v>
      </c>
      <c r="H38" s="175" t="s">
        <v>61</v>
      </c>
      <c r="I38" s="175"/>
      <c r="J38" s="175"/>
      <c r="K38" s="176">
        <f>SUM(K39:K39)</f>
        <v>7031.5</v>
      </c>
      <c r="L38" s="176">
        <f>SUM(L39:L39)</f>
        <v>0</v>
      </c>
      <c r="M38" s="176">
        <f>SUM(M39:M39)</f>
        <v>7031.5</v>
      </c>
      <c r="N38" s="175"/>
      <c r="O38" s="175"/>
      <c r="P38" s="175"/>
      <c r="Q38" s="175"/>
      <c r="R38" s="175"/>
      <c r="S38" s="175"/>
      <c r="T38" s="178"/>
      <c r="U38" s="175"/>
      <c r="V38" s="175"/>
      <c r="W38" s="175"/>
      <c r="X38" s="176">
        <f>SUM(X39:X39)</f>
        <v>0</v>
      </c>
      <c r="Y38" s="176">
        <f>SUM(Y39:Y39)</f>
        <v>629.64</v>
      </c>
      <c r="Z38" s="176">
        <f>SUM(Z39:Z39)</f>
        <v>0</v>
      </c>
      <c r="AA38" s="176">
        <f>SUM(AA39:AA39)</f>
        <v>629.64</v>
      </c>
      <c r="AB38" s="176">
        <f>SUM(AB39:AB39)</f>
        <v>6401.86</v>
      </c>
      <c r="AC38" s="96"/>
    </row>
    <row r="39" spans="1:35" s="316" customFormat="1" ht="186.75" customHeight="1" x14ac:dyDescent="0.2">
      <c r="A39" s="250" t="s">
        <v>81</v>
      </c>
      <c r="B39" s="272" t="s">
        <v>135</v>
      </c>
      <c r="C39" s="267" t="s">
        <v>105</v>
      </c>
      <c r="D39" s="253" t="s">
        <v>127</v>
      </c>
      <c r="E39" s="254" t="s">
        <v>132</v>
      </c>
      <c r="F39" s="254" t="s">
        <v>198</v>
      </c>
      <c r="G39" s="255">
        <v>43374</v>
      </c>
      <c r="H39" s="256" t="s">
        <v>126</v>
      </c>
      <c r="I39" s="257">
        <v>15</v>
      </c>
      <c r="J39" s="258">
        <f>K39/I39</f>
        <v>468.76666666666665</v>
      </c>
      <c r="K39" s="259">
        <v>7031.5</v>
      </c>
      <c r="L39" s="260">
        <v>0</v>
      </c>
      <c r="M39" s="261">
        <f>SUM(K39:L39)</f>
        <v>7031.5</v>
      </c>
      <c r="N39" s="281">
        <f>IF(K39/15&lt;=SMG,0,L39/2)</f>
        <v>0</v>
      </c>
      <c r="O39" s="296">
        <f>(K39+N39)/I39*30.4</f>
        <v>14250.506666666666</v>
      </c>
      <c r="P39" s="296">
        <f>VLOOKUP(O39,Tarifa,1)</f>
        <v>12598.03</v>
      </c>
      <c r="Q39" s="281">
        <f>O39-P39</f>
        <v>1652.4766666666656</v>
      </c>
      <c r="R39" s="282">
        <f>VLOOKUP(O39,Tarifa,3)</f>
        <v>0.16</v>
      </c>
      <c r="S39" s="281">
        <f>Q39*R39</f>
        <v>264.39626666666652</v>
      </c>
      <c r="T39" s="283">
        <f>VLOOKUP(O39,Tarifa,2)</f>
        <v>1011.68</v>
      </c>
      <c r="U39" s="281">
        <f>S39+T39</f>
        <v>1276.0762666666665</v>
      </c>
      <c r="V39" s="281">
        <f>VLOOKUP(O39,Credito,2)</f>
        <v>0</v>
      </c>
      <c r="W39" s="281">
        <f>ROUND((U39-V39)/30.4*I39,2)</f>
        <v>629.64</v>
      </c>
      <c r="X39" s="261">
        <f>-IF(W39&gt;0,0,0)</f>
        <v>0</v>
      </c>
      <c r="Y39" s="261">
        <f>IF(K39/15&lt;=SMG,0,IF(W39&lt;0,0,W39))</f>
        <v>629.64</v>
      </c>
      <c r="Z39" s="262">
        <v>0</v>
      </c>
      <c r="AA39" s="261">
        <f>SUM(Y39:Z39)</f>
        <v>629.64</v>
      </c>
      <c r="AB39" s="261">
        <f>M39+X39-AA39</f>
        <v>6401.86</v>
      </c>
      <c r="AC39" s="315"/>
      <c r="AI39" s="328"/>
    </row>
    <row r="40" spans="1:35" s="4" customFormat="1" ht="27.75" customHeight="1" x14ac:dyDescent="0.25">
      <c r="A40" s="138"/>
      <c r="B40" s="138"/>
      <c r="C40" s="138"/>
      <c r="D40" s="138"/>
      <c r="E40" s="138"/>
      <c r="F40" s="138"/>
      <c r="G40" s="138"/>
      <c r="H40" s="138"/>
      <c r="I40" s="138"/>
      <c r="J40" s="138"/>
      <c r="K40" s="144"/>
      <c r="L40" s="144"/>
      <c r="M40" s="144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</row>
    <row r="41" spans="1:35" s="4" customFormat="1" ht="39.75" customHeight="1" thickBot="1" x14ac:dyDescent="0.35">
      <c r="A41" s="446" t="s">
        <v>44</v>
      </c>
      <c r="B41" s="447"/>
      <c r="C41" s="447"/>
      <c r="D41" s="447"/>
      <c r="E41" s="447"/>
      <c r="F41" s="447"/>
      <c r="G41" s="447"/>
      <c r="H41" s="447"/>
      <c r="I41" s="447"/>
      <c r="J41" s="448"/>
      <c r="K41" s="198">
        <f>K8+K35+K38+K33</f>
        <v>81130.100000000006</v>
      </c>
      <c r="L41" s="198">
        <f>L8+L35+L38+L33</f>
        <v>4731</v>
      </c>
      <c r="M41" s="198">
        <f>M8+M35+M38+M33</f>
        <v>84361.1</v>
      </c>
      <c r="N41" s="199">
        <f t="shared" ref="N41:W41" si="57">SUM(N9:N40)</f>
        <v>2365.5</v>
      </c>
      <c r="O41" s="199">
        <f t="shared" si="57"/>
        <v>181682.56</v>
      </c>
      <c r="P41" s="199">
        <f t="shared" si="57"/>
        <v>138274.70000000004</v>
      </c>
      <c r="Q41" s="199">
        <f t="shared" si="57"/>
        <v>43407.859999999986</v>
      </c>
      <c r="R41" s="199">
        <f t="shared" si="57"/>
        <v>1.9287999999999998</v>
      </c>
      <c r="S41" s="199">
        <f t="shared" si="57"/>
        <v>4934.6427386666655</v>
      </c>
      <c r="T41" s="199">
        <f t="shared" si="57"/>
        <v>10177.25</v>
      </c>
      <c r="U41" s="199">
        <f t="shared" si="57"/>
        <v>15111.892738666667</v>
      </c>
      <c r="V41" s="199">
        <f t="shared" si="57"/>
        <v>3213.9</v>
      </c>
      <c r="W41" s="199">
        <f t="shared" si="57"/>
        <v>5840.7000000000007</v>
      </c>
      <c r="X41" s="198">
        <f>X8+X35+X38+X33</f>
        <v>0</v>
      </c>
      <c r="Y41" s="198">
        <f>Y8+Y35+Y38+Y33</f>
        <v>5258.98</v>
      </c>
      <c r="Z41" s="198">
        <f>Z8+Z35+Z38+Z33</f>
        <v>0</v>
      </c>
      <c r="AA41" s="198">
        <f>AA8+AA35+AA38+AA33</f>
        <v>5258.98</v>
      </c>
      <c r="AB41" s="198">
        <f>AB8+AB35+AB38+AB33</f>
        <v>85917.91</v>
      </c>
    </row>
    <row r="42" spans="1:35" s="4" customFormat="1" ht="18" customHeight="1" thickTop="1" x14ac:dyDescent="0.25">
      <c r="A42" s="130"/>
      <c r="B42" s="130"/>
      <c r="C42" s="130"/>
      <c r="D42" s="130"/>
      <c r="E42" s="130"/>
      <c r="F42" s="130"/>
      <c r="G42" s="130"/>
      <c r="H42" s="130"/>
      <c r="I42" s="130"/>
      <c r="J42" s="130"/>
      <c r="K42" s="131"/>
      <c r="L42" s="131"/>
      <c r="M42" s="131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1"/>
      <c r="Y42" s="131"/>
      <c r="Z42" s="131"/>
      <c r="AA42" s="131"/>
      <c r="AB42" s="131"/>
    </row>
    <row r="43" spans="1:35" s="4" customFormat="1" ht="18" customHeight="1" x14ac:dyDescent="0.25">
      <c r="A43" s="130"/>
      <c r="B43" s="130"/>
      <c r="C43" s="130"/>
      <c r="D43" s="130"/>
      <c r="E43" s="130"/>
      <c r="F43" s="130"/>
      <c r="G43" s="130"/>
      <c r="H43" s="130"/>
      <c r="I43" s="130"/>
      <c r="J43" s="130"/>
      <c r="K43" s="131"/>
      <c r="L43" s="131"/>
      <c r="M43" s="131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1"/>
      <c r="Y43" s="131"/>
      <c r="Z43" s="131"/>
      <c r="AA43" s="131"/>
      <c r="AB43" s="131"/>
    </row>
    <row r="44" spans="1:35" s="4" customFormat="1" ht="18" customHeight="1" x14ac:dyDescent="0.25">
      <c r="A44" s="130"/>
      <c r="B44" s="130"/>
      <c r="C44" s="130"/>
      <c r="D44" s="130"/>
      <c r="E44" s="130"/>
      <c r="F44" s="130"/>
      <c r="G44" s="130"/>
      <c r="H44" s="130"/>
      <c r="I44" s="130"/>
      <c r="J44" s="130"/>
      <c r="K44" s="131"/>
      <c r="L44" s="131"/>
      <c r="M44" s="131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1"/>
      <c r="Y44" s="131"/>
      <c r="Z44" s="131"/>
      <c r="AA44" s="131"/>
      <c r="AB44" s="131"/>
    </row>
    <row r="45" spans="1:35" s="4" customFormat="1" ht="18" customHeight="1" x14ac:dyDescent="0.25">
      <c r="A45" s="130"/>
      <c r="B45" s="130"/>
      <c r="C45" s="130"/>
      <c r="D45" s="130"/>
      <c r="E45" s="130"/>
      <c r="F45" s="130"/>
      <c r="G45" s="130"/>
      <c r="H45" s="130"/>
      <c r="I45" s="130"/>
      <c r="J45" s="130"/>
      <c r="K45" s="131"/>
      <c r="L45" s="131"/>
      <c r="M45" s="131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1"/>
      <c r="Y45" s="131"/>
      <c r="Z45" s="131"/>
      <c r="AA45" s="131"/>
      <c r="AB45" s="131"/>
    </row>
    <row r="46" spans="1:35" s="4" customFormat="1" ht="18" customHeight="1" x14ac:dyDescent="0.25">
      <c r="A46" s="130"/>
      <c r="B46" s="130"/>
      <c r="C46" s="130"/>
      <c r="D46" s="130"/>
      <c r="E46" s="130"/>
      <c r="F46" s="130"/>
      <c r="G46" s="130"/>
      <c r="H46" s="130"/>
      <c r="I46" s="130"/>
      <c r="J46" s="130"/>
      <c r="K46" s="131"/>
      <c r="L46" s="131"/>
      <c r="M46" s="131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1"/>
      <c r="Y46" s="131"/>
      <c r="Z46" s="131"/>
      <c r="AA46" s="131"/>
      <c r="AB46" s="131"/>
    </row>
    <row r="47" spans="1:35" s="4" customFormat="1" ht="18" customHeight="1" x14ac:dyDescent="0.25">
      <c r="A47" s="130"/>
      <c r="B47" s="130"/>
      <c r="C47" s="130"/>
      <c r="D47" s="130"/>
      <c r="E47" s="130"/>
      <c r="F47" s="130"/>
      <c r="G47" s="130"/>
      <c r="H47" s="130"/>
      <c r="I47" s="130"/>
      <c r="J47" s="130"/>
      <c r="K47" s="131"/>
      <c r="L47" s="131"/>
      <c r="M47" s="131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1"/>
      <c r="Y47" s="131"/>
      <c r="Z47" s="131"/>
      <c r="AA47" s="131"/>
      <c r="AB47" s="131"/>
    </row>
    <row r="48" spans="1:35" s="4" customFormat="1" ht="18" customHeight="1" x14ac:dyDescent="0.25">
      <c r="A48" s="130"/>
      <c r="B48" s="130"/>
      <c r="C48" s="130"/>
      <c r="D48" s="130"/>
      <c r="E48" s="130"/>
      <c r="F48" s="130"/>
      <c r="G48" s="130"/>
      <c r="H48" s="130"/>
      <c r="I48" s="130"/>
      <c r="J48" s="130"/>
      <c r="K48" s="131"/>
      <c r="L48" s="131"/>
      <c r="M48" s="131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1"/>
      <c r="Y48" s="131"/>
      <c r="Z48" s="131"/>
      <c r="AA48" s="131"/>
      <c r="AB48" s="131"/>
    </row>
    <row r="49" spans="4:41" s="4" customFormat="1" x14ac:dyDescent="0.2"/>
    <row r="50" spans="4:41" s="4" customFormat="1" ht="20.25" x14ac:dyDescent="0.3">
      <c r="D50" s="201" t="s">
        <v>400</v>
      </c>
      <c r="E50" s="202"/>
      <c r="F50" s="202"/>
      <c r="G50" s="202"/>
      <c r="H50" s="202"/>
      <c r="I50" s="202"/>
      <c r="J50" s="202"/>
      <c r="K50" s="202"/>
      <c r="L50" s="202"/>
      <c r="M50" s="202"/>
      <c r="N50" s="202"/>
      <c r="O50" s="202"/>
      <c r="P50" s="202"/>
      <c r="Q50" s="202"/>
      <c r="R50" s="202"/>
      <c r="S50" s="202"/>
      <c r="T50" s="202"/>
      <c r="U50" s="202"/>
      <c r="V50" s="202"/>
      <c r="W50" s="202"/>
      <c r="X50" s="202"/>
      <c r="Y50" s="201" t="s">
        <v>542</v>
      </c>
      <c r="Z50" s="202"/>
      <c r="AA50" s="201"/>
      <c r="AB50" s="202"/>
      <c r="AC50" s="202"/>
    </row>
    <row r="51" spans="4:41" s="4" customFormat="1" ht="20.25" x14ac:dyDescent="0.3">
      <c r="D51" s="201" t="s">
        <v>413</v>
      </c>
      <c r="E51" s="201"/>
      <c r="F51" s="201"/>
      <c r="G51" s="201"/>
      <c r="H51" s="201"/>
      <c r="I51" s="201"/>
      <c r="J51" s="201"/>
      <c r="K51" s="201"/>
      <c r="L51" s="201"/>
      <c r="M51" s="202"/>
      <c r="N51" s="202"/>
      <c r="O51" s="202"/>
      <c r="P51" s="202"/>
      <c r="Q51" s="202"/>
      <c r="R51" s="202"/>
      <c r="S51" s="202"/>
      <c r="T51" s="202"/>
      <c r="U51" s="202"/>
      <c r="V51" s="202"/>
      <c r="W51" s="202"/>
      <c r="X51" s="202"/>
      <c r="Y51" s="201" t="s">
        <v>180</v>
      </c>
      <c r="Z51" s="202"/>
      <c r="AA51" s="201"/>
      <c r="AB51" s="201"/>
      <c r="AC51" s="201"/>
      <c r="AD51" s="42"/>
      <c r="AE51" s="42"/>
      <c r="AF51" s="42"/>
      <c r="AG51" s="42"/>
      <c r="AH51" s="42"/>
      <c r="AI51" s="42"/>
      <c r="AJ51" s="42"/>
      <c r="AK51" s="42"/>
      <c r="AN51" s="42"/>
      <c r="AO51" s="42"/>
    </row>
    <row r="52" spans="4:41" s="4" customFormat="1" ht="20.25" x14ac:dyDescent="0.3">
      <c r="D52" s="202"/>
      <c r="E52" s="202"/>
      <c r="F52" s="202"/>
      <c r="G52" s="202"/>
      <c r="H52" s="202"/>
      <c r="I52" s="202"/>
      <c r="J52" s="202"/>
      <c r="K52" s="202"/>
      <c r="L52" s="202"/>
      <c r="M52" s="202"/>
      <c r="N52" s="202"/>
      <c r="O52" s="202"/>
      <c r="P52" s="202"/>
      <c r="Q52" s="202"/>
      <c r="R52" s="202"/>
      <c r="S52" s="202"/>
      <c r="T52" s="202"/>
      <c r="U52" s="202"/>
      <c r="V52" s="202"/>
      <c r="W52" s="202"/>
      <c r="X52" s="202"/>
      <c r="Y52" s="202"/>
      <c r="Z52" s="202"/>
      <c r="AA52" s="202"/>
      <c r="AB52" s="202"/>
      <c r="AC52" s="202"/>
    </row>
    <row r="53" spans="4:41" s="4" customFormat="1" x14ac:dyDescent="0.2"/>
    <row r="54" spans="4:41" s="4" customFormat="1" x14ac:dyDescent="0.2"/>
  </sheetData>
  <mergeCells count="13">
    <mergeCell ref="A41:J41"/>
    <mergeCell ref="A1:AC1"/>
    <mergeCell ref="A2:AC2"/>
    <mergeCell ref="A3:AC3"/>
    <mergeCell ref="K5:M5"/>
    <mergeCell ref="P5:U5"/>
    <mergeCell ref="Y5:AA5"/>
    <mergeCell ref="B17:AD17"/>
    <mergeCell ref="B18:AD18"/>
    <mergeCell ref="B19:AC19"/>
    <mergeCell ref="B29:AD29"/>
    <mergeCell ref="B30:AD30"/>
    <mergeCell ref="B31:AD31"/>
  </mergeCells>
  <dataValidations count="1">
    <dataValidation allowBlank="1" showInputMessage="1" showErrorMessage="1" prompt="Captura el nombre asignado o el nombre como se le identifica a la plaza (ejem. Jefe de Ingresos, Secretario Particular, Oficial Mayor, etc.)" sqref="D37:G37"/>
  </dataValidations>
  <pageMargins left="0.27559055118110237" right="0.19685039370078741" top="0.74803149606299213" bottom="0.35433070866141736" header="0.31496062992125984" footer="0.31496062992125984"/>
  <pageSetup scale="41" orientation="landscape" horizontalDpi="4294967293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5"/>
  <sheetViews>
    <sheetView view="pageBreakPreview" topLeftCell="B1" zoomScale="60" zoomScaleNormal="70" workbookViewId="0">
      <selection activeCell="L13" sqref="L13"/>
    </sheetView>
  </sheetViews>
  <sheetFormatPr baseColWidth="10" defaultColWidth="11.42578125" defaultRowHeight="12.75" x14ac:dyDescent="0.2"/>
  <cols>
    <col min="1" max="1" width="5.5703125" hidden="1" customWidth="1"/>
    <col min="2" max="2" width="16" customWidth="1"/>
    <col min="3" max="3" width="11.85546875" customWidth="1"/>
    <col min="4" max="4" width="29.28515625" customWidth="1"/>
    <col min="5" max="5" width="24.85546875" customWidth="1"/>
    <col min="6" max="6" width="34.140625" customWidth="1"/>
    <col min="7" max="7" width="17.42578125" customWidth="1"/>
    <col min="8" max="8" width="23.7109375" customWidth="1"/>
    <col min="9" max="9" width="9.140625" bestFit="1" customWidth="1"/>
    <col min="10" max="10" width="10.85546875" bestFit="1" customWidth="1"/>
    <col min="11" max="11" width="18.7109375" customWidth="1"/>
    <col min="12" max="12" width="16.85546875" customWidth="1"/>
    <col min="13" max="13" width="19.85546875" customWidth="1"/>
    <col min="14" max="14" width="13.140625" hidden="1" customWidth="1"/>
    <col min="15" max="15" width="14.7109375" hidden="1" customWidth="1"/>
    <col min="16" max="16" width="15.5703125" hidden="1" customWidth="1"/>
    <col min="17" max="17" width="14.5703125" hidden="1" customWidth="1"/>
    <col min="18" max="19" width="13.140625" hidden="1" customWidth="1"/>
    <col min="20" max="20" width="10.5703125" hidden="1" customWidth="1"/>
    <col min="21" max="21" width="10.42578125" hidden="1" customWidth="1"/>
    <col min="22" max="22" width="13.140625" hidden="1" customWidth="1"/>
    <col min="23" max="23" width="14.85546875" hidden="1" customWidth="1"/>
    <col min="24" max="24" width="12.5703125" customWidth="1"/>
    <col min="25" max="25" width="16.7109375" customWidth="1"/>
    <col min="26" max="26" width="16.85546875" customWidth="1"/>
    <col min="27" max="27" width="18.42578125" customWidth="1"/>
    <col min="28" max="28" width="19" customWidth="1"/>
    <col min="29" max="29" width="79" customWidth="1"/>
  </cols>
  <sheetData>
    <row r="1" spans="1:33" ht="19.5" x14ac:dyDescent="0.25">
      <c r="A1" s="449" t="s">
        <v>76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  <c r="O1" s="449"/>
      <c r="P1" s="449"/>
      <c r="Q1" s="449"/>
      <c r="R1" s="449"/>
      <c r="S1" s="449"/>
      <c r="T1" s="449"/>
      <c r="U1" s="449"/>
      <c r="V1" s="449"/>
      <c r="W1" s="449"/>
      <c r="X1" s="449"/>
      <c r="Y1" s="449"/>
      <c r="Z1" s="449"/>
      <c r="AA1" s="449"/>
      <c r="AB1" s="449"/>
      <c r="AC1" s="449"/>
    </row>
    <row r="2" spans="1:33" ht="19.5" x14ac:dyDescent="0.25">
      <c r="A2" s="449" t="s">
        <v>64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  <c r="O2" s="449"/>
      <c r="P2" s="449"/>
      <c r="Q2" s="449"/>
      <c r="R2" s="449"/>
      <c r="S2" s="449"/>
      <c r="T2" s="449"/>
      <c r="U2" s="449"/>
      <c r="V2" s="449"/>
      <c r="W2" s="449"/>
      <c r="X2" s="449"/>
      <c r="Y2" s="449"/>
      <c r="Z2" s="449"/>
      <c r="AA2" s="449"/>
      <c r="AB2" s="449"/>
      <c r="AC2" s="449"/>
    </row>
    <row r="3" spans="1:33" ht="19.5" x14ac:dyDescent="0.25">
      <c r="A3" s="450" t="str">
        <f>PRESIDENCIA!A3</f>
        <v>SUELDO  DEL 15 AL 30 DE SEPTIEMBRE DE 2026</v>
      </c>
      <c r="B3" s="450"/>
      <c r="C3" s="450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  <c r="P3" s="450"/>
      <c r="Q3" s="450"/>
      <c r="R3" s="450"/>
      <c r="S3" s="450"/>
      <c r="T3" s="450"/>
      <c r="U3" s="450"/>
      <c r="V3" s="450"/>
      <c r="W3" s="450"/>
      <c r="X3" s="450"/>
      <c r="Y3" s="450"/>
      <c r="Z3" s="450"/>
      <c r="AA3" s="450"/>
      <c r="AB3" s="450"/>
      <c r="AC3" s="450"/>
    </row>
    <row r="4" spans="1:33" ht="15" x14ac:dyDescent="0.2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</row>
    <row r="5" spans="1:33" s="52" customFormat="1" ht="21" customHeight="1" x14ac:dyDescent="0.25">
      <c r="A5" s="48"/>
      <c r="B5" s="48"/>
      <c r="C5" s="487" t="s">
        <v>111</v>
      </c>
      <c r="D5" s="48"/>
      <c r="E5" s="48"/>
      <c r="F5" s="48"/>
      <c r="G5" s="48"/>
      <c r="H5" s="48"/>
      <c r="I5" s="49" t="s">
        <v>22</v>
      </c>
      <c r="J5" s="49" t="s">
        <v>5</v>
      </c>
      <c r="K5" s="451" t="s">
        <v>1</v>
      </c>
      <c r="L5" s="452"/>
      <c r="M5" s="453"/>
      <c r="N5" s="116" t="s">
        <v>25</v>
      </c>
      <c r="O5" s="117"/>
      <c r="P5" s="454" t="s">
        <v>8</v>
      </c>
      <c r="Q5" s="455"/>
      <c r="R5" s="455"/>
      <c r="S5" s="455"/>
      <c r="T5" s="455"/>
      <c r="U5" s="456"/>
      <c r="V5" s="116" t="s">
        <v>29</v>
      </c>
      <c r="W5" s="116" t="s">
        <v>9</v>
      </c>
      <c r="X5" s="115" t="s">
        <v>52</v>
      </c>
      <c r="Y5" s="457" t="s">
        <v>2</v>
      </c>
      <c r="Z5" s="458"/>
      <c r="AA5" s="459"/>
      <c r="AB5" s="115" t="s">
        <v>0</v>
      </c>
      <c r="AC5" s="48"/>
    </row>
    <row r="6" spans="1:33" s="52" customFormat="1" ht="31.5" x14ac:dyDescent="0.25">
      <c r="A6" s="53" t="s">
        <v>20</v>
      </c>
      <c r="B6" s="118" t="s">
        <v>91</v>
      </c>
      <c r="C6" s="488"/>
      <c r="D6" s="119" t="s">
        <v>21</v>
      </c>
      <c r="E6" s="53"/>
      <c r="F6" s="53"/>
      <c r="G6" s="53"/>
      <c r="H6" s="53"/>
      <c r="I6" s="54" t="s">
        <v>23</v>
      </c>
      <c r="J6" s="53" t="s">
        <v>24</v>
      </c>
      <c r="K6" s="115" t="s">
        <v>5</v>
      </c>
      <c r="L6" s="115" t="s">
        <v>58</v>
      </c>
      <c r="M6" s="115" t="s">
        <v>27</v>
      </c>
      <c r="N6" s="120" t="s">
        <v>26</v>
      </c>
      <c r="O6" s="117" t="s">
        <v>31</v>
      </c>
      <c r="P6" s="117" t="s">
        <v>11</v>
      </c>
      <c r="Q6" s="117" t="s">
        <v>33</v>
      </c>
      <c r="R6" s="117" t="s">
        <v>35</v>
      </c>
      <c r="S6" s="117" t="s">
        <v>36</v>
      </c>
      <c r="T6" s="113" t="s">
        <v>13</v>
      </c>
      <c r="U6" s="117" t="s">
        <v>9</v>
      </c>
      <c r="V6" s="120" t="s">
        <v>39</v>
      </c>
      <c r="W6" s="120" t="s">
        <v>40</v>
      </c>
      <c r="X6" s="119" t="s">
        <v>30</v>
      </c>
      <c r="Y6" s="115" t="s">
        <v>227</v>
      </c>
      <c r="Z6" s="115" t="s">
        <v>56</v>
      </c>
      <c r="AA6" s="115" t="s">
        <v>6</v>
      </c>
      <c r="AB6" s="119" t="s">
        <v>3</v>
      </c>
      <c r="AC6" s="119" t="s">
        <v>57</v>
      </c>
    </row>
    <row r="7" spans="1:33" s="52" customFormat="1" ht="15.75" x14ac:dyDescent="0.25">
      <c r="A7" s="53"/>
      <c r="B7" s="53"/>
      <c r="C7" s="489"/>
      <c r="D7" s="53"/>
      <c r="E7" s="53"/>
      <c r="F7" s="53"/>
      <c r="G7" s="53"/>
      <c r="H7" s="53"/>
      <c r="I7" s="53"/>
      <c r="J7" s="53"/>
      <c r="K7" s="119" t="s">
        <v>46</v>
      </c>
      <c r="L7" s="119" t="s">
        <v>59</v>
      </c>
      <c r="M7" s="119" t="s">
        <v>28</v>
      </c>
      <c r="N7" s="120" t="s">
        <v>42</v>
      </c>
      <c r="O7" s="116" t="s">
        <v>32</v>
      </c>
      <c r="P7" s="116" t="s">
        <v>12</v>
      </c>
      <c r="Q7" s="116" t="s">
        <v>34</v>
      </c>
      <c r="R7" s="116" t="s">
        <v>34</v>
      </c>
      <c r="S7" s="116" t="s">
        <v>37</v>
      </c>
      <c r="T7" s="182" t="s">
        <v>14</v>
      </c>
      <c r="U7" s="116" t="s">
        <v>38</v>
      </c>
      <c r="V7" s="120" t="s">
        <v>18</v>
      </c>
      <c r="W7" s="124" t="s">
        <v>169</v>
      </c>
      <c r="X7" s="119" t="s">
        <v>51</v>
      </c>
      <c r="Y7" s="119"/>
      <c r="Z7" s="119"/>
      <c r="AA7" s="119" t="s">
        <v>43</v>
      </c>
      <c r="AB7" s="119" t="s">
        <v>4</v>
      </c>
      <c r="AC7" s="57"/>
    </row>
    <row r="8" spans="1:33" s="52" customFormat="1" ht="64.5" customHeight="1" x14ac:dyDescent="0.3">
      <c r="A8" s="36"/>
      <c r="B8" s="148" t="s">
        <v>91</v>
      </c>
      <c r="C8" s="148" t="s">
        <v>111</v>
      </c>
      <c r="D8" s="217" t="s">
        <v>129</v>
      </c>
      <c r="E8" s="218" t="s">
        <v>92</v>
      </c>
      <c r="F8" s="218" t="s">
        <v>189</v>
      </c>
      <c r="G8" s="217" t="s">
        <v>229</v>
      </c>
      <c r="H8" s="218" t="s">
        <v>61</v>
      </c>
      <c r="I8" s="218"/>
      <c r="J8" s="218"/>
      <c r="K8" s="219">
        <f t="shared" ref="K8:AB8" si="0">SUM(K9:K9)</f>
        <v>7962</v>
      </c>
      <c r="L8" s="219">
        <f t="shared" si="0"/>
        <v>0</v>
      </c>
      <c r="M8" s="219">
        <f t="shared" si="0"/>
        <v>7962</v>
      </c>
      <c r="N8" s="219">
        <f t="shared" si="0"/>
        <v>0</v>
      </c>
      <c r="O8" s="219">
        <f t="shared" si="0"/>
        <v>16136.319999999998</v>
      </c>
      <c r="P8" s="219">
        <f t="shared" si="0"/>
        <v>14644.65</v>
      </c>
      <c r="Q8" s="219">
        <f t="shared" si="0"/>
        <v>1491.6699999999983</v>
      </c>
      <c r="R8" s="219">
        <f t="shared" si="0"/>
        <v>0.1792</v>
      </c>
      <c r="S8" s="219">
        <f t="shared" si="0"/>
        <v>267.30726399999969</v>
      </c>
      <c r="T8" s="219">
        <f t="shared" si="0"/>
        <v>1339.14</v>
      </c>
      <c r="U8" s="219">
        <f t="shared" si="0"/>
        <v>1606.4472639999999</v>
      </c>
      <c r="V8" s="219">
        <f t="shared" si="0"/>
        <v>0</v>
      </c>
      <c r="W8" s="219">
        <f t="shared" si="0"/>
        <v>792.65</v>
      </c>
      <c r="X8" s="219">
        <f t="shared" si="0"/>
        <v>0</v>
      </c>
      <c r="Y8" s="219">
        <f t="shared" si="0"/>
        <v>792.65</v>
      </c>
      <c r="Z8" s="219">
        <f t="shared" si="0"/>
        <v>0</v>
      </c>
      <c r="AA8" s="219">
        <f t="shared" si="0"/>
        <v>792.65</v>
      </c>
      <c r="AB8" s="219">
        <f t="shared" si="0"/>
        <v>7169.35</v>
      </c>
      <c r="AC8" s="97"/>
    </row>
    <row r="9" spans="1:33" s="286" customFormat="1" ht="199.5" customHeight="1" x14ac:dyDescent="0.2">
      <c r="A9" s="329"/>
      <c r="B9" s="272" t="s">
        <v>338</v>
      </c>
      <c r="C9" s="267" t="s">
        <v>105</v>
      </c>
      <c r="D9" s="249" t="s">
        <v>336</v>
      </c>
      <c r="E9" s="135" t="s">
        <v>399</v>
      </c>
      <c r="F9" s="276" t="s">
        <v>337</v>
      </c>
      <c r="G9" s="331">
        <v>46266</v>
      </c>
      <c r="H9" s="332" t="s">
        <v>563</v>
      </c>
      <c r="I9" s="257">
        <v>15</v>
      </c>
      <c r="J9" s="258">
        <v>530.79999999999995</v>
      </c>
      <c r="K9" s="259">
        <v>7962</v>
      </c>
      <c r="L9" s="260">
        <v>0</v>
      </c>
      <c r="M9" s="261">
        <f>SUM(K9:L9)</f>
        <v>7962</v>
      </c>
      <c r="N9" s="281">
        <f>IF(K9/15&lt;=SMG,0,L9/2)</f>
        <v>0</v>
      </c>
      <c r="O9" s="296">
        <f>(K9+N9)/I9*30.4</f>
        <v>16136.319999999998</v>
      </c>
      <c r="P9" s="296">
        <f>VLOOKUP(O9,Tarifa,1)</f>
        <v>14644.65</v>
      </c>
      <c r="Q9" s="281">
        <f>O9-P9</f>
        <v>1491.6699999999983</v>
      </c>
      <c r="R9" s="282">
        <f>VLOOKUP(O9,Tarifa,3)</f>
        <v>0.1792</v>
      </c>
      <c r="S9" s="281">
        <f>Q9*R9</f>
        <v>267.30726399999969</v>
      </c>
      <c r="T9" s="283">
        <f>VLOOKUP(O9,Tarifa,2)</f>
        <v>1339.14</v>
      </c>
      <c r="U9" s="281">
        <f>S9+T9</f>
        <v>1606.4472639999999</v>
      </c>
      <c r="V9" s="281">
        <f>VLOOKUP(O9,Credito,2)</f>
        <v>0</v>
      </c>
      <c r="W9" s="281">
        <f>ROUND((U9-V9)/30.4*I9,2)</f>
        <v>792.65</v>
      </c>
      <c r="X9" s="261">
        <f>-IF(W9&gt;0,0,0)</f>
        <v>0</v>
      </c>
      <c r="Y9" s="261">
        <f>IF(K9/15&lt;=SMG,0,IF(W9&lt;0,0,W9))</f>
        <v>792.65</v>
      </c>
      <c r="Z9" s="262">
        <v>0</v>
      </c>
      <c r="AA9" s="261">
        <f>SUM(Y9:Z9)</f>
        <v>792.65</v>
      </c>
      <c r="AB9" s="261">
        <f>M9+X9-AA9</f>
        <v>7169.35</v>
      </c>
      <c r="AC9" s="333"/>
    </row>
    <row r="10" spans="1:33" s="52" customFormat="1" ht="53.25" customHeight="1" x14ac:dyDescent="0.3">
      <c r="A10" s="46"/>
      <c r="B10" s="148" t="s">
        <v>91</v>
      </c>
      <c r="C10" s="148" t="s">
        <v>111</v>
      </c>
      <c r="D10" s="218" t="s">
        <v>113</v>
      </c>
      <c r="E10" s="218" t="s">
        <v>92</v>
      </c>
      <c r="F10" s="218" t="s">
        <v>189</v>
      </c>
      <c r="G10" s="217" t="s">
        <v>229</v>
      </c>
      <c r="H10" s="218" t="s">
        <v>61</v>
      </c>
      <c r="I10" s="218"/>
      <c r="J10" s="218"/>
      <c r="K10" s="219">
        <f>SUM(K11:K11)</f>
        <v>8746</v>
      </c>
      <c r="L10" s="219">
        <f t="shared" ref="L10:AA10" si="1">SUM(L11:L11)</f>
        <v>1166</v>
      </c>
      <c r="M10" s="219">
        <f t="shared" si="1"/>
        <v>9912</v>
      </c>
      <c r="N10" s="219">
        <f t="shared" si="1"/>
        <v>583</v>
      </c>
      <c r="O10" s="219">
        <f t="shared" si="1"/>
        <v>18906.773333333331</v>
      </c>
      <c r="P10" s="219">
        <f t="shared" si="1"/>
        <v>17533.650000000001</v>
      </c>
      <c r="Q10" s="219">
        <f t="shared" si="1"/>
        <v>1373.1233333333294</v>
      </c>
      <c r="R10" s="219">
        <f t="shared" si="1"/>
        <v>0.21360000000000001</v>
      </c>
      <c r="S10" s="219">
        <f t="shared" si="1"/>
        <v>293.29914399999916</v>
      </c>
      <c r="T10" s="219">
        <f t="shared" si="1"/>
        <v>1856.84</v>
      </c>
      <c r="U10" s="219">
        <f t="shared" si="1"/>
        <v>2150.1391439999989</v>
      </c>
      <c r="V10" s="219">
        <f t="shared" si="1"/>
        <v>0</v>
      </c>
      <c r="W10" s="219">
        <f t="shared" si="1"/>
        <v>1060.92</v>
      </c>
      <c r="X10" s="219">
        <f t="shared" si="1"/>
        <v>0</v>
      </c>
      <c r="Y10" s="219">
        <f t="shared" si="1"/>
        <v>1060.92</v>
      </c>
      <c r="Z10" s="219">
        <f t="shared" si="1"/>
        <v>0</v>
      </c>
      <c r="AA10" s="219">
        <f t="shared" si="1"/>
        <v>1060.92</v>
      </c>
      <c r="AB10" s="219">
        <f>SUM(AB11:AB12)</f>
        <v>14282.27</v>
      </c>
      <c r="AC10" s="97"/>
      <c r="AG10" s="60"/>
    </row>
    <row r="11" spans="1:33" s="52" customFormat="1" ht="201" customHeight="1" x14ac:dyDescent="0.2">
      <c r="A11" s="153"/>
      <c r="B11" s="272" t="s">
        <v>256</v>
      </c>
      <c r="C11" s="267" t="s">
        <v>105</v>
      </c>
      <c r="D11" s="253" t="s">
        <v>257</v>
      </c>
      <c r="E11" s="254" t="s">
        <v>258</v>
      </c>
      <c r="F11" s="254" t="s">
        <v>259</v>
      </c>
      <c r="G11" s="255">
        <v>46204</v>
      </c>
      <c r="H11" s="269" t="s">
        <v>596</v>
      </c>
      <c r="I11" s="257">
        <v>15</v>
      </c>
      <c r="J11" s="258">
        <f>K11/I11</f>
        <v>583.06666666666672</v>
      </c>
      <c r="K11" s="278">
        <v>8746</v>
      </c>
      <c r="L11" s="279">
        <v>1166</v>
      </c>
      <c r="M11" s="280">
        <f t="shared" ref="M11:M12" si="2">SUM(K11:L11)</f>
        <v>9912</v>
      </c>
      <c r="N11" s="281">
        <f>IF(K11/15&lt;=SMG,0,L11/2)</f>
        <v>583</v>
      </c>
      <c r="O11" s="296">
        <f>(K11+N11)/I11*30.4</f>
        <v>18906.773333333331</v>
      </c>
      <c r="P11" s="296">
        <f>VLOOKUP(O11,Tarifa,1)</f>
        <v>17533.650000000001</v>
      </c>
      <c r="Q11" s="281">
        <f>O11-P11</f>
        <v>1373.1233333333294</v>
      </c>
      <c r="R11" s="282">
        <f>VLOOKUP(O11,Tarifa,3)</f>
        <v>0.21360000000000001</v>
      </c>
      <c r="S11" s="281">
        <f>Q11*R11</f>
        <v>293.29914399999916</v>
      </c>
      <c r="T11" s="283">
        <f>VLOOKUP(O11,Tarifa,2)</f>
        <v>1856.84</v>
      </c>
      <c r="U11" s="281">
        <f>S11+T11</f>
        <v>2150.1391439999989</v>
      </c>
      <c r="V11" s="281">
        <f>VLOOKUP(O11,Credito,2)</f>
        <v>0</v>
      </c>
      <c r="W11" s="281">
        <f>ROUND((U11-V11)/30.4*I11,2)</f>
        <v>1060.92</v>
      </c>
      <c r="X11" s="280">
        <f>-IF(W11&gt;0,0,0)</f>
        <v>0</v>
      </c>
      <c r="Y11" s="280">
        <f t="shared" ref="Y11:Y12" si="3">IF(K11/15&lt;=SMG,0,IF(W11&lt;0,0,W11))</f>
        <v>1060.92</v>
      </c>
      <c r="Z11" s="284">
        <v>0</v>
      </c>
      <c r="AA11" s="280">
        <f t="shared" ref="AA11:AA12" si="4">SUM(Y11:Z11)</f>
        <v>1060.92</v>
      </c>
      <c r="AB11" s="280">
        <f t="shared" ref="AB11:AB12" si="5">M11+X11-AA11</f>
        <v>8851.08</v>
      </c>
      <c r="AC11" s="271"/>
      <c r="AG11" s="60"/>
    </row>
    <row r="12" spans="1:33" s="52" customFormat="1" ht="201" customHeight="1" x14ac:dyDescent="0.2">
      <c r="A12" s="153"/>
      <c r="B12" s="318" t="s">
        <v>614</v>
      </c>
      <c r="C12" s="318" t="s">
        <v>105</v>
      </c>
      <c r="D12" s="319" t="s">
        <v>610</v>
      </c>
      <c r="E12" s="320" t="s">
        <v>611</v>
      </c>
      <c r="F12" s="320" t="s">
        <v>612</v>
      </c>
      <c r="G12" s="321">
        <v>46212</v>
      </c>
      <c r="H12" s="322" t="s">
        <v>613</v>
      </c>
      <c r="I12" s="257">
        <v>15</v>
      </c>
      <c r="J12" s="258">
        <f t="shared" ref="J12" si="6">K12/I12</f>
        <v>327</v>
      </c>
      <c r="K12" s="323">
        <v>4905</v>
      </c>
      <c r="L12" s="324">
        <v>654</v>
      </c>
      <c r="M12" s="325">
        <f t="shared" si="2"/>
        <v>5559</v>
      </c>
      <c r="N12" s="281">
        <f>IF(K12/15&lt;=SMG,0,L12/2)</f>
        <v>327</v>
      </c>
      <c r="O12" s="296">
        <f>(K12+N12)/I12*30.4</f>
        <v>10603.52</v>
      </c>
      <c r="P12" s="296">
        <f>VLOOKUP(O12,Tarifa,1)</f>
        <v>7168.52</v>
      </c>
      <c r="Q12" s="281">
        <f>O12-P12</f>
        <v>3435</v>
      </c>
      <c r="R12" s="282">
        <f>VLOOKUP(O12,Tarifa,3)</f>
        <v>0.10879999999999999</v>
      </c>
      <c r="S12" s="281">
        <f>Q12*R12</f>
        <v>373.72799999999995</v>
      </c>
      <c r="T12" s="283">
        <f>VLOOKUP(O12,Tarifa,2)</f>
        <v>420.95</v>
      </c>
      <c r="U12" s="281">
        <f>S12+T12</f>
        <v>794.67799999999988</v>
      </c>
      <c r="V12" s="281">
        <f>VLOOKUP(O12,Credito,2)</f>
        <v>535.65</v>
      </c>
      <c r="W12" s="281">
        <f>ROUND((U12-V12)/30.4*I12,2)</f>
        <v>127.81</v>
      </c>
      <c r="X12" s="325">
        <f t="shared" ref="X12" si="7">-IF(W12&gt;0,0,0)</f>
        <v>0</v>
      </c>
      <c r="Y12" s="325">
        <f t="shared" si="3"/>
        <v>127.81</v>
      </c>
      <c r="Z12" s="326">
        <v>0</v>
      </c>
      <c r="AA12" s="325">
        <f t="shared" si="4"/>
        <v>127.81</v>
      </c>
      <c r="AB12" s="325">
        <f t="shared" si="5"/>
        <v>5431.19</v>
      </c>
      <c r="AC12" s="327"/>
      <c r="AG12" s="60"/>
    </row>
    <row r="13" spans="1:33" s="52" customFormat="1" ht="57.75" customHeight="1" x14ac:dyDescent="0.3">
      <c r="A13" s="153"/>
      <c r="B13" s="148" t="s">
        <v>91</v>
      </c>
      <c r="C13" s="148" t="s">
        <v>111</v>
      </c>
      <c r="D13" s="218" t="s">
        <v>226</v>
      </c>
      <c r="E13" s="218" t="s">
        <v>92</v>
      </c>
      <c r="F13" s="218" t="s">
        <v>189</v>
      </c>
      <c r="G13" s="217" t="s">
        <v>229</v>
      </c>
      <c r="H13" s="218" t="s">
        <v>61</v>
      </c>
      <c r="I13" s="218"/>
      <c r="J13" s="218"/>
      <c r="K13" s="219">
        <f>SUM(K15:K22)</f>
        <v>8648</v>
      </c>
      <c r="L13" s="219">
        <f>SUM(L15:L22)</f>
        <v>0</v>
      </c>
      <c r="M13" s="219">
        <f>SUM(M15:M22)</f>
        <v>8648</v>
      </c>
      <c r="N13" s="219">
        <f t="shared" ref="N13:W13" si="8">SUM(N15)</f>
        <v>0</v>
      </c>
      <c r="O13" s="219">
        <f t="shared" si="8"/>
        <v>8512</v>
      </c>
      <c r="P13" s="219">
        <f t="shared" si="8"/>
        <v>7168.52</v>
      </c>
      <c r="Q13" s="219">
        <f t="shared" si="8"/>
        <v>1343.4799999999996</v>
      </c>
      <c r="R13" s="219">
        <f t="shared" si="8"/>
        <v>0.10879999999999999</v>
      </c>
      <c r="S13" s="219">
        <f t="shared" si="8"/>
        <v>146.17062399999995</v>
      </c>
      <c r="T13" s="219">
        <f t="shared" si="8"/>
        <v>420.95</v>
      </c>
      <c r="U13" s="219">
        <f t="shared" si="8"/>
        <v>567.12062399999991</v>
      </c>
      <c r="V13" s="219">
        <f t="shared" si="8"/>
        <v>535.65</v>
      </c>
      <c r="W13" s="219">
        <f t="shared" si="8"/>
        <v>15.53</v>
      </c>
      <c r="X13" s="219">
        <f>SUM(X15:X22)</f>
        <v>0</v>
      </c>
      <c r="Y13" s="219">
        <f>SUM(Y15:Y22)</f>
        <v>0</v>
      </c>
      <c r="Z13" s="219">
        <f>SUM(Z15:Z22)</f>
        <v>0</v>
      </c>
      <c r="AA13" s="219">
        <f>SUM(AA15:AA22)</f>
        <v>0</v>
      </c>
      <c r="AB13" s="219">
        <f>SUM(AB14:AB22)</f>
        <v>19546.98</v>
      </c>
      <c r="AC13" s="97"/>
      <c r="AG13" s="66"/>
    </row>
    <row r="14" spans="1:33" s="52" customFormat="1" ht="210.75" customHeight="1" x14ac:dyDescent="0.2">
      <c r="A14" s="153"/>
      <c r="B14" s="267" t="s">
        <v>492</v>
      </c>
      <c r="C14" s="267" t="s">
        <v>105</v>
      </c>
      <c r="D14" s="249" t="s">
        <v>491</v>
      </c>
      <c r="E14" s="135" t="s">
        <v>493</v>
      </c>
      <c r="F14" s="135" t="s">
        <v>494</v>
      </c>
      <c r="G14" s="157">
        <v>45778</v>
      </c>
      <c r="H14" s="269" t="s">
        <v>490</v>
      </c>
      <c r="I14" s="257">
        <v>15</v>
      </c>
      <c r="J14" s="258">
        <f>K14/I14</f>
        <v>844.9666666666667</v>
      </c>
      <c r="K14" s="259">
        <v>12674.5</v>
      </c>
      <c r="L14" s="260">
        <v>0</v>
      </c>
      <c r="M14" s="261">
        <f>SUM(K14:L14)</f>
        <v>12674.5</v>
      </c>
      <c r="N14" s="281">
        <f t="shared" ref="N14" si="9">IF(K14/15&lt;=SMG,0,L14/2)</f>
        <v>0</v>
      </c>
      <c r="O14" s="296">
        <f t="shared" ref="O14" si="10">(K14+N14)/I14*30.4</f>
        <v>25686.986666666668</v>
      </c>
      <c r="P14" s="296">
        <f t="shared" ref="P14" si="11">VLOOKUP(O14,Tarifa,1)</f>
        <v>17533.650000000001</v>
      </c>
      <c r="Q14" s="281">
        <f t="shared" ref="Q14" si="12">O14-P14</f>
        <v>8153.3366666666661</v>
      </c>
      <c r="R14" s="282">
        <f t="shared" ref="R14" si="13">VLOOKUP(O14,Tarifa,3)</f>
        <v>0.21360000000000001</v>
      </c>
      <c r="S14" s="281">
        <f t="shared" ref="S14" si="14">Q14*R14</f>
        <v>1741.5527119999999</v>
      </c>
      <c r="T14" s="283">
        <f t="shared" ref="T14" si="15">VLOOKUP(O14,Tarifa,2)</f>
        <v>1856.84</v>
      </c>
      <c r="U14" s="281">
        <f t="shared" ref="U14" si="16">S14+T14</f>
        <v>3598.3927119999998</v>
      </c>
      <c r="V14" s="281">
        <f t="shared" ref="V14" si="17">VLOOKUP(O14,Credito,2)</f>
        <v>0</v>
      </c>
      <c r="W14" s="281">
        <f t="shared" ref="W14" si="18">ROUND((U14-V14)/30.4*I14,2)</f>
        <v>1775.52</v>
      </c>
      <c r="X14" s="261">
        <f>-IF(W14&gt;0,0,0)</f>
        <v>0</v>
      </c>
      <c r="Y14" s="261">
        <f t="shared" ref="Y14" si="19">IF(K14/15&lt;=SMG,0,IF(W14&lt;0,0,W14))</f>
        <v>1775.52</v>
      </c>
      <c r="Z14" s="262">
        <v>0</v>
      </c>
      <c r="AA14" s="261">
        <f t="shared" ref="AA14" si="20">SUM(Y14:Z14)</f>
        <v>1775.52</v>
      </c>
      <c r="AB14" s="261">
        <f t="shared" ref="AB14" si="21">M14+X14-AA14</f>
        <v>10898.98</v>
      </c>
      <c r="AC14" s="385"/>
      <c r="AG14" s="66"/>
    </row>
    <row r="15" spans="1:33" s="286" customFormat="1" ht="210.75" customHeight="1" x14ac:dyDescent="0.2">
      <c r="A15" s="335"/>
      <c r="B15" s="272" t="s">
        <v>260</v>
      </c>
      <c r="C15" s="267" t="s">
        <v>105</v>
      </c>
      <c r="D15" s="253" t="s">
        <v>261</v>
      </c>
      <c r="E15" s="254" t="s">
        <v>262</v>
      </c>
      <c r="F15" s="254" t="s">
        <v>263</v>
      </c>
      <c r="G15" s="255">
        <v>45154</v>
      </c>
      <c r="H15" s="256" t="s">
        <v>573</v>
      </c>
      <c r="I15" s="257">
        <v>15</v>
      </c>
      <c r="J15" s="258">
        <f>K15/I15</f>
        <v>280</v>
      </c>
      <c r="K15" s="259">
        <v>4200</v>
      </c>
      <c r="L15" s="260">
        <v>0</v>
      </c>
      <c r="M15" s="261">
        <f t="shared" ref="M15" si="22">SUM(K15:L15)</f>
        <v>4200</v>
      </c>
      <c r="N15" s="281">
        <f>IF(K15/15&lt;=SMG,0,L15/2)</f>
        <v>0</v>
      </c>
      <c r="O15" s="296">
        <f>(K15+N15)/I15*30.4</f>
        <v>8512</v>
      </c>
      <c r="P15" s="296">
        <f>VLOOKUP(O15,Tarifa,1)</f>
        <v>7168.52</v>
      </c>
      <c r="Q15" s="281">
        <f>O15-P15</f>
        <v>1343.4799999999996</v>
      </c>
      <c r="R15" s="282">
        <f>VLOOKUP(O15,Tarifa,3)</f>
        <v>0.10879999999999999</v>
      </c>
      <c r="S15" s="281">
        <f>Q15*R15</f>
        <v>146.17062399999995</v>
      </c>
      <c r="T15" s="283">
        <f>VLOOKUP(O15,Tarifa,2)</f>
        <v>420.95</v>
      </c>
      <c r="U15" s="281">
        <f>S15+T15</f>
        <v>567.12062399999991</v>
      </c>
      <c r="V15" s="281">
        <f>VLOOKUP(O15,Credito,2)</f>
        <v>535.65</v>
      </c>
      <c r="W15" s="281">
        <f>ROUND((U15-V15)/30.4*I15,2)</f>
        <v>15.53</v>
      </c>
      <c r="X15" s="261">
        <f>-IF(W15&gt;0,0,0)</f>
        <v>0</v>
      </c>
      <c r="Y15" s="261">
        <f t="shared" ref="Y15" si="23">IF(K15/15&lt;=SMG,0,IF(W15&lt;0,0,W15))</f>
        <v>0</v>
      </c>
      <c r="Z15" s="262">
        <v>0</v>
      </c>
      <c r="AA15" s="261">
        <f t="shared" ref="AA15" si="24">SUM(Y15:Z15)</f>
        <v>0</v>
      </c>
      <c r="AB15" s="261">
        <f t="shared" ref="AB15" si="25">M15+X15-AA15</f>
        <v>4200</v>
      </c>
      <c r="AC15" s="271"/>
      <c r="AG15" s="334"/>
    </row>
    <row r="16" spans="1:33" s="286" customFormat="1" ht="196.5" customHeight="1" x14ac:dyDescent="0.2">
      <c r="A16" s="335"/>
      <c r="B16" s="366"/>
      <c r="C16" s="367"/>
      <c r="D16" s="368"/>
      <c r="E16" s="369"/>
      <c r="F16" s="369"/>
      <c r="G16" s="370"/>
      <c r="H16" s="371"/>
      <c r="I16" s="372"/>
      <c r="J16" s="373"/>
      <c r="K16" s="374"/>
      <c r="L16" s="375"/>
      <c r="M16" s="376"/>
      <c r="N16" s="358"/>
      <c r="O16" s="359"/>
      <c r="P16" s="359"/>
      <c r="Q16" s="358"/>
      <c r="R16" s="360"/>
      <c r="S16" s="358"/>
      <c r="T16" s="361"/>
      <c r="U16" s="358"/>
      <c r="V16" s="358"/>
      <c r="W16" s="358"/>
      <c r="X16" s="376"/>
      <c r="Y16" s="376"/>
      <c r="Z16" s="377"/>
      <c r="AA16" s="376"/>
      <c r="AB16" s="376"/>
      <c r="AC16" s="265"/>
      <c r="AG16" s="334"/>
    </row>
    <row r="17" spans="1:33" s="52" customFormat="1" ht="179.25" customHeight="1" x14ac:dyDescent="0.3">
      <c r="A17" s="153"/>
      <c r="B17" s="233"/>
      <c r="C17" s="204"/>
      <c r="D17" s="205"/>
      <c r="E17" s="206"/>
      <c r="F17" s="206"/>
      <c r="G17" s="207"/>
      <c r="H17" s="196"/>
      <c r="I17" s="208"/>
      <c r="J17" s="209"/>
      <c r="K17" s="210"/>
      <c r="L17" s="211"/>
      <c r="M17" s="212"/>
      <c r="N17" s="213"/>
      <c r="O17" s="213"/>
      <c r="P17" s="213"/>
      <c r="Q17" s="213"/>
      <c r="R17" s="214"/>
      <c r="S17" s="213"/>
      <c r="T17" s="215"/>
      <c r="U17" s="213"/>
      <c r="V17" s="213"/>
      <c r="W17" s="213"/>
      <c r="X17" s="212"/>
      <c r="Y17" s="212"/>
      <c r="Z17" s="216"/>
      <c r="AA17" s="212"/>
      <c r="AB17" s="212"/>
      <c r="AC17" s="91"/>
      <c r="AG17" s="66"/>
    </row>
    <row r="18" spans="1:33" s="52" customFormat="1" ht="18.399999999999999" customHeight="1" x14ac:dyDescent="0.25">
      <c r="A18" s="153"/>
      <c r="B18" s="449" t="s">
        <v>76</v>
      </c>
      <c r="C18" s="449"/>
      <c r="D18" s="449"/>
      <c r="E18" s="449"/>
      <c r="F18" s="449"/>
      <c r="G18" s="449"/>
      <c r="H18" s="449"/>
      <c r="I18" s="449"/>
      <c r="J18" s="449"/>
      <c r="K18" s="449"/>
      <c r="L18" s="449"/>
      <c r="M18" s="449"/>
      <c r="N18" s="449"/>
      <c r="O18" s="449"/>
      <c r="P18" s="449"/>
      <c r="Q18" s="449"/>
      <c r="R18" s="449"/>
      <c r="S18" s="449"/>
      <c r="T18" s="449"/>
      <c r="U18" s="449"/>
      <c r="V18" s="449"/>
      <c r="W18" s="449"/>
      <c r="X18" s="449"/>
      <c r="Y18" s="449"/>
      <c r="Z18" s="449"/>
      <c r="AA18" s="449"/>
      <c r="AB18" s="449"/>
      <c r="AC18" s="449"/>
      <c r="AD18" s="449"/>
      <c r="AG18" s="66"/>
    </row>
    <row r="19" spans="1:33" s="52" customFormat="1" ht="30.75" customHeight="1" x14ac:dyDescent="0.25">
      <c r="A19" s="153"/>
      <c r="B19" s="449" t="s">
        <v>64</v>
      </c>
      <c r="C19" s="449"/>
      <c r="D19" s="449"/>
      <c r="E19" s="449"/>
      <c r="F19" s="449"/>
      <c r="G19" s="449"/>
      <c r="H19" s="449"/>
      <c r="I19" s="449"/>
      <c r="J19" s="449"/>
      <c r="K19" s="449"/>
      <c r="L19" s="449"/>
      <c r="M19" s="449"/>
      <c r="N19" s="449"/>
      <c r="O19" s="449"/>
      <c r="P19" s="449"/>
      <c r="Q19" s="449"/>
      <c r="R19" s="449"/>
      <c r="S19" s="449"/>
      <c r="T19" s="449"/>
      <c r="U19" s="449"/>
      <c r="V19" s="449"/>
      <c r="W19" s="449"/>
      <c r="X19" s="449"/>
      <c r="Y19" s="449"/>
      <c r="Z19" s="449"/>
      <c r="AA19" s="449"/>
      <c r="AB19" s="449"/>
      <c r="AC19" s="449"/>
      <c r="AD19" s="449"/>
      <c r="AG19" s="66"/>
    </row>
    <row r="20" spans="1:33" s="52" customFormat="1" ht="31.5" customHeight="1" x14ac:dyDescent="0.25">
      <c r="A20" s="153"/>
      <c r="B20" s="450" t="str">
        <f>PRESIDENCIA!A3</f>
        <v>SUELDO  DEL 15 AL 30 DE SEPTIEMBRE DE 2026</v>
      </c>
      <c r="C20" s="450"/>
      <c r="D20" s="450"/>
      <c r="E20" s="450"/>
      <c r="F20" s="450"/>
      <c r="G20" s="450"/>
      <c r="H20" s="450"/>
      <c r="I20" s="450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0"/>
      <c r="AA20" s="450"/>
      <c r="AB20" s="450"/>
      <c r="AC20" s="450"/>
      <c r="AD20" s="450"/>
      <c r="AG20" s="66"/>
    </row>
    <row r="21" spans="1:33" s="52" customFormat="1" ht="26.25" customHeight="1" x14ac:dyDescent="0.3">
      <c r="A21" s="153"/>
      <c r="B21" s="233"/>
      <c r="C21" s="204"/>
      <c r="D21" s="205"/>
      <c r="E21" s="206"/>
      <c r="F21" s="206"/>
      <c r="G21" s="207"/>
      <c r="H21" s="196"/>
      <c r="I21" s="208"/>
      <c r="J21" s="209"/>
      <c r="K21" s="210"/>
      <c r="L21" s="211"/>
      <c r="M21" s="212"/>
      <c r="N21" s="213"/>
      <c r="O21" s="213"/>
      <c r="P21" s="213"/>
      <c r="Q21" s="213"/>
      <c r="R21" s="214"/>
      <c r="S21" s="213"/>
      <c r="T21" s="215"/>
      <c r="U21" s="213"/>
      <c r="V21" s="213"/>
      <c r="W21" s="213"/>
      <c r="X21" s="212"/>
      <c r="Y21" s="212"/>
      <c r="Z21" s="216"/>
      <c r="AA21" s="212"/>
      <c r="AB21" s="212"/>
      <c r="AC21" s="91"/>
      <c r="AG21" s="66"/>
    </row>
    <row r="22" spans="1:33" s="286" customFormat="1" ht="234" customHeight="1" x14ac:dyDescent="0.2">
      <c r="A22" s="335"/>
      <c r="B22" s="272" t="s">
        <v>532</v>
      </c>
      <c r="C22" s="267" t="s">
        <v>105</v>
      </c>
      <c r="D22" s="273" t="s">
        <v>533</v>
      </c>
      <c r="E22" s="274" t="s">
        <v>534</v>
      </c>
      <c r="F22" s="274" t="s">
        <v>535</v>
      </c>
      <c r="G22" s="313">
        <v>45945</v>
      </c>
      <c r="H22" s="256" t="s">
        <v>335</v>
      </c>
      <c r="I22" s="257">
        <v>15</v>
      </c>
      <c r="J22" s="258">
        <f>K22/I22</f>
        <v>296.53333333333336</v>
      </c>
      <c r="K22" s="259">
        <v>4448</v>
      </c>
      <c r="L22" s="260">
        <v>0</v>
      </c>
      <c r="M22" s="261">
        <f t="shared" ref="M22" si="26">SUM(K22:L22)</f>
        <v>4448</v>
      </c>
      <c r="N22" s="281">
        <f>IF(K22/15&lt;=SMG,0,L22/2)</f>
        <v>0</v>
      </c>
      <c r="O22" s="296">
        <f>(K22+N22)/I22*30.4</f>
        <v>9014.6133333333346</v>
      </c>
      <c r="P22" s="296">
        <f>VLOOKUP(O22,Tarifa,1)</f>
        <v>7168.52</v>
      </c>
      <c r="Q22" s="281">
        <f>O22-P22</f>
        <v>1846.0933333333342</v>
      </c>
      <c r="R22" s="282">
        <f>VLOOKUP(O22,Tarifa,3)</f>
        <v>0.10879999999999999</v>
      </c>
      <c r="S22" s="281">
        <f>Q22*R22</f>
        <v>200.85495466666674</v>
      </c>
      <c r="T22" s="283">
        <f>VLOOKUP(O22,Tarifa,2)</f>
        <v>420.95</v>
      </c>
      <c r="U22" s="281">
        <f>S22+T22</f>
        <v>621.80495466666673</v>
      </c>
      <c r="V22" s="281">
        <f>VLOOKUP(O22,Credito,2)</f>
        <v>535.65</v>
      </c>
      <c r="W22" s="281">
        <f>ROUND((U22-V22)/30.4*I22,2)</f>
        <v>42.51</v>
      </c>
      <c r="X22" s="261">
        <f>-IF(W22&gt;0,0,0)</f>
        <v>0</v>
      </c>
      <c r="Y22" s="261">
        <f t="shared" ref="Y22" si="27">IF(K22/15&lt;=SMG,0,IF(W22&lt;0,0,W22))</f>
        <v>0</v>
      </c>
      <c r="Z22" s="262">
        <v>0</v>
      </c>
      <c r="AA22" s="261">
        <f t="shared" ref="AA22" si="28">SUM(Y22:Z22)</f>
        <v>0</v>
      </c>
      <c r="AB22" s="261">
        <f t="shared" ref="AB22" si="29">M22+X22-AA22</f>
        <v>4448</v>
      </c>
      <c r="AC22" s="271"/>
      <c r="AG22" s="334"/>
    </row>
    <row r="23" spans="1:33" s="52" customFormat="1" ht="60.75" customHeight="1" x14ac:dyDescent="0.3">
      <c r="A23" s="153"/>
      <c r="B23" s="148" t="s">
        <v>91</v>
      </c>
      <c r="C23" s="148" t="s">
        <v>111</v>
      </c>
      <c r="D23" s="218" t="s">
        <v>243</v>
      </c>
      <c r="E23" s="218" t="s">
        <v>92</v>
      </c>
      <c r="F23" s="218" t="s">
        <v>189</v>
      </c>
      <c r="G23" s="217" t="s">
        <v>229</v>
      </c>
      <c r="H23" s="218" t="s">
        <v>61</v>
      </c>
      <c r="I23" s="218"/>
      <c r="J23" s="218"/>
      <c r="K23" s="219">
        <f>SUM(K24:K24)</f>
        <v>9277.5</v>
      </c>
      <c r="L23" s="219">
        <f>SUM(L24:L24)</f>
        <v>0</v>
      </c>
      <c r="M23" s="219">
        <f>SUM(M24:M24)</f>
        <v>9277.5</v>
      </c>
      <c r="N23" s="219" t="e">
        <f>#REF!+N24+#REF!</f>
        <v>#REF!</v>
      </c>
      <c r="O23" s="219" t="e">
        <f>#REF!+O24+#REF!</f>
        <v>#REF!</v>
      </c>
      <c r="P23" s="219" t="e">
        <f>#REF!+P24+#REF!</f>
        <v>#REF!</v>
      </c>
      <c r="Q23" s="219" t="e">
        <f>#REF!+Q24+#REF!</f>
        <v>#REF!</v>
      </c>
      <c r="R23" s="219" t="e">
        <f>#REF!+R24+#REF!</f>
        <v>#REF!</v>
      </c>
      <c r="S23" s="219" t="e">
        <f>#REF!+S24+#REF!</f>
        <v>#REF!</v>
      </c>
      <c r="T23" s="219" t="e">
        <f>#REF!+T24+#REF!</f>
        <v>#REF!</v>
      </c>
      <c r="U23" s="219" t="e">
        <f>#REF!+U24+#REF!</f>
        <v>#REF!</v>
      </c>
      <c r="V23" s="219" t="e">
        <f>#REF!+V24+#REF!</f>
        <v>#REF!</v>
      </c>
      <c r="W23" s="219" t="e">
        <f>#REF!+W24+#REF!</f>
        <v>#REF!</v>
      </c>
      <c r="X23" s="219">
        <f>SUM(X24:X24)</f>
        <v>0</v>
      </c>
      <c r="Y23" s="219">
        <f>SUM(Y24:Y24)</f>
        <v>1049.92</v>
      </c>
      <c r="Z23" s="219">
        <f>SUM(Z24:Z24)</f>
        <v>0</v>
      </c>
      <c r="AA23" s="219">
        <f>SUM(AA24:AA24)</f>
        <v>1049.92</v>
      </c>
      <c r="AB23" s="219">
        <f>SUM(AB24:AB24)</f>
        <v>8227.58</v>
      </c>
      <c r="AC23" s="97"/>
      <c r="AG23" s="66"/>
    </row>
    <row r="24" spans="1:33" s="286" customFormat="1" ht="227.25" customHeight="1" x14ac:dyDescent="0.2">
      <c r="A24" s="335"/>
      <c r="B24" s="272" t="s">
        <v>255</v>
      </c>
      <c r="C24" s="267" t="s">
        <v>105</v>
      </c>
      <c r="D24" s="273" t="s">
        <v>244</v>
      </c>
      <c r="E24" s="274" t="s">
        <v>245</v>
      </c>
      <c r="F24" s="274" t="s">
        <v>246</v>
      </c>
      <c r="G24" s="313">
        <v>45108</v>
      </c>
      <c r="H24" s="256" t="s">
        <v>564</v>
      </c>
      <c r="I24" s="257">
        <v>15</v>
      </c>
      <c r="J24" s="258">
        <f>K24/I24</f>
        <v>618.5</v>
      </c>
      <c r="K24" s="259">
        <v>9277.5</v>
      </c>
      <c r="L24" s="260">
        <v>0</v>
      </c>
      <c r="M24" s="261">
        <f t="shared" ref="M24" si="30">SUM(K24:L24)</f>
        <v>9277.5</v>
      </c>
      <c r="N24" s="281">
        <f>IF(K24/15&lt;=SMG,0,L24/2)</f>
        <v>0</v>
      </c>
      <c r="O24" s="296">
        <f>(K24+N24)/I24*30.4</f>
        <v>18802.399999999998</v>
      </c>
      <c r="P24" s="296">
        <f>VLOOKUP(O24,Tarifa,1)</f>
        <v>17533.650000000001</v>
      </c>
      <c r="Q24" s="281">
        <f>O24-P24</f>
        <v>1268.7499999999964</v>
      </c>
      <c r="R24" s="282">
        <f>VLOOKUP(O24,Tarifa,3)</f>
        <v>0.21360000000000001</v>
      </c>
      <c r="S24" s="281">
        <f>Q24*R24</f>
        <v>271.00499999999926</v>
      </c>
      <c r="T24" s="283">
        <f>VLOOKUP(O24,Tarifa,2)</f>
        <v>1856.84</v>
      </c>
      <c r="U24" s="281">
        <f>S24+T24</f>
        <v>2127.8449999999993</v>
      </c>
      <c r="V24" s="281">
        <f>VLOOKUP(O24,Credito,2)</f>
        <v>0</v>
      </c>
      <c r="W24" s="281">
        <f>ROUND((U24-V24)/30.4*I24,2)</f>
        <v>1049.92</v>
      </c>
      <c r="X24" s="261">
        <f>-IF(W24&gt;0,0,0)</f>
        <v>0</v>
      </c>
      <c r="Y24" s="261">
        <f t="shared" ref="Y24" si="31">IF(K24/15&lt;=SMG,0,IF(W24&lt;0,0,W24))</f>
        <v>1049.92</v>
      </c>
      <c r="Z24" s="262">
        <v>0</v>
      </c>
      <c r="AA24" s="261">
        <f t="shared" ref="AA24" si="32">SUM(Y24:Z24)</f>
        <v>1049.92</v>
      </c>
      <c r="AB24" s="261">
        <f t="shared" ref="AB24" si="33">M24+X24-AA24</f>
        <v>8227.58</v>
      </c>
      <c r="AC24" s="271"/>
      <c r="AG24" s="334"/>
    </row>
    <row r="25" spans="1:33" s="52" customFormat="1" ht="47.25" customHeight="1" x14ac:dyDescent="0.25">
      <c r="A25" s="153"/>
      <c r="B25" s="195" t="s">
        <v>91</v>
      </c>
      <c r="C25" s="195" t="s">
        <v>111</v>
      </c>
      <c r="D25" s="195" t="s">
        <v>353</v>
      </c>
      <c r="E25" s="236" t="s">
        <v>92</v>
      </c>
      <c r="F25" s="236" t="s">
        <v>189</v>
      </c>
      <c r="G25" s="195" t="s">
        <v>229</v>
      </c>
      <c r="H25" s="236" t="s">
        <v>61</v>
      </c>
      <c r="I25" s="236"/>
      <c r="J25" s="236"/>
      <c r="K25" s="237">
        <f>SUM(K26)</f>
        <v>6393.5</v>
      </c>
      <c r="L25" s="237">
        <f>SUM(L26)</f>
        <v>0</v>
      </c>
      <c r="M25" s="237">
        <f>SUM(M26)</f>
        <v>6393.5</v>
      </c>
      <c r="N25" s="236"/>
      <c r="O25" s="236"/>
      <c r="P25" s="236"/>
      <c r="Q25" s="236"/>
      <c r="R25" s="236"/>
      <c r="S25" s="236"/>
      <c r="T25" s="238"/>
      <c r="U25" s="236"/>
      <c r="V25" s="236"/>
      <c r="W25" s="236"/>
      <c r="X25" s="237">
        <f>SUM(X26)</f>
        <v>0</v>
      </c>
      <c r="Y25" s="237">
        <f>SUM(Y26)</f>
        <v>527.55999999999995</v>
      </c>
      <c r="Z25" s="237">
        <f>SUM(Z26)</f>
        <v>0</v>
      </c>
      <c r="AA25" s="237">
        <f>SUM(AA26)</f>
        <v>527.55999999999995</v>
      </c>
      <c r="AB25" s="237">
        <f>SUM(AB26)</f>
        <v>5865.9400000000005</v>
      </c>
      <c r="AC25" s="177"/>
      <c r="AG25" s="66"/>
    </row>
    <row r="26" spans="1:33" s="286" customFormat="1" ht="240.75" customHeight="1" x14ac:dyDescent="0.2">
      <c r="A26" s="335"/>
      <c r="B26" s="272" t="s">
        <v>354</v>
      </c>
      <c r="C26" s="267" t="s">
        <v>105</v>
      </c>
      <c r="D26" s="253" t="s">
        <v>355</v>
      </c>
      <c r="E26" s="254" t="s">
        <v>356</v>
      </c>
      <c r="F26" s="254" t="s">
        <v>357</v>
      </c>
      <c r="G26" s="255">
        <v>45566</v>
      </c>
      <c r="H26" s="256" t="s">
        <v>565</v>
      </c>
      <c r="I26" s="257">
        <v>15</v>
      </c>
      <c r="J26" s="258">
        <f>K26/I26</f>
        <v>426.23333333333335</v>
      </c>
      <c r="K26" s="259">
        <v>6393.5</v>
      </c>
      <c r="L26" s="260">
        <v>0</v>
      </c>
      <c r="M26" s="261">
        <f>SUM(K26:L26)</f>
        <v>6393.5</v>
      </c>
      <c r="N26" s="281">
        <f>IF(K26/15&lt;=SMG,0,L26/2)</f>
        <v>0</v>
      </c>
      <c r="O26" s="296">
        <f>(K26+N26)/I26*30.4</f>
        <v>12957.493333333334</v>
      </c>
      <c r="P26" s="296">
        <f>VLOOKUP(O26,Tarifa,1)</f>
        <v>12598.03</v>
      </c>
      <c r="Q26" s="281">
        <f>O26-P26</f>
        <v>359.46333333333314</v>
      </c>
      <c r="R26" s="282">
        <f>VLOOKUP(O26,Tarifa,3)</f>
        <v>0.16</v>
      </c>
      <c r="S26" s="281">
        <f>Q26*R26</f>
        <v>57.514133333333305</v>
      </c>
      <c r="T26" s="283">
        <f>VLOOKUP(O26,Tarifa,2)</f>
        <v>1011.68</v>
      </c>
      <c r="U26" s="281">
        <f>S26+T26</f>
        <v>1069.1941333333332</v>
      </c>
      <c r="V26" s="281">
        <f>VLOOKUP(O26,Credito,2)</f>
        <v>0</v>
      </c>
      <c r="W26" s="281">
        <f>ROUND((U26-V26)/30.4*I26,2)</f>
        <v>527.55999999999995</v>
      </c>
      <c r="X26" s="261">
        <f>-IF(W26&gt;0,0,0)</f>
        <v>0</v>
      </c>
      <c r="Y26" s="261">
        <f>IF(K26/15&lt;=SMG,0,IF(W26&lt;0,0,W26))</f>
        <v>527.55999999999995</v>
      </c>
      <c r="Z26" s="262">
        <v>0</v>
      </c>
      <c r="AA26" s="261">
        <f>SUM(Y26:Z26)</f>
        <v>527.55999999999995</v>
      </c>
      <c r="AB26" s="261">
        <f>M26+X26-AA26</f>
        <v>5865.9400000000005</v>
      </c>
      <c r="AC26" s="263"/>
      <c r="AG26" s="334"/>
    </row>
    <row r="27" spans="1:33" s="286" customFormat="1" ht="118.5" customHeight="1" x14ac:dyDescent="0.3">
      <c r="A27" s="335"/>
      <c r="B27" s="195" t="s">
        <v>91</v>
      </c>
      <c r="C27" s="195" t="s">
        <v>111</v>
      </c>
      <c r="D27" s="221" t="s">
        <v>114</v>
      </c>
      <c r="E27" s="222" t="s">
        <v>92</v>
      </c>
      <c r="F27" s="222" t="s">
        <v>189</v>
      </c>
      <c r="G27" s="221" t="s">
        <v>229</v>
      </c>
      <c r="H27" s="222" t="s">
        <v>61</v>
      </c>
      <c r="I27" s="222"/>
      <c r="J27" s="222"/>
      <c r="K27" s="223">
        <f>SUM(K28)</f>
        <v>7962</v>
      </c>
      <c r="L27" s="223">
        <f>SUM(L28)</f>
        <v>0</v>
      </c>
      <c r="M27" s="223">
        <f>SUM(M28)</f>
        <v>7962</v>
      </c>
      <c r="N27" s="222"/>
      <c r="O27" s="222"/>
      <c r="P27" s="222"/>
      <c r="Q27" s="222"/>
      <c r="R27" s="222"/>
      <c r="S27" s="222"/>
      <c r="T27" s="224"/>
      <c r="U27" s="222"/>
      <c r="V27" s="222"/>
      <c r="W27" s="222"/>
      <c r="X27" s="223">
        <f>SUM(X28)</f>
        <v>0</v>
      </c>
      <c r="Y27" s="223">
        <f>SUM(Y28)</f>
        <v>792.65</v>
      </c>
      <c r="Z27" s="223">
        <f>SUM(Z28)</f>
        <v>0</v>
      </c>
      <c r="AA27" s="223">
        <f>SUM(AA28)</f>
        <v>792.65</v>
      </c>
      <c r="AB27" s="223">
        <f>SUM(AB28)</f>
        <v>7169.35</v>
      </c>
      <c r="AC27" s="177"/>
      <c r="AG27" s="334"/>
    </row>
    <row r="28" spans="1:33" s="286" customFormat="1" ht="241.5" customHeight="1" x14ac:dyDescent="0.2">
      <c r="A28" s="335"/>
      <c r="B28" s="272" t="s">
        <v>345</v>
      </c>
      <c r="C28" s="267" t="s">
        <v>105</v>
      </c>
      <c r="D28" s="253" t="s">
        <v>342</v>
      </c>
      <c r="E28" s="254" t="s">
        <v>343</v>
      </c>
      <c r="F28" s="254" t="s">
        <v>344</v>
      </c>
      <c r="G28" s="255">
        <v>45566</v>
      </c>
      <c r="H28" s="256" t="s">
        <v>90</v>
      </c>
      <c r="I28" s="257">
        <v>15</v>
      </c>
      <c r="J28" s="258">
        <f>K28/I28</f>
        <v>530.79999999999995</v>
      </c>
      <c r="K28" s="259">
        <v>7962</v>
      </c>
      <c r="L28" s="260">
        <v>0</v>
      </c>
      <c r="M28" s="261">
        <f>SUM(K28:L28)</f>
        <v>7962</v>
      </c>
      <c r="N28" s="281">
        <f>IF(K28/15&lt;=SMG,0,L28/2)</f>
        <v>0</v>
      </c>
      <c r="O28" s="296">
        <f>(K28+N28)/I28*30.4</f>
        <v>16136.319999999998</v>
      </c>
      <c r="P28" s="296">
        <f>VLOOKUP(O28,Tarifa,1)</f>
        <v>14644.65</v>
      </c>
      <c r="Q28" s="281">
        <f>O28-P28</f>
        <v>1491.6699999999983</v>
      </c>
      <c r="R28" s="282">
        <f>VLOOKUP(O28,Tarifa,3)</f>
        <v>0.1792</v>
      </c>
      <c r="S28" s="281">
        <f>Q28*R28</f>
        <v>267.30726399999969</v>
      </c>
      <c r="T28" s="283">
        <f>VLOOKUP(O28,Tarifa,2)</f>
        <v>1339.14</v>
      </c>
      <c r="U28" s="281">
        <f>S28+T28</f>
        <v>1606.4472639999999</v>
      </c>
      <c r="V28" s="281">
        <f>VLOOKUP(O28,Credito,2)</f>
        <v>0</v>
      </c>
      <c r="W28" s="281">
        <f>ROUND((U28-V28)/30.4*I28,2)</f>
        <v>792.65</v>
      </c>
      <c r="X28" s="261">
        <f>-IF(W28&gt;0,0,0)</f>
        <v>0</v>
      </c>
      <c r="Y28" s="261">
        <f>IF(K28/15&lt;=SMG,0,IF(W28&lt;0,0,W28))</f>
        <v>792.65</v>
      </c>
      <c r="Z28" s="262">
        <v>0</v>
      </c>
      <c r="AA28" s="261">
        <f>SUM(Y28:Z28)</f>
        <v>792.65</v>
      </c>
      <c r="AB28" s="261">
        <f>M28+X28-AA28</f>
        <v>7169.35</v>
      </c>
      <c r="AC28" s="263"/>
      <c r="AG28" s="334"/>
    </row>
    <row r="29" spans="1:33" s="286" customFormat="1" ht="409.6" customHeight="1" x14ac:dyDescent="0.2">
      <c r="A29" s="335"/>
      <c r="B29" s="366"/>
      <c r="C29" s="367"/>
      <c r="D29" s="368"/>
      <c r="E29" s="369"/>
      <c r="F29" s="369"/>
      <c r="G29" s="370"/>
      <c r="H29" s="371"/>
      <c r="I29" s="372"/>
      <c r="J29" s="373"/>
      <c r="K29" s="374"/>
      <c r="L29" s="375"/>
      <c r="M29" s="376"/>
      <c r="N29" s="358"/>
      <c r="O29" s="359"/>
      <c r="P29" s="359"/>
      <c r="Q29" s="358"/>
      <c r="R29" s="360"/>
      <c r="S29" s="358"/>
      <c r="T29" s="361"/>
      <c r="U29" s="358"/>
      <c r="V29" s="358"/>
      <c r="W29" s="358"/>
      <c r="X29" s="376"/>
      <c r="Y29" s="376"/>
      <c r="Z29" s="377"/>
      <c r="AA29" s="376"/>
      <c r="AB29" s="376"/>
      <c r="AC29" s="336"/>
      <c r="AG29" s="334"/>
    </row>
    <row r="30" spans="1:33" s="52" customFormat="1" ht="39.75" customHeight="1" x14ac:dyDescent="0.25">
      <c r="A30" s="153"/>
      <c r="B30" s="449" t="s">
        <v>76</v>
      </c>
      <c r="C30" s="449"/>
      <c r="D30" s="449"/>
      <c r="E30" s="449"/>
      <c r="F30" s="449"/>
      <c r="G30" s="449"/>
      <c r="H30" s="449"/>
      <c r="I30" s="449"/>
      <c r="J30" s="449"/>
      <c r="K30" s="449"/>
      <c r="L30" s="449"/>
      <c r="M30" s="449"/>
      <c r="N30" s="449"/>
      <c r="O30" s="449"/>
      <c r="P30" s="449"/>
      <c r="Q30" s="449"/>
      <c r="R30" s="449"/>
      <c r="S30" s="449"/>
      <c r="T30" s="449"/>
      <c r="U30" s="449"/>
      <c r="V30" s="449"/>
      <c r="W30" s="449"/>
      <c r="X30" s="449"/>
      <c r="Y30" s="449"/>
      <c r="Z30" s="449"/>
      <c r="AA30" s="449"/>
      <c r="AB30" s="449"/>
      <c r="AC30" s="449"/>
      <c r="AG30" s="66"/>
    </row>
    <row r="31" spans="1:33" s="52" customFormat="1" ht="27" customHeight="1" x14ac:dyDescent="0.25">
      <c r="A31" s="153"/>
      <c r="B31" s="449" t="s">
        <v>64</v>
      </c>
      <c r="C31" s="449"/>
      <c r="D31" s="449"/>
      <c r="E31" s="449"/>
      <c r="F31" s="449"/>
      <c r="G31" s="449"/>
      <c r="H31" s="449"/>
      <c r="I31" s="449"/>
      <c r="J31" s="449"/>
      <c r="K31" s="449"/>
      <c r="L31" s="449"/>
      <c r="M31" s="449"/>
      <c r="N31" s="449"/>
      <c r="O31" s="449"/>
      <c r="P31" s="449"/>
      <c r="Q31" s="449"/>
      <c r="R31" s="449"/>
      <c r="S31" s="449"/>
      <c r="T31" s="449"/>
      <c r="U31" s="449"/>
      <c r="V31" s="449"/>
      <c r="W31" s="449"/>
      <c r="X31" s="449"/>
      <c r="Y31" s="449"/>
      <c r="Z31" s="449"/>
      <c r="AA31" s="449"/>
      <c r="AB31" s="449"/>
      <c r="AC31" s="449"/>
      <c r="AG31" s="66"/>
    </row>
    <row r="32" spans="1:33" s="52" customFormat="1" ht="32.25" customHeight="1" x14ac:dyDescent="0.25">
      <c r="A32" s="153"/>
      <c r="B32" s="484" t="str">
        <f>PRESIDENCIA!A3</f>
        <v>SUELDO  DEL 15 AL 30 DE SEPTIEMBRE DE 2026</v>
      </c>
      <c r="C32" s="450"/>
      <c r="D32" s="450"/>
      <c r="E32" s="450"/>
      <c r="F32" s="450"/>
      <c r="G32" s="450"/>
      <c r="H32" s="450"/>
      <c r="I32" s="450"/>
      <c r="J32" s="450"/>
      <c r="K32" s="450"/>
      <c r="L32" s="450"/>
      <c r="M32" s="450"/>
      <c r="N32" s="450"/>
      <c r="O32" s="450"/>
      <c r="P32" s="450"/>
      <c r="Q32" s="450"/>
      <c r="R32" s="450"/>
      <c r="S32" s="450"/>
      <c r="T32" s="450"/>
      <c r="U32" s="450"/>
      <c r="V32" s="450"/>
      <c r="W32" s="450"/>
      <c r="X32" s="450"/>
      <c r="Y32" s="450"/>
      <c r="Z32" s="450"/>
      <c r="AA32" s="450"/>
      <c r="AB32" s="450"/>
      <c r="AC32" s="450"/>
      <c r="AG32" s="66"/>
    </row>
    <row r="33" spans="1:33" s="52" customFormat="1" ht="25.5" customHeight="1" x14ac:dyDescent="0.3">
      <c r="A33" s="153"/>
      <c r="B33" s="233"/>
      <c r="C33" s="204"/>
      <c r="D33" s="205"/>
      <c r="E33" s="206"/>
      <c r="F33" s="206"/>
      <c r="G33" s="207"/>
      <c r="H33" s="196"/>
      <c r="I33" s="208"/>
      <c r="J33" s="209"/>
      <c r="K33" s="210"/>
      <c r="L33" s="211"/>
      <c r="M33" s="212"/>
      <c r="N33" s="213"/>
      <c r="O33" s="213"/>
      <c r="P33" s="213"/>
      <c r="Q33" s="213"/>
      <c r="R33" s="214"/>
      <c r="S33" s="213"/>
      <c r="T33" s="215"/>
      <c r="U33" s="213"/>
      <c r="V33" s="213"/>
      <c r="W33" s="213"/>
      <c r="X33" s="212"/>
      <c r="Y33" s="212"/>
      <c r="Z33" s="216"/>
      <c r="AA33" s="212"/>
      <c r="AB33" s="212"/>
      <c r="AC33" s="91"/>
      <c r="AG33" s="66"/>
    </row>
    <row r="34" spans="1:33" s="108" customFormat="1" ht="57.75" customHeight="1" x14ac:dyDescent="0.3">
      <c r="A34" s="158"/>
      <c r="B34" s="148" t="s">
        <v>91</v>
      </c>
      <c r="C34" s="148" t="s">
        <v>111</v>
      </c>
      <c r="D34" s="218" t="s">
        <v>128</v>
      </c>
      <c r="E34" s="218" t="s">
        <v>92</v>
      </c>
      <c r="F34" s="218" t="s">
        <v>189</v>
      </c>
      <c r="G34" s="217" t="s">
        <v>229</v>
      </c>
      <c r="H34" s="218" t="s">
        <v>61</v>
      </c>
      <c r="I34" s="218"/>
      <c r="J34" s="218"/>
      <c r="K34" s="219">
        <f>SUM(K35:K50)</f>
        <v>84578</v>
      </c>
      <c r="L34" s="219">
        <f>SUM(L35:L50)</f>
        <v>0</v>
      </c>
      <c r="M34" s="219">
        <f>SUM(M35:M50)</f>
        <v>84578</v>
      </c>
      <c r="N34" s="218"/>
      <c r="O34" s="218"/>
      <c r="P34" s="218"/>
      <c r="Q34" s="218"/>
      <c r="R34" s="218"/>
      <c r="S34" s="218"/>
      <c r="T34" s="220"/>
      <c r="U34" s="218"/>
      <c r="V34" s="218"/>
      <c r="W34" s="218"/>
      <c r="X34" s="219">
        <f>SUM(X35:X50)</f>
        <v>0</v>
      </c>
      <c r="Y34" s="219">
        <f>SUM(Y35:Y50)</f>
        <v>8187.3799999999992</v>
      </c>
      <c r="Z34" s="219">
        <f>SUM(Z35:Z50)</f>
        <v>0</v>
      </c>
      <c r="AA34" s="219">
        <f>SUM(AA35:AA50)</f>
        <v>8187.3799999999992</v>
      </c>
      <c r="AB34" s="219">
        <f>SUM(AB35:AB50)</f>
        <v>76390.62</v>
      </c>
      <c r="AC34" s="179"/>
    </row>
    <row r="35" spans="1:33" s="336" customFormat="1" ht="225" customHeight="1" x14ac:dyDescent="0.2">
      <c r="A35" s="337"/>
      <c r="B35" s="272" t="s">
        <v>136</v>
      </c>
      <c r="C35" s="267" t="s">
        <v>105</v>
      </c>
      <c r="D35" s="253" t="s">
        <v>130</v>
      </c>
      <c r="E35" s="274" t="s">
        <v>133</v>
      </c>
      <c r="F35" s="274" t="s">
        <v>200</v>
      </c>
      <c r="G35" s="313">
        <v>43101</v>
      </c>
      <c r="H35" s="256" t="s">
        <v>341</v>
      </c>
      <c r="I35" s="257">
        <v>15</v>
      </c>
      <c r="J35" s="258">
        <f>K35/I35</f>
        <v>583.06666666666672</v>
      </c>
      <c r="K35" s="278">
        <v>8746</v>
      </c>
      <c r="L35" s="279">
        <v>0</v>
      </c>
      <c r="M35" s="280">
        <f t="shared" ref="M35" si="34">SUM(K35:L35)</f>
        <v>8746</v>
      </c>
      <c r="N35" s="281">
        <f>IF(K35/15&lt;=SMG,0,L35/2)</f>
        <v>0</v>
      </c>
      <c r="O35" s="296">
        <f>(K35+N35)/I35*30.4</f>
        <v>17725.226666666669</v>
      </c>
      <c r="P35" s="296">
        <f>VLOOKUP(O35,Tarifa,1)</f>
        <v>17533.650000000001</v>
      </c>
      <c r="Q35" s="281">
        <f>O35-P35</f>
        <v>191.57666666666773</v>
      </c>
      <c r="R35" s="282">
        <f>VLOOKUP(O35,Tarifa,3)</f>
        <v>0.21360000000000001</v>
      </c>
      <c r="S35" s="281">
        <f>Q35*R35</f>
        <v>40.920776000000231</v>
      </c>
      <c r="T35" s="283">
        <f>VLOOKUP(O35,Tarifa,2)</f>
        <v>1856.84</v>
      </c>
      <c r="U35" s="281">
        <f>S35+T35</f>
        <v>1897.7607760000001</v>
      </c>
      <c r="V35" s="281">
        <f>VLOOKUP(O35,Credito,2)</f>
        <v>0</v>
      </c>
      <c r="W35" s="281">
        <f>ROUND((U35-V35)/30.4*I35,2)</f>
        <v>936.4</v>
      </c>
      <c r="X35" s="280">
        <f>-IF(W35&gt;0,0,0)</f>
        <v>0</v>
      </c>
      <c r="Y35" s="280">
        <f t="shared" ref="Y35" si="35">IF(K35/15&lt;=SMG,0,IF(W35&lt;0,0,W35))</f>
        <v>936.4</v>
      </c>
      <c r="Z35" s="284">
        <v>0</v>
      </c>
      <c r="AA35" s="280">
        <f t="shared" ref="AA35" si="36">SUM(Y35:Z35)</f>
        <v>936.4</v>
      </c>
      <c r="AB35" s="280">
        <f t="shared" ref="AB35" si="37">M35+X35-AA35</f>
        <v>7809.6</v>
      </c>
      <c r="AC35" s="338"/>
    </row>
    <row r="36" spans="1:33" s="336" customFormat="1" ht="225" customHeight="1" x14ac:dyDescent="0.2">
      <c r="A36" s="337"/>
      <c r="B36" s="272" t="s">
        <v>454</v>
      </c>
      <c r="C36" s="267" t="s">
        <v>105</v>
      </c>
      <c r="D36" s="253" t="s">
        <v>456</v>
      </c>
      <c r="E36" s="274" t="s">
        <v>457</v>
      </c>
      <c r="F36" s="274" t="s">
        <v>458</v>
      </c>
      <c r="G36" s="313">
        <v>45732</v>
      </c>
      <c r="H36" s="269" t="s">
        <v>536</v>
      </c>
      <c r="I36" s="270">
        <v>15</v>
      </c>
      <c r="J36" s="299">
        <f>ROUND(K36/I36,2)</f>
        <v>583.07000000000005</v>
      </c>
      <c r="K36" s="278">
        <v>8746</v>
      </c>
      <c r="L36" s="279">
        <v>0</v>
      </c>
      <c r="M36" s="280">
        <f t="shared" ref="M36" si="38">SUM(K36:L36)</f>
        <v>8746</v>
      </c>
      <c r="N36" s="281">
        <f>IF(K36/15&lt;=SMG,0,L36/2)</f>
        <v>0</v>
      </c>
      <c r="O36" s="296">
        <f>(K36+N36)/I36*30.4</f>
        <v>17725.226666666669</v>
      </c>
      <c r="P36" s="296">
        <f>VLOOKUP(O36,Tarifa,1)</f>
        <v>17533.650000000001</v>
      </c>
      <c r="Q36" s="281">
        <f>O36-P36</f>
        <v>191.57666666666773</v>
      </c>
      <c r="R36" s="282">
        <f>VLOOKUP(O36,Tarifa,3)</f>
        <v>0.21360000000000001</v>
      </c>
      <c r="S36" s="281">
        <f>Q36*R36</f>
        <v>40.920776000000231</v>
      </c>
      <c r="T36" s="283">
        <f>VLOOKUP(O36,Tarifa,2)</f>
        <v>1856.84</v>
      </c>
      <c r="U36" s="281">
        <f>S36+T36</f>
        <v>1897.7607760000001</v>
      </c>
      <c r="V36" s="281">
        <f>VLOOKUP(O36,Credito,2)</f>
        <v>0</v>
      </c>
      <c r="W36" s="281">
        <f>ROUND((U36-V36)/30.4*I36,2)</f>
        <v>936.4</v>
      </c>
      <c r="X36" s="280">
        <f>-IF(W36&gt;0,0,0)</f>
        <v>0</v>
      </c>
      <c r="Y36" s="280">
        <f t="shared" ref="Y36" si="39">IF(K36/15&lt;=SMG,0,IF(W36&lt;0,0,W36))</f>
        <v>936.4</v>
      </c>
      <c r="Z36" s="284">
        <v>0</v>
      </c>
      <c r="AA36" s="280">
        <f t="shared" ref="AA36" si="40">SUM(Y36:Z36)</f>
        <v>936.4</v>
      </c>
      <c r="AB36" s="280">
        <f t="shared" ref="AB36" si="41">M36+X36-AA36</f>
        <v>7809.6</v>
      </c>
      <c r="AC36" s="338"/>
    </row>
    <row r="37" spans="1:33" s="336" customFormat="1" ht="225" customHeight="1" x14ac:dyDescent="0.2">
      <c r="A37" s="337"/>
      <c r="B37" s="272" t="s">
        <v>455</v>
      </c>
      <c r="C37" s="267" t="s">
        <v>105</v>
      </c>
      <c r="D37" s="253" t="s">
        <v>459</v>
      </c>
      <c r="E37" s="274" t="s">
        <v>460</v>
      </c>
      <c r="F37" s="274" t="s">
        <v>461</v>
      </c>
      <c r="G37" s="313">
        <v>45732</v>
      </c>
      <c r="H37" s="269" t="s">
        <v>506</v>
      </c>
      <c r="I37" s="257">
        <v>15</v>
      </c>
      <c r="J37" s="258">
        <f>K37/I37</f>
        <v>496.93333333333334</v>
      </c>
      <c r="K37" s="259">
        <v>7454</v>
      </c>
      <c r="L37" s="260">
        <v>0</v>
      </c>
      <c r="M37" s="261">
        <f>SUM(K37:L37)</f>
        <v>7454</v>
      </c>
      <c r="N37" s="281">
        <f>IF(K37/15&lt;=SMG,0,L37/2)</f>
        <v>0</v>
      </c>
      <c r="O37" s="296">
        <f>(K37+N37)/I37*30.4</f>
        <v>15106.773333333333</v>
      </c>
      <c r="P37" s="296">
        <f>VLOOKUP(O37,Tarifa,1)</f>
        <v>14644.65</v>
      </c>
      <c r="Q37" s="281">
        <f>O37-P37</f>
        <v>462.12333333333299</v>
      </c>
      <c r="R37" s="282">
        <f>VLOOKUP(O37,Tarifa,3)</f>
        <v>0.1792</v>
      </c>
      <c r="S37" s="281">
        <f>Q37*R37</f>
        <v>82.812501333333273</v>
      </c>
      <c r="T37" s="283">
        <f>VLOOKUP(O37,Tarifa,2)</f>
        <v>1339.14</v>
      </c>
      <c r="U37" s="281">
        <f>S37+T37</f>
        <v>1421.9525013333334</v>
      </c>
      <c r="V37" s="281">
        <f>VLOOKUP(O37,Credito,2)</f>
        <v>0</v>
      </c>
      <c r="W37" s="281">
        <f>ROUND((U37-V37)/30.4*I37,2)</f>
        <v>701.62</v>
      </c>
      <c r="X37" s="261">
        <f>-IF(W37&gt;0,0,0)</f>
        <v>0</v>
      </c>
      <c r="Y37" s="261">
        <f>IF(K37/15&lt;=SMG,0,IF(W37&lt;0,0,W37))</f>
        <v>701.62</v>
      </c>
      <c r="Z37" s="262">
        <v>0</v>
      </c>
      <c r="AA37" s="261">
        <f>SUM(Y37:Z37)</f>
        <v>701.62</v>
      </c>
      <c r="AB37" s="261">
        <f>M37+X37-AA37</f>
        <v>6752.38</v>
      </c>
      <c r="AC37" s="338"/>
    </row>
    <row r="38" spans="1:33" s="336" customFormat="1" ht="225" customHeight="1" x14ac:dyDescent="0.2">
      <c r="A38" s="380"/>
      <c r="B38" s="272" t="s">
        <v>466</v>
      </c>
      <c r="C38" s="267" t="s">
        <v>398</v>
      </c>
      <c r="D38" s="253" t="s">
        <v>467</v>
      </c>
      <c r="E38" s="274" t="s">
        <v>468</v>
      </c>
      <c r="F38" s="274" t="s">
        <v>469</v>
      </c>
      <c r="G38" s="313">
        <v>45732</v>
      </c>
      <c r="H38" s="269" t="s">
        <v>506</v>
      </c>
      <c r="I38" s="257">
        <v>15</v>
      </c>
      <c r="J38" s="258">
        <f t="shared" ref="J38" si="42">K38/I38</f>
        <v>496.93333333333334</v>
      </c>
      <c r="K38" s="259">
        <v>7454</v>
      </c>
      <c r="L38" s="260">
        <v>0</v>
      </c>
      <c r="M38" s="261">
        <f t="shared" ref="M38" si="43">SUM(K38:L38)</f>
        <v>7454</v>
      </c>
      <c r="N38" s="281">
        <f t="shared" ref="N38" si="44">IF(K38/15&lt;=SMG,0,L38/2)</f>
        <v>0</v>
      </c>
      <c r="O38" s="296">
        <f t="shared" ref="O38" si="45">(K38+N38)/I38*30.4</f>
        <v>15106.773333333333</v>
      </c>
      <c r="P38" s="296">
        <f t="shared" ref="P38" si="46">VLOOKUP(O38,Tarifa,1)</f>
        <v>14644.65</v>
      </c>
      <c r="Q38" s="281">
        <f t="shared" ref="Q38" si="47">O38-P38</f>
        <v>462.12333333333299</v>
      </c>
      <c r="R38" s="282">
        <f t="shared" ref="R38" si="48">VLOOKUP(O38,Tarifa,3)</f>
        <v>0.1792</v>
      </c>
      <c r="S38" s="281">
        <f t="shared" ref="S38" si="49">Q38*R38</f>
        <v>82.812501333333273</v>
      </c>
      <c r="T38" s="283">
        <f t="shared" ref="T38" si="50">VLOOKUP(O38,Tarifa,2)</f>
        <v>1339.14</v>
      </c>
      <c r="U38" s="281">
        <f t="shared" ref="U38" si="51">S38+T38</f>
        <v>1421.9525013333334</v>
      </c>
      <c r="V38" s="281">
        <f t="shared" ref="V38" si="52">VLOOKUP(O38,Credito,2)</f>
        <v>0</v>
      </c>
      <c r="W38" s="281">
        <f t="shared" ref="W38" si="53">ROUND((U38-V38)/30.4*I38,2)</f>
        <v>701.62</v>
      </c>
      <c r="X38" s="261">
        <f t="shared" ref="X38" si="54">-IF(W38&gt;0,0,0)</f>
        <v>0</v>
      </c>
      <c r="Y38" s="261">
        <f t="shared" ref="Y38" si="55">IF(K38/15&lt;=SMG,0,IF(W38&lt;0,0,W38))</f>
        <v>701.62</v>
      </c>
      <c r="Z38" s="262">
        <v>0</v>
      </c>
      <c r="AA38" s="261">
        <f t="shared" ref="AA38" si="56">SUM(Y38:Z38)</f>
        <v>701.62</v>
      </c>
      <c r="AB38" s="261">
        <f t="shared" ref="AB38" si="57">M38+X38-AA38</f>
        <v>6752.38</v>
      </c>
      <c r="AC38" s="338"/>
    </row>
    <row r="39" spans="1:33" s="336" customFormat="1" ht="225" customHeight="1" x14ac:dyDescent="0.2">
      <c r="A39" s="380"/>
      <c r="B39" s="272" t="s">
        <v>462</v>
      </c>
      <c r="C39" s="267" t="s">
        <v>398</v>
      </c>
      <c r="D39" s="253" t="s">
        <v>463</v>
      </c>
      <c r="E39" s="274" t="s">
        <v>464</v>
      </c>
      <c r="F39" s="274" t="s">
        <v>465</v>
      </c>
      <c r="G39" s="313">
        <v>45732</v>
      </c>
      <c r="H39" s="269" t="s">
        <v>506</v>
      </c>
      <c r="I39" s="257">
        <v>15</v>
      </c>
      <c r="J39" s="258">
        <f t="shared" ref="J39" si="58">K39/I39</f>
        <v>496.93333333333334</v>
      </c>
      <c r="K39" s="259">
        <v>7454</v>
      </c>
      <c r="L39" s="260">
        <v>0</v>
      </c>
      <c r="M39" s="261">
        <f t="shared" ref="M39" si="59">SUM(K39:L39)</f>
        <v>7454</v>
      </c>
      <c r="N39" s="281">
        <f t="shared" ref="N39" si="60">IF(K39/15&lt;=SMG,0,L39/2)</f>
        <v>0</v>
      </c>
      <c r="O39" s="296">
        <f t="shared" ref="O39" si="61">(K39+N39)/I39*30.4</f>
        <v>15106.773333333333</v>
      </c>
      <c r="P39" s="296">
        <f t="shared" ref="P39" si="62">VLOOKUP(O39,Tarifa,1)</f>
        <v>14644.65</v>
      </c>
      <c r="Q39" s="281">
        <f t="shared" ref="Q39" si="63">O39-P39</f>
        <v>462.12333333333299</v>
      </c>
      <c r="R39" s="282">
        <f t="shared" ref="R39" si="64">VLOOKUP(O39,Tarifa,3)</f>
        <v>0.1792</v>
      </c>
      <c r="S39" s="281">
        <f t="shared" ref="S39" si="65">Q39*R39</f>
        <v>82.812501333333273</v>
      </c>
      <c r="T39" s="283">
        <f t="shared" ref="T39" si="66">VLOOKUP(O39,Tarifa,2)</f>
        <v>1339.14</v>
      </c>
      <c r="U39" s="281">
        <f t="shared" ref="U39" si="67">S39+T39</f>
        <v>1421.9525013333334</v>
      </c>
      <c r="V39" s="281">
        <f t="shared" ref="V39" si="68">VLOOKUP(O39,Credito,2)</f>
        <v>0</v>
      </c>
      <c r="W39" s="281">
        <f t="shared" ref="W39" si="69">ROUND((U39-V39)/30.4*I39,2)</f>
        <v>701.62</v>
      </c>
      <c r="X39" s="261">
        <f t="shared" ref="X39" si="70">-IF(W39&gt;0,0,0)</f>
        <v>0</v>
      </c>
      <c r="Y39" s="261">
        <f t="shared" ref="Y39" si="71">IF(K39/15&lt;=SMG,0,IF(W39&lt;0,0,W39))</f>
        <v>701.62</v>
      </c>
      <c r="Z39" s="262">
        <v>0</v>
      </c>
      <c r="AA39" s="261">
        <f t="shared" ref="AA39" si="72">SUM(Y39:Z39)</f>
        <v>701.62</v>
      </c>
      <c r="AB39" s="261">
        <f t="shared" ref="AB39" si="73">M39+X39-AA39</f>
        <v>6752.38</v>
      </c>
      <c r="AC39" s="338"/>
    </row>
    <row r="40" spans="1:33" s="336" customFormat="1" ht="225" customHeight="1" x14ac:dyDescent="0.2">
      <c r="A40" s="380"/>
      <c r="B40" s="366"/>
      <c r="C40" s="367"/>
      <c r="D40" s="368"/>
      <c r="E40" s="381"/>
      <c r="F40" s="381"/>
      <c r="G40" s="382"/>
      <c r="H40" s="383"/>
      <c r="I40" s="372"/>
      <c r="J40" s="373"/>
      <c r="K40" s="374"/>
      <c r="L40" s="375"/>
      <c r="M40" s="376"/>
      <c r="N40" s="358"/>
      <c r="O40" s="359"/>
      <c r="P40" s="359"/>
      <c r="Q40" s="358"/>
      <c r="R40" s="360"/>
      <c r="S40" s="358"/>
      <c r="T40" s="361"/>
      <c r="U40" s="358"/>
      <c r="V40" s="358"/>
      <c r="W40" s="358"/>
      <c r="X40" s="376"/>
      <c r="Y40" s="376"/>
      <c r="Z40" s="377"/>
      <c r="AA40" s="376"/>
      <c r="AB40" s="376"/>
      <c r="AC40" s="384"/>
    </row>
    <row r="41" spans="1:33" s="336" customFormat="1" ht="202.5" customHeight="1" x14ac:dyDescent="0.25">
      <c r="A41" s="380"/>
      <c r="B41" s="449" t="s">
        <v>76</v>
      </c>
      <c r="C41" s="449"/>
      <c r="D41" s="449"/>
      <c r="E41" s="449"/>
      <c r="F41" s="449"/>
      <c r="G41" s="449"/>
      <c r="H41" s="449"/>
      <c r="I41" s="449"/>
      <c r="J41" s="449"/>
      <c r="K41" s="449"/>
      <c r="L41" s="449"/>
      <c r="M41" s="449"/>
      <c r="N41" s="449"/>
      <c r="O41" s="449"/>
      <c r="P41" s="449"/>
      <c r="Q41" s="449"/>
      <c r="R41" s="449"/>
      <c r="S41" s="449"/>
      <c r="T41" s="449"/>
      <c r="U41" s="449"/>
      <c r="V41" s="449"/>
      <c r="W41" s="449"/>
      <c r="X41" s="449"/>
      <c r="Y41" s="449"/>
      <c r="Z41" s="449"/>
      <c r="AA41" s="449"/>
      <c r="AB41" s="449"/>
      <c r="AC41" s="449"/>
    </row>
    <row r="42" spans="1:33" s="336" customFormat="1" ht="30.75" customHeight="1" x14ac:dyDescent="0.25">
      <c r="A42" s="380"/>
      <c r="B42" s="449" t="s">
        <v>64</v>
      </c>
      <c r="C42" s="449"/>
      <c r="D42" s="449"/>
      <c r="E42" s="449"/>
      <c r="F42" s="449"/>
      <c r="G42" s="449"/>
      <c r="H42" s="449"/>
      <c r="I42" s="449"/>
      <c r="J42" s="449"/>
      <c r="K42" s="449"/>
      <c r="L42" s="449"/>
      <c r="M42" s="449"/>
      <c r="N42" s="449"/>
      <c r="O42" s="449"/>
      <c r="P42" s="449"/>
      <c r="Q42" s="449"/>
      <c r="R42" s="449"/>
      <c r="S42" s="449"/>
      <c r="T42" s="449"/>
      <c r="U42" s="449"/>
      <c r="V42" s="449"/>
      <c r="W42" s="449"/>
      <c r="X42" s="449"/>
      <c r="Y42" s="449"/>
      <c r="Z42" s="449"/>
      <c r="AA42" s="449"/>
      <c r="AB42" s="449"/>
      <c r="AC42" s="449"/>
    </row>
    <row r="43" spans="1:33" s="336" customFormat="1" ht="42" customHeight="1" x14ac:dyDescent="0.2">
      <c r="A43" s="380"/>
      <c r="B43" s="486" t="str">
        <f>PRESIDENCIA!A3</f>
        <v>SUELDO  DEL 15 AL 30 DE SEPTIEMBRE DE 2026</v>
      </c>
      <c r="C43" s="486"/>
      <c r="D43" s="486"/>
      <c r="E43" s="486"/>
      <c r="F43" s="486"/>
      <c r="G43" s="486"/>
      <c r="H43" s="486"/>
      <c r="I43" s="486"/>
      <c r="J43" s="486"/>
      <c r="K43" s="486"/>
      <c r="L43" s="486"/>
      <c r="M43" s="486"/>
      <c r="N43" s="486"/>
      <c r="O43" s="486"/>
      <c r="P43" s="486"/>
      <c r="Q43" s="486"/>
      <c r="R43" s="486"/>
      <c r="S43" s="486"/>
      <c r="T43" s="486"/>
      <c r="U43" s="486"/>
      <c r="V43" s="486"/>
      <c r="W43" s="486"/>
      <c r="X43" s="486"/>
      <c r="Y43" s="486"/>
      <c r="Z43" s="486"/>
      <c r="AA43" s="486"/>
      <c r="AB43" s="486"/>
      <c r="AC43" s="486"/>
    </row>
    <row r="44" spans="1:33" s="336" customFormat="1" ht="19.5" customHeight="1" x14ac:dyDescent="0.2">
      <c r="A44" s="380"/>
      <c r="B44" s="366"/>
      <c r="C44" s="367"/>
      <c r="D44" s="368"/>
      <c r="E44" s="381"/>
      <c r="F44" s="381"/>
      <c r="G44" s="382"/>
      <c r="H44" s="383"/>
      <c r="I44" s="372"/>
      <c r="J44" s="373"/>
      <c r="K44" s="374"/>
      <c r="L44" s="375"/>
      <c r="M44" s="376"/>
      <c r="N44" s="358"/>
      <c r="O44" s="359"/>
      <c r="P44" s="359"/>
      <c r="Q44" s="358"/>
      <c r="R44" s="360"/>
      <c r="S44" s="358"/>
      <c r="T44" s="361"/>
      <c r="U44" s="358"/>
      <c r="V44" s="358"/>
      <c r="W44" s="358"/>
      <c r="X44" s="376"/>
      <c r="Y44" s="376"/>
      <c r="Z44" s="377"/>
      <c r="AA44" s="376"/>
      <c r="AB44" s="376"/>
      <c r="AC44" s="384"/>
    </row>
    <row r="45" spans="1:33" s="336" customFormat="1" ht="164.25" customHeight="1" x14ac:dyDescent="0.2">
      <c r="A45" s="337"/>
      <c r="B45" s="272" t="s">
        <v>470</v>
      </c>
      <c r="C45" s="267" t="s">
        <v>398</v>
      </c>
      <c r="D45" s="253" t="s">
        <v>473</v>
      </c>
      <c r="E45" s="274" t="s">
        <v>474</v>
      </c>
      <c r="F45" s="274" t="s">
        <v>475</v>
      </c>
      <c r="G45" s="313">
        <v>45732</v>
      </c>
      <c r="H45" s="269" t="s">
        <v>506</v>
      </c>
      <c r="I45" s="257">
        <v>15</v>
      </c>
      <c r="J45" s="258">
        <f t="shared" ref="J45:J47" si="74">K45/I45</f>
        <v>496.93333333333334</v>
      </c>
      <c r="K45" s="259">
        <v>7454</v>
      </c>
      <c r="L45" s="260">
        <v>0</v>
      </c>
      <c r="M45" s="261">
        <f t="shared" ref="M45:M47" si="75">SUM(K45:L45)</f>
        <v>7454</v>
      </c>
      <c r="N45" s="281">
        <f t="shared" ref="N45:N47" si="76">IF(K45/15&lt;=SMG,0,L45/2)</f>
        <v>0</v>
      </c>
      <c r="O45" s="296">
        <f t="shared" ref="O45:O47" si="77">(K45+N45)/I45*30.4</f>
        <v>15106.773333333333</v>
      </c>
      <c r="P45" s="296">
        <f t="shared" ref="P45:P47" si="78">VLOOKUP(O45,Tarifa,1)</f>
        <v>14644.65</v>
      </c>
      <c r="Q45" s="281">
        <f t="shared" ref="Q45:Q47" si="79">O45-P45</f>
        <v>462.12333333333299</v>
      </c>
      <c r="R45" s="282">
        <f t="shared" ref="R45:R47" si="80">VLOOKUP(O45,Tarifa,3)</f>
        <v>0.1792</v>
      </c>
      <c r="S45" s="281">
        <f t="shared" ref="S45:S47" si="81">Q45*R45</f>
        <v>82.812501333333273</v>
      </c>
      <c r="T45" s="283">
        <f t="shared" ref="T45:T47" si="82">VLOOKUP(O45,Tarifa,2)</f>
        <v>1339.14</v>
      </c>
      <c r="U45" s="281">
        <f t="shared" ref="U45:U47" si="83">S45+T45</f>
        <v>1421.9525013333334</v>
      </c>
      <c r="V45" s="281">
        <f t="shared" ref="V45:V47" si="84">VLOOKUP(O45,Credito,2)</f>
        <v>0</v>
      </c>
      <c r="W45" s="281">
        <f t="shared" ref="W45:W47" si="85">ROUND((U45-V45)/30.4*I45,2)</f>
        <v>701.62</v>
      </c>
      <c r="X45" s="261">
        <f t="shared" ref="X45:X47" si="86">-IF(W45&gt;0,0,0)</f>
        <v>0</v>
      </c>
      <c r="Y45" s="261">
        <f t="shared" ref="Y45:Y47" si="87">IF(K45/15&lt;=SMG,0,IF(W45&lt;0,0,W45))</f>
        <v>701.62</v>
      </c>
      <c r="Z45" s="262">
        <v>0</v>
      </c>
      <c r="AA45" s="261">
        <f t="shared" ref="AA45:AA47" si="88">SUM(Y45:Z45)</f>
        <v>701.62</v>
      </c>
      <c r="AB45" s="261">
        <f t="shared" ref="AB45:AB47" si="89">M45+X45-AA45</f>
        <v>6752.38</v>
      </c>
      <c r="AC45" s="338"/>
    </row>
    <row r="46" spans="1:33" s="336" customFormat="1" ht="164.25" customHeight="1" x14ac:dyDescent="0.2">
      <c r="A46" s="337"/>
      <c r="B46" s="272" t="s">
        <v>471</v>
      </c>
      <c r="C46" s="267" t="s">
        <v>398</v>
      </c>
      <c r="D46" s="253" t="s">
        <v>476</v>
      </c>
      <c r="E46" s="274" t="s">
        <v>477</v>
      </c>
      <c r="F46" s="274" t="s">
        <v>478</v>
      </c>
      <c r="G46" s="313">
        <v>45732</v>
      </c>
      <c r="H46" s="269" t="s">
        <v>506</v>
      </c>
      <c r="I46" s="257">
        <v>15</v>
      </c>
      <c r="J46" s="258">
        <f t="shared" si="74"/>
        <v>496.93333333333334</v>
      </c>
      <c r="K46" s="259">
        <v>7454</v>
      </c>
      <c r="L46" s="260">
        <v>0</v>
      </c>
      <c r="M46" s="261">
        <f t="shared" si="75"/>
        <v>7454</v>
      </c>
      <c r="N46" s="281">
        <f t="shared" si="76"/>
        <v>0</v>
      </c>
      <c r="O46" s="296">
        <f t="shared" si="77"/>
        <v>15106.773333333333</v>
      </c>
      <c r="P46" s="296">
        <f t="shared" si="78"/>
        <v>14644.65</v>
      </c>
      <c r="Q46" s="281">
        <f t="shared" si="79"/>
        <v>462.12333333333299</v>
      </c>
      <c r="R46" s="282">
        <f t="shared" si="80"/>
        <v>0.1792</v>
      </c>
      <c r="S46" s="281">
        <f t="shared" si="81"/>
        <v>82.812501333333273</v>
      </c>
      <c r="T46" s="283">
        <f t="shared" si="82"/>
        <v>1339.14</v>
      </c>
      <c r="U46" s="281">
        <f t="shared" si="83"/>
        <v>1421.9525013333334</v>
      </c>
      <c r="V46" s="281">
        <f t="shared" si="84"/>
        <v>0</v>
      </c>
      <c r="W46" s="281">
        <f t="shared" si="85"/>
        <v>701.62</v>
      </c>
      <c r="X46" s="261">
        <f t="shared" si="86"/>
        <v>0</v>
      </c>
      <c r="Y46" s="261">
        <f t="shared" si="87"/>
        <v>701.62</v>
      </c>
      <c r="Z46" s="262">
        <v>0</v>
      </c>
      <c r="AA46" s="261">
        <f t="shared" si="88"/>
        <v>701.62</v>
      </c>
      <c r="AB46" s="261">
        <f t="shared" si="89"/>
        <v>6752.38</v>
      </c>
      <c r="AC46" s="338"/>
    </row>
    <row r="47" spans="1:33" s="336" customFormat="1" ht="164.25" customHeight="1" x14ac:dyDescent="0.2">
      <c r="A47" s="337"/>
      <c r="B47" s="272" t="s">
        <v>472</v>
      </c>
      <c r="C47" s="267" t="s">
        <v>398</v>
      </c>
      <c r="D47" s="253" t="s">
        <v>479</v>
      </c>
      <c r="E47" s="274" t="s">
        <v>480</v>
      </c>
      <c r="F47" s="274" t="s">
        <v>481</v>
      </c>
      <c r="G47" s="313">
        <v>45732</v>
      </c>
      <c r="H47" s="269" t="s">
        <v>506</v>
      </c>
      <c r="I47" s="257">
        <v>15</v>
      </c>
      <c r="J47" s="258">
        <f t="shared" si="74"/>
        <v>496.93333333333334</v>
      </c>
      <c r="K47" s="259">
        <v>7454</v>
      </c>
      <c r="L47" s="260">
        <v>0</v>
      </c>
      <c r="M47" s="261">
        <f t="shared" si="75"/>
        <v>7454</v>
      </c>
      <c r="N47" s="281">
        <f t="shared" si="76"/>
        <v>0</v>
      </c>
      <c r="O47" s="296">
        <f t="shared" si="77"/>
        <v>15106.773333333333</v>
      </c>
      <c r="P47" s="296">
        <f t="shared" si="78"/>
        <v>14644.65</v>
      </c>
      <c r="Q47" s="281">
        <f t="shared" si="79"/>
        <v>462.12333333333299</v>
      </c>
      <c r="R47" s="282">
        <f t="shared" si="80"/>
        <v>0.1792</v>
      </c>
      <c r="S47" s="281">
        <f t="shared" si="81"/>
        <v>82.812501333333273</v>
      </c>
      <c r="T47" s="283">
        <f t="shared" si="82"/>
        <v>1339.14</v>
      </c>
      <c r="U47" s="281">
        <f t="shared" si="83"/>
        <v>1421.9525013333334</v>
      </c>
      <c r="V47" s="281">
        <f t="shared" si="84"/>
        <v>0</v>
      </c>
      <c r="W47" s="281">
        <f t="shared" si="85"/>
        <v>701.62</v>
      </c>
      <c r="X47" s="261">
        <f t="shared" si="86"/>
        <v>0</v>
      </c>
      <c r="Y47" s="261">
        <f t="shared" si="87"/>
        <v>701.62</v>
      </c>
      <c r="Z47" s="262">
        <v>0</v>
      </c>
      <c r="AA47" s="261">
        <f t="shared" si="88"/>
        <v>701.62</v>
      </c>
      <c r="AB47" s="261">
        <f t="shared" si="89"/>
        <v>6752.38</v>
      </c>
      <c r="AC47" s="338"/>
    </row>
    <row r="48" spans="1:33" s="336" customFormat="1" ht="164.25" customHeight="1" x14ac:dyDescent="0.2">
      <c r="A48" s="337"/>
      <c r="B48" s="272" t="s">
        <v>482</v>
      </c>
      <c r="C48" s="267" t="s">
        <v>398</v>
      </c>
      <c r="D48" s="253" t="s">
        <v>483</v>
      </c>
      <c r="E48" s="274" t="s">
        <v>484</v>
      </c>
      <c r="F48" s="274" t="s">
        <v>485</v>
      </c>
      <c r="G48" s="313">
        <v>45732</v>
      </c>
      <c r="H48" s="269" t="s">
        <v>506</v>
      </c>
      <c r="I48" s="257">
        <v>15</v>
      </c>
      <c r="J48" s="258">
        <f t="shared" ref="J48" si="90">K48/I48</f>
        <v>496.93333333333334</v>
      </c>
      <c r="K48" s="259">
        <v>7454</v>
      </c>
      <c r="L48" s="260">
        <v>0</v>
      </c>
      <c r="M48" s="261">
        <f t="shared" ref="M48:M49" si="91">SUM(K48:L48)</f>
        <v>7454</v>
      </c>
      <c r="N48" s="281">
        <f t="shared" ref="N48:N49" si="92">IF(K48/15&lt;=SMG,0,L48/2)</f>
        <v>0</v>
      </c>
      <c r="O48" s="296">
        <f t="shared" ref="O48:O49" si="93">(K48+N48)/I48*30.4</f>
        <v>15106.773333333333</v>
      </c>
      <c r="P48" s="296">
        <f t="shared" ref="P48:P49" si="94">VLOOKUP(O48,Tarifa,1)</f>
        <v>14644.65</v>
      </c>
      <c r="Q48" s="281">
        <f t="shared" ref="Q48:Q49" si="95">O48-P48</f>
        <v>462.12333333333299</v>
      </c>
      <c r="R48" s="282">
        <f t="shared" ref="R48:R49" si="96">VLOOKUP(O48,Tarifa,3)</f>
        <v>0.1792</v>
      </c>
      <c r="S48" s="281">
        <f t="shared" ref="S48:S49" si="97">Q48*R48</f>
        <v>82.812501333333273</v>
      </c>
      <c r="T48" s="283">
        <f t="shared" ref="T48:T49" si="98">VLOOKUP(O48,Tarifa,2)</f>
        <v>1339.14</v>
      </c>
      <c r="U48" s="281">
        <f t="shared" ref="U48:U49" si="99">S48+T48</f>
        <v>1421.9525013333334</v>
      </c>
      <c r="V48" s="281">
        <f t="shared" ref="V48:V49" si="100">VLOOKUP(O48,Credito,2)</f>
        <v>0</v>
      </c>
      <c r="W48" s="281">
        <f t="shared" ref="W48:W49" si="101">ROUND((U48-V48)/30.4*I48,2)</f>
        <v>701.62</v>
      </c>
      <c r="X48" s="261">
        <f t="shared" ref="X48:X49" si="102">-IF(W48&gt;0,0,0)</f>
        <v>0</v>
      </c>
      <c r="Y48" s="261">
        <f t="shared" ref="Y48:Y49" si="103">IF(K48/15&lt;=SMG,0,IF(W48&lt;0,0,W48))</f>
        <v>701.62</v>
      </c>
      <c r="Z48" s="262">
        <v>0</v>
      </c>
      <c r="AA48" s="261">
        <f t="shared" ref="AA48:AA49" si="104">SUM(Y48:Z48)</f>
        <v>701.62</v>
      </c>
      <c r="AB48" s="261">
        <f t="shared" ref="AB48:AB49" si="105">M48+X48-AA48</f>
        <v>6752.38</v>
      </c>
      <c r="AC48" s="338"/>
    </row>
    <row r="49" spans="1:29" s="336" customFormat="1" ht="164.25" customHeight="1" x14ac:dyDescent="0.2">
      <c r="A49" s="337"/>
      <c r="B49" s="267" t="s">
        <v>101</v>
      </c>
      <c r="C49" s="267" t="s">
        <v>105</v>
      </c>
      <c r="D49" s="249" t="s">
        <v>89</v>
      </c>
      <c r="E49" s="135" t="s">
        <v>102</v>
      </c>
      <c r="F49" s="135" t="s">
        <v>193</v>
      </c>
      <c r="G49" s="157">
        <v>42278</v>
      </c>
      <c r="H49" s="269" t="s">
        <v>506</v>
      </c>
      <c r="I49" s="257">
        <v>15</v>
      </c>
      <c r="J49" s="258">
        <f>K49/I49</f>
        <v>496.93333333333334</v>
      </c>
      <c r="K49" s="259">
        <v>7454</v>
      </c>
      <c r="L49" s="260">
        <v>0</v>
      </c>
      <c r="M49" s="261">
        <f t="shared" si="91"/>
        <v>7454</v>
      </c>
      <c r="N49" s="281">
        <f t="shared" si="92"/>
        <v>0</v>
      </c>
      <c r="O49" s="296">
        <f t="shared" si="93"/>
        <v>15106.773333333333</v>
      </c>
      <c r="P49" s="296">
        <f t="shared" si="94"/>
        <v>14644.65</v>
      </c>
      <c r="Q49" s="281">
        <f t="shared" si="95"/>
        <v>462.12333333333299</v>
      </c>
      <c r="R49" s="282">
        <f t="shared" si="96"/>
        <v>0.1792</v>
      </c>
      <c r="S49" s="281">
        <f t="shared" si="97"/>
        <v>82.812501333333273</v>
      </c>
      <c r="T49" s="283">
        <f t="shared" si="98"/>
        <v>1339.14</v>
      </c>
      <c r="U49" s="281">
        <f t="shared" si="99"/>
        <v>1421.9525013333334</v>
      </c>
      <c r="V49" s="281">
        <f t="shared" si="100"/>
        <v>0</v>
      </c>
      <c r="W49" s="281">
        <f t="shared" si="101"/>
        <v>701.62</v>
      </c>
      <c r="X49" s="261">
        <f t="shared" si="102"/>
        <v>0</v>
      </c>
      <c r="Y49" s="261">
        <f t="shared" si="103"/>
        <v>701.62</v>
      </c>
      <c r="Z49" s="262">
        <v>0</v>
      </c>
      <c r="AA49" s="261">
        <f t="shared" si="104"/>
        <v>701.62</v>
      </c>
      <c r="AB49" s="261">
        <f t="shared" si="105"/>
        <v>6752.38</v>
      </c>
      <c r="AC49" s="338"/>
    </row>
    <row r="50" spans="1:29" s="336" customFormat="1" ht="164.25" customHeight="1" x14ac:dyDescent="0.2">
      <c r="A50" s="337"/>
      <c r="B50" s="267" t="s">
        <v>502</v>
      </c>
      <c r="C50" s="267" t="s">
        <v>105</v>
      </c>
      <c r="D50" s="249" t="s">
        <v>503</v>
      </c>
      <c r="E50" s="135" t="s">
        <v>504</v>
      </c>
      <c r="F50" s="135" t="s">
        <v>505</v>
      </c>
      <c r="G50" s="157">
        <v>45870</v>
      </c>
      <c r="H50" s="269" t="s">
        <v>506</v>
      </c>
      <c r="I50" s="257">
        <v>15</v>
      </c>
      <c r="J50" s="258">
        <f>K50/I50</f>
        <v>496.93333333333334</v>
      </c>
      <c r="K50" s="259">
        <v>7454</v>
      </c>
      <c r="L50" s="260">
        <v>0</v>
      </c>
      <c r="M50" s="261">
        <f t="shared" ref="M50" si="106">SUM(K50:L50)</f>
        <v>7454</v>
      </c>
      <c r="N50" s="281">
        <f t="shared" ref="N50" si="107">IF(K50/15&lt;=SMG,0,L50/2)</f>
        <v>0</v>
      </c>
      <c r="O50" s="296">
        <f t="shared" ref="O50" si="108">(K50+N50)/I50*30.4</f>
        <v>15106.773333333333</v>
      </c>
      <c r="P50" s="296">
        <f t="shared" ref="P50" si="109">VLOOKUP(O50,Tarifa,1)</f>
        <v>14644.65</v>
      </c>
      <c r="Q50" s="281">
        <f t="shared" ref="Q50" si="110">O50-P50</f>
        <v>462.12333333333299</v>
      </c>
      <c r="R50" s="282">
        <f t="shared" ref="R50" si="111">VLOOKUP(O50,Tarifa,3)</f>
        <v>0.1792</v>
      </c>
      <c r="S50" s="281">
        <f t="shared" ref="S50" si="112">Q50*R50</f>
        <v>82.812501333333273</v>
      </c>
      <c r="T50" s="283">
        <f t="shared" ref="T50" si="113">VLOOKUP(O50,Tarifa,2)</f>
        <v>1339.14</v>
      </c>
      <c r="U50" s="281">
        <f t="shared" ref="U50" si="114">S50+T50</f>
        <v>1421.9525013333334</v>
      </c>
      <c r="V50" s="281">
        <f t="shared" ref="V50" si="115">VLOOKUP(O50,Credito,2)</f>
        <v>0</v>
      </c>
      <c r="W50" s="281">
        <f t="shared" ref="W50" si="116">ROUND((U50-V50)/30.4*I50,2)</f>
        <v>701.62</v>
      </c>
      <c r="X50" s="261">
        <f t="shared" ref="X50" si="117">-IF(W50&gt;0,0,0)</f>
        <v>0</v>
      </c>
      <c r="Y50" s="261">
        <f t="shared" ref="Y50" si="118">IF(K50/15&lt;=SMG,0,IF(W50&lt;0,0,W50))</f>
        <v>701.62</v>
      </c>
      <c r="Z50" s="262">
        <v>0</v>
      </c>
      <c r="AA50" s="261">
        <f t="shared" ref="AA50" si="119">SUM(Y50:Z50)</f>
        <v>701.62</v>
      </c>
      <c r="AB50" s="261">
        <f t="shared" ref="AB50" si="120">M50+X50-AA50</f>
        <v>6752.38</v>
      </c>
      <c r="AC50" s="284"/>
    </row>
    <row r="51" spans="1:29" s="108" customFormat="1" ht="18" x14ac:dyDescent="0.25">
      <c r="A51" s="158"/>
      <c r="B51" s="158"/>
      <c r="C51" s="158"/>
      <c r="D51" s="158"/>
      <c r="E51" s="158"/>
      <c r="F51" s="158"/>
      <c r="G51" s="158"/>
      <c r="H51" s="158"/>
      <c r="I51" s="158"/>
      <c r="J51" s="158"/>
      <c r="K51" s="180"/>
      <c r="L51" s="180"/>
      <c r="M51" s="180"/>
      <c r="N51" s="181"/>
      <c r="O51" s="181"/>
      <c r="P51" s="181"/>
      <c r="Q51" s="181"/>
      <c r="R51" s="181"/>
      <c r="S51" s="181"/>
      <c r="T51" s="181"/>
      <c r="U51" s="181"/>
      <c r="V51" s="181"/>
      <c r="W51" s="181"/>
      <c r="X51" s="181"/>
      <c r="Y51" s="181"/>
      <c r="Z51" s="181"/>
      <c r="AA51" s="181"/>
      <c r="AB51" s="181"/>
      <c r="AC51" s="107"/>
    </row>
    <row r="52" spans="1:29" s="108" customFormat="1" ht="39" customHeight="1" x14ac:dyDescent="0.3">
      <c r="A52" s="485" t="s">
        <v>44</v>
      </c>
      <c r="B52" s="485"/>
      <c r="C52" s="485"/>
      <c r="D52" s="485"/>
      <c r="E52" s="485"/>
      <c r="F52" s="485"/>
      <c r="G52" s="485"/>
      <c r="H52" s="485"/>
      <c r="I52" s="485"/>
      <c r="J52" s="485"/>
      <c r="K52" s="225">
        <f>K8+K10+K13+K23+K25+K27+K34</f>
        <v>133567</v>
      </c>
      <c r="L52" s="225">
        <f>L8+L10+L13+L23+L25+L27+L34</f>
        <v>1166</v>
      </c>
      <c r="M52" s="225">
        <f>M8+M10+M13+M23+M25+M27+M34</f>
        <v>134733</v>
      </c>
      <c r="N52" s="225" t="e">
        <f>N8+N10+N13+N23+N25+#REF!+N34</f>
        <v>#REF!</v>
      </c>
      <c r="O52" s="225" t="e">
        <f>O8+O10+O13+O23+O25+#REF!+O34</f>
        <v>#REF!</v>
      </c>
      <c r="P52" s="225" t="e">
        <f>P8+P10+P13+P23+P25+#REF!+P34</f>
        <v>#REF!</v>
      </c>
      <c r="Q52" s="225" t="e">
        <f>Q8+Q10+Q13+Q23+Q25+#REF!+Q34</f>
        <v>#REF!</v>
      </c>
      <c r="R52" s="225" t="e">
        <f>R8+R10+R13+R23+R25+#REF!+R34</f>
        <v>#REF!</v>
      </c>
      <c r="S52" s="225" t="e">
        <f>S8+S10+S13+S23+S25+#REF!+S34</f>
        <v>#REF!</v>
      </c>
      <c r="T52" s="225" t="e">
        <f>T8+T10+T13+T23+T25+#REF!+T34</f>
        <v>#REF!</v>
      </c>
      <c r="U52" s="225" t="e">
        <f>U8+U10+U13+U23+U25+#REF!+U34</f>
        <v>#REF!</v>
      </c>
      <c r="V52" s="225" t="e">
        <f>V8+V10+V13+V23+V25+#REF!+V34</f>
        <v>#REF!</v>
      </c>
      <c r="W52" s="225" t="e">
        <f>W8+W10+W13+W23+W25+#REF!+W34</f>
        <v>#REF!</v>
      </c>
      <c r="X52" s="225">
        <f>X8+X10+X13+X23+X25+X27+X34</f>
        <v>0</v>
      </c>
      <c r="Y52" s="225">
        <f>Y8+Y10+Y13+Y23+Y25+Y27+Y34</f>
        <v>12411.079999999998</v>
      </c>
      <c r="Z52" s="225">
        <f>Z8+Z10+Z13+Z23+Z25+Z27+Z34</f>
        <v>0</v>
      </c>
      <c r="AA52" s="225">
        <f>AA8+AA10+AA13+AA23+AA25+AA27+AA34</f>
        <v>12411.079999999998</v>
      </c>
      <c r="AB52" s="225">
        <f>AB8+AB10+AB13+AB23+AB25+AB27+AB34</f>
        <v>138652.09</v>
      </c>
      <c r="AC52" s="107"/>
    </row>
    <row r="53" spans="1:29" s="52" customFormat="1" ht="12" x14ac:dyDescent="0.2"/>
    <row r="54" spans="1:29" s="52" customFormat="1" ht="12" x14ac:dyDescent="0.2"/>
    <row r="55" spans="1:29" s="52" customFormat="1" ht="12" x14ac:dyDescent="0.2"/>
    <row r="56" spans="1:29" s="52" customFormat="1" ht="12" x14ac:dyDescent="0.2"/>
    <row r="57" spans="1:29" s="52" customFormat="1" ht="12" x14ac:dyDescent="0.2"/>
    <row r="58" spans="1:29" s="52" customFormat="1" ht="12" x14ac:dyDescent="0.2"/>
    <row r="59" spans="1:29" s="52" customFormat="1" ht="12" x14ac:dyDescent="0.2"/>
    <row r="60" spans="1:29" s="52" customFormat="1" ht="12" x14ac:dyDescent="0.2"/>
    <row r="61" spans="1:29" s="52" customFormat="1" ht="12" x14ac:dyDescent="0.2"/>
    <row r="62" spans="1:29" s="52" customFormat="1" ht="17.25" customHeight="1" x14ac:dyDescent="0.2"/>
    <row r="63" spans="1:29" s="52" customFormat="1" ht="12" x14ac:dyDescent="0.2"/>
    <row r="64" spans="1:29" s="52" customFormat="1" ht="12" x14ac:dyDescent="0.2"/>
    <row r="65" spans="4:39" s="52" customFormat="1" ht="12" x14ac:dyDescent="0.2"/>
    <row r="66" spans="4:39" s="52" customFormat="1" ht="13.5" customHeight="1" x14ac:dyDescent="0.2"/>
    <row r="67" spans="4:39" s="52" customFormat="1" ht="12" x14ac:dyDescent="0.2"/>
    <row r="68" spans="4:39" s="52" customFormat="1" ht="12" x14ac:dyDescent="0.2"/>
    <row r="69" spans="4:39" s="52" customFormat="1" ht="12" x14ac:dyDescent="0.2"/>
    <row r="70" spans="4:39" s="52" customFormat="1" x14ac:dyDescent="0.2"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4:39" s="52" customFormat="1" ht="20.25" x14ac:dyDescent="0.3">
      <c r="D71" s="203" t="s">
        <v>400</v>
      </c>
      <c r="E71" s="108"/>
      <c r="F71" s="108"/>
      <c r="G71" s="108"/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201" t="s">
        <v>542</v>
      </c>
      <c r="Z71" s="108"/>
      <c r="AA71" s="108"/>
      <c r="AB71" s="108"/>
    </row>
    <row r="72" spans="4:39" s="52" customFormat="1" ht="18" x14ac:dyDescent="0.25">
      <c r="D72" s="203" t="s">
        <v>413</v>
      </c>
      <c r="E72" s="203"/>
      <c r="F72" s="203"/>
      <c r="G72" s="203"/>
      <c r="H72" s="203"/>
      <c r="I72" s="203"/>
      <c r="J72" s="203"/>
      <c r="K72" s="203"/>
      <c r="L72" s="203"/>
      <c r="M72" s="108"/>
      <c r="N72" s="108"/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203" t="s">
        <v>180</v>
      </c>
      <c r="Z72" s="108"/>
      <c r="AA72" s="203"/>
      <c r="AB72" s="203"/>
      <c r="AC72" s="61"/>
      <c r="AD72" s="61"/>
      <c r="AE72" s="61"/>
      <c r="AF72" s="61"/>
      <c r="AG72" s="61"/>
      <c r="AH72" s="61"/>
      <c r="AI72" s="61"/>
      <c r="AL72" s="61"/>
      <c r="AM72" s="61"/>
    </row>
    <row r="73" spans="4:39" s="52" customFormat="1" ht="18" x14ac:dyDescent="0.25">
      <c r="D73" s="108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8"/>
      <c r="V73" s="108"/>
      <c r="W73" s="108"/>
      <c r="X73" s="108"/>
      <c r="Y73" s="108"/>
      <c r="Z73" s="108"/>
      <c r="AA73" s="108"/>
      <c r="AB73" s="108"/>
    </row>
    <row r="74" spans="4:39" s="52" customFormat="1" ht="18" x14ac:dyDescent="0.25"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8"/>
      <c r="Z74" s="108"/>
      <c r="AA74" s="108"/>
      <c r="AB74" s="108"/>
    </row>
    <row r="75" spans="4:39" s="52" customFormat="1" ht="12" x14ac:dyDescent="0.2"/>
  </sheetData>
  <mergeCells count="17">
    <mergeCell ref="B18:AD18"/>
    <mergeCell ref="B19:AD19"/>
    <mergeCell ref="A1:AC1"/>
    <mergeCell ref="A2:AC2"/>
    <mergeCell ref="A3:AC3"/>
    <mergeCell ref="K5:M5"/>
    <mergeCell ref="P5:U5"/>
    <mergeCell ref="Y5:AA5"/>
    <mergeCell ref="C5:C7"/>
    <mergeCell ref="B20:AD20"/>
    <mergeCell ref="B30:AC30"/>
    <mergeCell ref="B31:AC31"/>
    <mergeCell ref="B32:AC32"/>
    <mergeCell ref="A52:J52"/>
    <mergeCell ref="B41:AC41"/>
    <mergeCell ref="B42:AC42"/>
    <mergeCell ref="B43:AC43"/>
  </mergeCells>
  <phoneticPr fontId="34" type="noConversion"/>
  <dataValidations count="1">
    <dataValidation allowBlank="1" showInputMessage="1" showErrorMessage="1" prompt="Captura el nombre asignado o el nombre como se le identifica a la plaza (ejem. Jefe de Ingresos, Secretario Particular, Oficial Mayor, etc.)" sqref="D9:E9 D49:G50 D14:G14"/>
  </dataValidations>
  <pageMargins left="0.27559055118110237" right="0.19685039370078741" top="0.47244094488188981" bottom="0.15748031496062992" header="0.31496062992125984" footer="0.31496062992125984"/>
  <pageSetup scale="34" orientation="landscape" horizontalDpi="4294967293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6"/>
  <sheetViews>
    <sheetView topLeftCell="B1" zoomScale="40" zoomScaleNormal="40" workbookViewId="0">
      <selection activeCell="AC12" sqref="AC12"/>
    </sheetView>
  </sheetViews>
  <sheetFormatPr baseColWidth="10" defaultColWidth="11.42578125" defaultRowHeight="12.75" x14ac:dyDescent="0.2"/>
  <cols>
    <col min="1" max="1" width="5.5703125" hidden="1" customWidth="1"/>
    <col min="2" max="2" width="11.42578125" customWidth="1"/>
    <col min="3" max="3" width="10.28515625" customWidth="1"/>
    <col min="4" max="4" width="30.28515625" customWidth="1"/>
    <col min="5" max="5" width="23" customWidth="1"/>
    <col min="6" max="6" width="31.28515625" customWidth="1"/>
    <col min="7" max="7" width="17.7109375" customWidth="1"/>
    <col min="8" max="8" width="26" bestFit="1" customWidth="1"/>
    <col min="9" max="9" width="7.28515625" customWidth="1"/>
    <col min="10" max="10" width="11.85546875" hidden="1" customWidth="1"/>
    <col min="11" max="11" width="16.85546875" customWidth="1"/>
    <col min="12" max="12" width="10.85546875" customWidth="1"/>
    <col min="13" max="13" width="15.28515625" customWidth="1"/>
    <col min="14" max="14" width="13.140625" hidden="1" customWidth="1"/>
    <col min="15" max="15" width="15.140625" hidden="1" customWidth="1"/>
    <col min="16" max="16" width="15.7109375" hidden="1" customWidth="1"/>
    <col min="17" max="17" width="15.85546875" hidden="1" customWidth="1"/>
    <col min="18" max="19" width="13.140625" hidden="1" customWidth="1"/>
    <col min="20" max="20" width="0.140625" hidden="1" customWidth="1"/>
    <col min="21" max="21" width="15.85546875" hidden="1" customWidth="1"/>
    <col min="22" max="22" width="8.85546875" hidden="1" customWidth="1"/>
    <col min="23" max="23" width="14.140625" hidden="1" customWidth="1"/>
    <col min="24" max="24" width="9.7109375" customWidth="1"/>
    <col min="25" max="25" width="15.28515625" customWidth="1"/>
    <col min="26" max="26" width="11.5703125" customWidth="1"/>
    <col min="27" max="27" width="14.28515625" customWidth="1"/>
    <col min="28" max="28" width="16.7109375" customWidth="1"/>
    <col min="29" max="29" width="64.140625" customWidth="1"/>
  </cols>
  <sheetData>
    <row r="1" spans="1:29" ht="18" x14ac:dyDescent="0.25">
      <c r="A1" s="460" t="s">
        <v>76</v>
      </c>
      <c r="B1" s="460"/>
      <c r="C1" s="460"/>
      <c r="D1" s="460"/>
      <c r="E1" s="460"/>
      <c r="F1" s="460"/>
      <c r="G1" s="460"/>
      <c r="H1" s="460"/>
      <c r="I1" s="460"/>
      <c r="J1" s="460"/>
      <c r="K1" s="460"/>
      <c r="L1" s="460"/>
      <c r="M1" s="460"/>
      <c r="N1" s="460"/>
      <c r="O1" s="460"/>
      <c r="P1" s="460"/>
      <c r="Q1" s="460"/>
      <c r="R1" s="460"/>
      <c r="S1" s="460"/>
      <c r="T1" s="460"/>
      <c r="U1" s="460"/>
      <c r="V1" s="460"/>
      <c r="W1" s="460"/>
      <c r="X1" s="460"/>
      <c r="Y1" s="460"/>
      <c r="Z1" s="460"/>
      <c r="AA1" s="460"/>
      <c r="AB1" s="460"/>
      <c r="AC1" s="460"/>
    </row>
    <row r="2" spans="1:29" ht="18" x14ac:dyDescent="0.25">
      <c r="A2" s="460" t="s">
        <v>64</v>
      </c>
      <c r="B2" s="460"/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  <c r="T2" s="460"/>
      <c r="U2" s="460"/>
      <c r="V2" s="460"/>
      <c r="W2" s="460"/>
      <c r="X2" s="460"/>
      <c r="Y2" s="460"/>
      <c r="Z2" s="460"/>
      <c r="AA2" s="460"/>
      <c r="AB2" s="460"/>
      <c r="AC2" s="460"/>
    </row>
    <row r="3" spans="1:29" ht="19.5" x14ac:dyDescent="0.25">
      <c r="A3" s="450" t="str">
        <f>PRESIDENCIA!A3</f>
        <v>SUELDO  DEL 15 AL 30 DE SEPTIEMBRE DE 2026</v>
      </c>
      <c r="B3" s="450"/>
      <c r="C3" s="450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  <c r="P3" s="450"/>
      <c r="Q3" s="450"/>
      <c r="R3" s="450"/>
      <c r="S3" s="450"/>
      <c r="T3" s="450"/>
      <c r="U3" s="450"/>
      <c r="V3" s="450"/>
      <c r="W3" s="450"/>
      <c r="X3" s="450"/>
      <c r="Y3" s="450"/>
      <c r="Z3" s="450"/>
      <c r="AA3" s="450"/>
      <c r="AB3" s="450"/>
      <c r="AC3" s="450"/>
    </row>
    <row r="4" spans="1:29" ht="15" x14ac:dyDescent="0.2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</row>
    <row r="5" spans="1:29" ht="15" x14ac:dyDescent="0.2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</row>
    <row r="6" spans="1:29" x14ac:dyDescent="0.2">
      <c r="A6" s="22"/>
      <c r="B6" s="22"/>
      <c r="C6" s="22"/>
      <c r="D6" s="22"/>
      <c r="E6" s="22"/>
      <c r="F6" s="22"/>
      <c r="G6" s="22"/>
      <c r="H6" s="22"/>
      <c r="I6" s="23" t="s">
        <v>22</v>
      </c>
      <c r="J6" s="23" t="s">
        <v>5</v>
      </c>
      <c r="K6" s="473" t="s">
        <v>1</v>
      </c>
      <c r="L6" s="474"/>
      <c r="M6" s="475"/>
      <c r="N6" s="50" t="s">
        <v>25</v>
      </c>
      <c r="O6" s="51"/>
      <c r="P6" s="476" t="s">
        <v>8</v>
      </c>
      <c r="Q6" s="477"/>
      <c r="R6" s="477"/>
      <c r="S6" s="477"/>
      <c r="T6" s="477"/>
      <c r="U6" s="478"/>
      <c r="V6" s="50" t="s">
        <v>29</v>
      </c>
      <c r="W6" s="50" t="s">
        <v>9</v>
      </c>
      <c r="X6" s="49" t="s">
        <v>52</v>
      </c>
      <c r="Y6" s="479" t="s">
        <v>2</v>
      </c>
      <c r="Z6" s="480"/>
      <c r="AA6" s="481"/>
      <c r="AB6" s="49" t="s">
        <v>0</v>
      </c>
      <c r="AC6" s="33"/>
    </row>
    <row r="7" spans="1:29" ht="24" x14ac:dyDescent="0.2">
      <c r="A7" s="26" t="s">
        <v>20</v>
      </c>
      <c r="B7" s="47" t="s">
        <v>91</v>
      </c>
      <c r="C7" s="47" t="s">
        <v>106</v>
      </c>
      <c r="D7" s="53" t="s">
        <v>21</v>
      </c>
      <c r="E7" s="26"/>
      <c r="F7" s="26"/>
      <c r="G7" s="26"/>
      <c r="H7" s="26"/>
      <c r="I7" s="27" t="s">
        <v>23</v>
      </c>
      <c r="J7" s="26" t="s">
        <v>24</v>
      </c>
      <c r="K7" s="49" t="s">
        <v>5</v>
      </c>
      <c r="L7" s="49" t="s">
        <v>58</v>
      </c>
      <c r="M7" s="49" t="s">
        <v>27</v>
      </c>
      <c r="N7" s="55" t="s">
        <v>26</v>
      </c>
      <c r="O7" s="51" t="s">
        <v>31</v>
      </c>
      <c r="P7" s="51" t="s">
        <v>11</v>
      </c>
      <c r="Q7" s="51" t="s">
        <v>33</v>
      </c>
      <c r="R7" s="51" t="s">
        <v>35</v>
      </c>
      <c r="S7" s="51" t="s">
        <v>36</v>
      </c>
      <c r="T7" s="51" t="s">
        <v>13</v>
      </c>
      <c r="U7" s="51" t="s">
        <v>9</v>
      </c>
      <c r="V7" s="55" t="s">
        <v>39</v>
      </c>
      <c r="W7" s="55" t="s">
        <v>40</v>
      </c>
      <c r="X7" s="53" t="s">
        <v>30</v>
      </c>
      <c r="Y7" s="49" t="s">
        <v>227</v>
      </c>
      <c r="Z7" s="49" t="s">
        <v>56</v>
      </c>
      <c r="AA7" s="49" t="s">
        <v>6</v>
      </c>
      <c r="AB7" s="53" t="s">
        <v>3</v>
      </c>
      <c r="AC7" s="35" t="s">
        <v>57</v>
      </c>
    </row>
    <row r="8" spans="1:29" x14ac:dyDescent="0.2">
      <c r="A8" s="29"/>
      <c r="B8" s="29"/>
      <c r="C8" s="29"/>
      <c r="D8" s="29"/>
      <c r="E8" s="29"/>
      <c r="F8" s="29"/>
      <c r="G8" s="29"/>
      <c r="H8" s="29"/>
      <c r="I8" s="29"/>
      <c r="J8" s="29"/>
      <c r="K8" s="62" t="s">
        <v>46</v>
      </c>
      <c r="L8" s="62" t="s">
        <v>59</v>
      </c>
      <c r="M8" s="62" t="s">
        <v>28</v>
      </c>
      <c r="N8" s="63" t="s">
        <v>42</v>
      </c>
      <c r="O8" s="50" t="s">
        <v>32</v>
      </c>
      <c r="P8" s="50" t="s">
        <v>12</v>
      </c>
      <c r="Q8" s="50" t="s">
        <v>34</v>
      </c>
      <c r="R8" s="50" t="s">
        <v>34</v>
      </c>
      <c r="S8" s="50" t="s">
        <v>37</v>
      </c>
      <c r="T8" s="50" t="s">
        <v>14</v>
      </c>
      <c r="U8" s="50" t="s">
        <v>38</v>
      </c>
      <c r="V8" s="55" t="s">
        <v>18</v>
      </c>
      <c r="W8" s="56" t="s">
        <v>112</v>
      </c>
      <c r="X8" s="62" t="s">
        <v>51</v>
      </c>
      <c r="Y8" s="62"/>
      <c r="Z8" s="62"/>
      <c r="AA8" s="62" t="s">
        <v>43</v>
      </c>
      <c r="AB8" s="62" t="s">
        <v>4</v>
      </c>
      <c r="AC8" s="34"/>
    </row>
    <row r="9" spans="1:29" s="4" customFormat="1" ht="54.75" customHeight="1" x14ac:dyDescent="0.25">
      <c r="A9" s="127"/>
      <c r="B9" s="490" t="s">
        <v>100</v>
      </c>
      <c r="C9" s="491"/>
      <c r="D9" s="492"/>
      <c r="E9" s="127" t="s">
        <v>92</v>
      </c>
      <c r="F9" s="127" t="s">
        <v>189</v>
      </c>
      <c r="G9" s="125" t="s">
        <v>229</v>
      </c>
      <c r="H9" s="127" t="s">
        <v>61</v>
      </c>
      <c r="I9" s="127"/>
      <c r="J9" s="127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226"/>
      <c r="X9" s="64"/>
      <c r="Y9" s="64"/>
      <c r="Z9" s="64"/>
      <c r="AA9" s="64"/>
      <c r="AB9" s="64"/>
      <c r="AC9" s="99"/>
    </row>
    <row r="10" spans="1:29" s="316" customFormat="1" ht="216.75" customHeight="1" x14ac:dyDescent="0.2">
      <c r="A10" s="250" t="s">
        <v>80</v>
      </c>
      <c r="B10" s="267" t="s">
        <v>538</v>
      </c>
      <c r="C10" s="267" t="s">
        <v>105</v>
      </c>
      <c r="D10" s="253" t="s">
        <v>539</v>
      </c>
      <c r="E10" s="254" t="s">
        <v>540</v>
      </c>
      <c r="F10" s="254" t="s">
        <v>541</v>
      </c>
      <c r="G10" s="339">
        <v>46024</v>
      </c>
      <c r="H10" s="256" t="s">
        <v>170</v>
      </c>
      <c r="I10" s="257">
        <v>15</v>
      </c>
      <c r="J10" s="258">
        <f>K10/I10</f>
        <v>1372.8</v>
      </c>
      <c r="K10" s="259">
        <v>20592</v>
      </c>
      <c r="L10" s="260">
        <v>0</v>
      </c>
      <c r="M10" s="261">
        <f>SUM(K10:L10)</f>
        <v>20592</v>
      </c>
      <c r="N10" s="281">
        <f>IF(K10/15&lt;=SMG,0,L10/2)</f>
        <v>0</v>
      </c>
      <c r="O10" s="296">
        <f>(K10+N10)/I10*30.4</f>
        <v>41733.119999999995</v>
      </c>
      <c r="P10" s="296">
        <f>VLOOKUP(O10,Tarifa,1)</f>
        <v>35362.839999999997</v>
      </c>
      <c r="Q10" s="296">
        <f>O10-P10</f>
        <v>6370.2799999999988</v>
      </c>
      <c r="R10" s="282">
        <f>VLOOKUP(O10,Tarifa,3)</f>
        <v>0.23519999999999999</v>
      </c>
      <c r="S10" s="281">
        <f>Q10*R10</f>
        <v>1498.2898559999996</v>
      </c>
      <c r="T10" s="283">
        <f>VLOOKUP(O10,Tarifa,2)</f>
        <v>5665.16</v>
      </c>
      <c r="U10" s="345">
        <f>S10+T10</f>
        <v>7163.4498559999993</v>
      </c>
      <c r="V10" s="345">
        <f>VLOOKUP(O10,Credito,2)</f>
        <v>0</v>
      </c>
      <c r="W10" s="345">
        <f>ROUND((U10-V10)/30.4*I10,2)</f>
        <v>3534.6</v>
      </c>
      <c r="X10" s="261">
        <f>-IF(W10&gt;0,0,0)</f>
        <v>0</v>
      </c>
      <c r="Y10" s="261">
        <f>IF(K10/15&lt;=SMG,0,IF(W10&lt;0,0,W10))</f>
        <v>3534.6</v>
      </c>
      <c r="Z10" s="262">
        <v>0</v>
      </c>
      <c r="AA10" s="261">
        <f>SUM(Y10:Z10)</f>
        <v>3534.6</v>
      </c>
      <c r="AB10" s="261">
        <f>M10+X10-AA10</f>
        <v>17057.400000000001</v>
      </c>
      <c r="AC10" s="315"/>
    </row>
    <row r="11" spans="1:29" s="316" customFormat="1" ht="216.75" customHeight="1" x14ac:dyDescent="0.2">
      <c r="A11" s="250"/>
      <c r="B11" s="267" t="s">
        <v>578</v>
      </c>
      <c r="C11" s="267" t="s">
        <v>105</v>
      </c>
      <c r="D11" s="253" t="s">
        <v>574</v>
      </c>
      <c r="E11" s="254" t="s">
        <v>576</v>
      </c>
      <c r="F11" s="254" t="s">
        <v>575</v>
      </c>
      <c r="G11" s="339">
        <v>46092</v>
      </c>
      <c r="H11" s="269" t="s">
        <v>577</v>
      </c>
      <c r="I11" s="257">
        <v>15</v>
      </c>
      <c r="J11" s="258">
        <v>915.33299999999997</v>
      </c>
      <c r="K11" s="259">
        <f>I11*J11</f>
        <v>13729.994999999999</v>
      </c>
      <c r="L11" s="260">
        <v>0</v>
      </c>
      <c r="M11" s="261">
        <f>K11</f>
        <v>13729.994999999999</v>
      </c>
      <c r="N11" s="281">
        <f>IF(K11/15&lt;=SMG,0,L11/2)</f>
        <v>0</v>
      </c>
      <c r="O11" s="296">
        <f>(K11+N11)/I11*30.4</f>
        <v>27826.123199999998</v>
      </c>
      <c r="P11" s="296">
        <f>VLOOKUP(O11,Tarifa,1)</f>
        <v>17533.650000000001</v>
      </c>
      <c r="Q11" s="281">
        <f>O11-P11</f>
        <v>10292.473199999997</v>
      </c>
      <c r="R11" s="282">
        <f>VLOOKUP(O11,Tarifa,3)</f>
        <v>0.21360000000000001</v>
      </c>
      <c r="S11" s="281">
        <f>Q11*R11</f>
        <v>2198.4722755199996</v>
      </c>
      <c r="T11" s="283">
        <f>VLOOKUP(O11,Tarifa,2)</f>
        <v>1856.84</v>
      </c>
      <c r="U11" s="281">
        <f>S11+T11</f>
        <v>4055.3122755199993</v>
      </c>
      <c r="V11" s="281">
        <f>VLOOKUP(O11,Credito,2)</f>
        <v>0</v>
      </c>
      <c r="W11" s="281">
        <f>ROUND((U11-V11)/30.4*I11,2)</f>
        <v>2000.98</v>
      </c>
      <c r="X11" s="261">
        <f>-IF(W11&gt;0,0,0)</f>
        <v>0</v>
      </c>
      <c r="Y11" s="261">
        <f>IF(K11/15&lt;=SMG,0,IF(W11&lt;0,0,W11))</f>
        <v>2000.98</v>
      </c>
      <c r="Z11" s="262">
        <v>0</v>
      </c>
      <c r="AA11" s="261">
        <f>SUM(Y11:Z11)</f>
        <v>2000.98</v>
      </c>
      <c r="AB11" s="261">
        <f>M11+X11-AA11</f>
        <v>11729.014999999999</v>
      </c>
      <c r="AC11" s="315"/>
    </row>
    <row r="12" spans="1:29" s="316" customFormat="1" ht="216.75" customHeight="1" x14ac:dyDescent="0.2">
      <c r="A12" s="250" t="s">
        <v>82</v>
      </c>
      <c r="B12" s="251" t="s">
        <v>231</v>
      </c>
      <c r="C12" s="252" t="s">
        <v>105</v>
      </c>
      <c r="D12" s="253" t="s">
        <v>232</v>
      </c>
      <c r="E12" s="254" t="s">
        <v>230</v>
      </c>
      <c r="F12" s="276" t="s">
        <v>233</v>
      </c>
      <c r="G12" s="277">
        <v>44991</v>
      </c>
      <c r="H12" s="269" t="s">
        <v>568</v>
      </c>
      <c r="I12" s="270">
        <v>15</v>
      </c>
      <c r="J12" s="287">
        <v>362.4</v>
      </c>
      <c r="K12" s="259">
        <v>7281</v>
      </c>
      <c r="L12" s="260">
        <v>0</v>
      </c>
      <c r="M12" s="261">
        <f>SUM(K12:L12)</f>
        <v>7281</v>
      </c>
      <c r="N12" s="281">
        <f>IF(K12/15&lt;=SMG,0,L12/2)</f>
        <v>0</v>
      </c>
      <c r="O12" s="296">
        <f>(K12+N12)/I12*30.4</f>
        <v>14756.159999999998</v>
      </c>
      <c r="P12" s="296">
        <f>VLOOKUP(O12,Tarifa,1)</f>
        <v>14644.65</v>
      </c>
      <c r="Q12" s="281">
        <f>O12-P12</f>
        <v>111.5099999999984</v>
      </c>
      <c r="R12" s="282">
        <f>VLOOKUP(O12,Tarifa,3)</f>
        <v>0.1792</v>
      </c>
      <c r="S12" s="281">
        <f>Q12*R12</f>
        <v>19.982591999999713</v>
      </c>
      <c r="T12" s="283">
        <f>VLOOKUP(O12,Tarifa,2)</f>
        <v>1339.14</v>
      </c>
      <c r="U12" s="281">
        <f>S12+T12</f>
        <v>1359.1225919999997</v>
      </c>
      <c r="V12" s="281">
        <f>VLOOKUP(O12,Credito,2)</f>
        <v>0</v>
      </c>
      <c r="W12" s="281">
        <f>ROUND((U12-V12)/30.4*I12,2)</f>
        <v>670.62</v>
      </c>
      <c r="X12" s="261">
        <f>-IF(W12&gt;0,0,0)</f>
        <v>0</v>
      </c>
      <c r="Y12" s="261">
        <f>IF(K12/15&lt;=SMG,0,IF(W12&lt;0,0,W12))</f>
        <v>670.62</v>
      </c>
      <c r="Z12" s="262">
        <v>0</v>
      </c>
      <c r="AA12" s="261">
        <f>SUM(Y12:Z12)</f>
        <v>670.62</v>
      </c>
      <c r="AB12" s="261">
        <f>M12+X12-AA12</f>
        <v>6610.38</v>
      </c>
      <c r="AC12" s="315"/>
    </row>
    <row r="13" spans="1:29" s="4" customFormat="1" ht="36" customHeight="1" x14ac:dyDescent="0.25">
      <c r="A13" s="138"/>
      <c r="B13" s="138"/>
      <c r="C13" s="138"/>
      <c r="D13" s="138"/>
      <c r="E13" s="138"/>
      <c r="F13" s="138"/>
      <c r="G13" s="138"/>
      <c r="H13" s="138"/>
      <c r="I13" s="138"/>
      <c r="J13" s="138"/>
      <c r="K13" s="144"/>
      <c r="L13" s="144"/>
      <c r="M13" s="144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</row>
    <row r="14" spans="1:29" s="4" customFormat="1" ht="60" customHeight="1" thickBot="1" x14ac:dyDescent="0.35">
      <c r="A14" s="446" t="s">
        <v>44</v>
      </c>
      <c r="B14" s="447"/>
      <c r="C14" s="447"/>
      <c r="D14" s="447"/>
      <c r="E14" s="447"/>
      <c r="F14" s="447"/>
      <c r="G14" s="447"/>
      <c r="H14" s="447"/>
      <c r="I14" s="447"/>
      <c r="J14" s="448"/>
      <c r="K14" s="198">
        <f t="shared" ref="K14:AA14" si="0">SUM(K10:K13)</f>
        <v>41602.994999999995</v>
      </c>
      <c r="L14" s="198">
        <f t="shared" si="0"/>
        <v>0</v>
      </c>
      <c r="M14" s="198">
        <f t="shared" si="0"/>
        <v>41602.994999999995</v>
      </c>
      <c r="N14" s="199">
        <f t="shared" si="0"/>
        <v>0</v>
      </c>
      <c r="O14" s="199">
        <f t="shared" si="0"/>
        <v>84315.403200000001</v>
      </c>
      <c r="P14" s="199">
        <f t="shared" si="0"/>
        <v>67541.14</v>
      </c>
      <c r="Q14" s="199">
        <f t="shared" si="0"/>
        <v>16774.263199999994</v>
      </c>
      <c r="R14" s="199">
        <f t="shared" si="0"/>
        <v>0.628</v>
      </c>
      <c r="S14" s="199">
        <f t="shared" si="0"/>
        <v>3716.7447235199993</v>
      </c>
      <c r="T14" s="199">
        <f t="shared" si="0"/>
        <v>8861.14</v>
      </c>
      <c r="U14" s="199">
        <f t="shared" si="0"/>
        <v>12577.884723519997</v>
      </c>
      <c r="V14" s="199">
        <f t="shared" si="0"/>
        <v>0</v>
      </c>
      <c r="W14" s="199">
        <f t="shared" si="0"/>
        <v>6206.2</v>
      </c>
      <c r="X14" s="198">
        <f t="shared" si="0"/>
        <v>0</v>
      </c>
      <c r="Y14" s="198">
        <f t="shared" si="0"/>
        <v>6206.2</v>
      </c>
      <c r="Z14" s="198">
        <f t="shared" si="0"/>
        <v>0</v>
      </c>
      <c r="AA14" s="198">
        <f t="shared" si="0"/>
        <v>6206.2</v>
      </c>
      <c r="AB14" s="198">
        <f>SUM(AB10:AB12)</f>
        <v>35396.794999999998</v>
      </c>
    </row>
    <row r="15" spans="1:29" ht="35.1" customHeight="1" thickTop="1" x14ac:dyDescent="0.2"/>
    <row r="16" spans="1:29" ht="35.1" customHeight="1" x14ac:dyDescent="0.2"/>
    <row r="17" spans="4:41" ht="35.1" customHeight="1" x14ac:dyDescent="0.2"/>
    <row r="18" spans="4:41" ht="35.1" customHeight="1" x14ac:dyDescent="0.2"/>
    <row r="21" spans="4:41" x14ac:dyDescent="0.2">
      <c r="AC21" s="43"/>
    </row>
    <row r="23" spans="4:41" ht="18" x14ac:dyDescent="0.25"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</row>
    <row r="24" spans="4:41" ht="18" x14ac:dyDescent="0.25">
      <c r="D24" s="203" t="s">
        <v>400</v>
      </c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203" t="s">
        <v>549</v>
      </c>
      <c r="Z24" s="203"/>
      <c r="AA24" s="203"/>
      <c r="AB24" s="203"/>
      <c r="AC24" s="108"/>
    </row>
    <row r="25" spans="4:41" ht="18" x14ac:dyDescent="0.25">
      <c r="D25" s="203" t="s">
        <v>413</v>
      </c>
      <c r="E25" s="203"/>
      <c r="F25" s="203"/>
      <c r="G25" s="203"/>
      <c r="H25" s="203"/>
      <c r="I25" s="203"/>
      <c r="J25" s="203"/>
      <c r="K25" s="203"/>
      <c r="L25" s="203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203" t="s">
        <v>210</v>
      </c>
      <c r="Z25" s="203"/>
      <c r="AA25" s="203"/>
      <c r="AB25" s="203"/>
      <c r="AC25" s="203"/>
      <c r="AD25" s="42"/>
      <c r="AE25" s="42"/>
      <c r="AF25" s="42"/>
      <c r="AG25" s="42"/>
      <c r="AH25" s="42"/>
      <c r="AI25" s="42"/>
      <c r="AJ25" s="42"/>
      <c r="AK25" s="42"/>
      <c r="AN25" s="42"/>
      <c r="AO25" s="42"/>
    </row>
    <row r="26" spans="4:41" ht="18" x14ac:dyDescent="0.25"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</row>
  </sheetData>
  <mergeCells count="8">
    <mergeCell ref="A14:J14"/>
    <mergeCell ref="A1:AC1"/>
    <mergeCell ref="A3:AC3"/>
    <mergeCell ref="K6:M6"/>
    <mergeCell ref="P6:U6"/>
    <mergeCell ref="Y6:AA6"/>
    <mergeCell ref="A2:AC2"/>
    <mergeCell ref="B9:D9"/>
  </mergeCells>
  <pageMargins left="0.27559055118110237" right="0.27559055118110237" top="0.74803149606299213" bottom="0.74803149606299213" header="0.31496062992125984" footer="0.31496062992125984"/>
  <pageSetup scale="39" orientation="landscape" horizontalDpi="4294967293" verticalDpi="36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0"/>
  <sheetViews>
    <sheetView topLeftCell="E22" zoomScale="70" zoomScaleNormal="70" workbookViewId="0">
      <selection activeCell="AB24" sqref="AB24"/>
    </sheetView>
  </sheetViews>
  <sheetFormatPr baseColWidth="10" defaultColWidth="11.42578125" defaultRowHeight="12.75" x14ac:dyDescent="0.2"/>
  <cols>
    <col min="1" max="1" width="5.5703125" hidden="1" customWidth="1"/>
    <col min="2" max="2" width="9.42578125" customWidth="1"/>
    <col min="3" max="3" width="6.7109375" customWidth="1"/>
    <col min="4" max="4" width="33.5703125" customWidth="1"/>
    <col min="5" max="5" width="23.7109375" customWidth="1"/>
    <col min="6" max="6" width="32.28515625" customWidth="1"/>
    <col min="7" max="7" width="15.7109375" customWidth="1"/>
    <col min="8" max="8" width="18.7109375" customWidth="1"/>
    <col min="9" max="9" width="6.5703125" hidden="1" customWidth="1"/>
    <col min="10" max="10" width="8.5703125" hidden="1" customWidth="1"/>
    <col min="11" max="11" width="17.28515625" customWidth="1"/>
    <col min="12" max="12" width="17.28515625" hidden="1" customWidth="1"/>
    <col min="13" max="13" width="17.7109375" customWidth="1"/>
    <col min="14" max="14" width="13.140625" hidden="1" customWidth="1"/>
    <col min="15" max="17" width="12.85546875" hidden="1" customWidth="1"/>
    <col min="18" max="19" width="13.140625" hidden="1" customWidth="1"/>
    <col min="20" max="20" width="15.42578125" hidden="1" customWidth="1"/>
    <col min="21" max="21" width="13" hidden="1" customWidth="1"/>
    <col min="22" max="22" width="20.85546875" hidden="1" customWidth="1"/>
    <col min="23" max="23" width="13.85546875" hidden="1" customWidth="1"/>
    <col min="24" max="24" width="9.7109375" customWidth="1"/>
    <col min="25" max="25" width="18.140625" customWidth="1"/>
    <col min="26" max="26" width="14.7109375" customWidth="1"/>
    <col min="27" max="27" width="17" customWidth="1"/>
    <col min="28" max="28" width="17.42578125" customWidth="1"/>
    <col min="29" max="29" width="68.42578125" customWidth="1"/>
    <col min="30" max="30" width="0.85546875" customWidth="1"/>
  </cols>
  <sheetData>
    <row r="1" spans="1:30" ht="18" x14ac:dyDescent="0.25">
      <c r="A1" s="460" t="s">
        <v>76</v>
      </c>
      <c r="B1" s="460"/>
      <c r="C1" s="460"/>
      <c r="D1" s="460"/>
      <c r="E1" s="460"/>
      <c r="F1" s="460"/>
      <c r="G1" s="460"/>
      <c r="H1" s="460"/>
      <c r="I1" s="460"/>
      <c r="J1" s="460"/>
      <c r="K1" s="460"/>
      <c r="L1" s="460"/>
      <c r="M1" s="460"/>
      <c r="N1" s="460"/>
      <c r="O1" s="460"/>
      <c r="P1" s="460"/>
      <c r="Q1" s="460"/>
      <c r="R1" s="460"/>
      <c r="S1" s="460"/>
      <c r="T1" s="460"/>
      <c r="U1" s="460"/>
      <c r="V1" s="460"/>
      <c r="W1" s="460"/>
      <c r="X1" s="460"/>
      <c r="Y1" s="460"/>
      <c r="Z1" s="460"/>
      <c r="AA1" s="460"/>
      <c r="AB1" s="460"/>
      <c r="AC1" s="460"/>
    </row>
    <row r="2" spans="1:30" ht="18" x14ac:dyDescent="0.25">
      <c r="A2" s="460" t="s">
        <v>64</v>
      </c>
      <c r="B2" s="460"/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  <c r="T2" s="460"/>
      <c r="U2" s="460"/>
      <c r="V2" s="460"/>
      <c r="W2" s="460"/>
      <c r="X2" s="460"/>
      <c r="Y2" s="460"/>
      <c r="Z2" s="460"/>
      <c r="AA2" s="460"/>
      <c r="AB2" s="460"/>
      <c r="AC2" s="460"/>
    </row>
    <row r="3" spans="1:30" ht="18" x14ac:dyDescent="0.25">
      <c r="A3" s="493" t="str">
        <f>PRESIDENCIA!A3</f>
        <v>SUELDO  DEL 15 AL 30 DE SEPTIEMBRE DE 2026</v>
      </c>
      <c r="B3" s="493"/>
      <c r="C3" s="493"/>
      <c r="D3" s="493"/>
      <c r="E3" s="493"/>
      <c r="F3" s="493"/>
      <c r="G3" s="493"/>
      <c r="H3" s="493"/>
      <c r="I3" s="493"/>
      <c r="J3" s="493"/>
      <c r="K3" s="493"/>
      <c r="L3" s="493"/>
      <c r="M3" s="493"/>
      <c r="N3" s="493"/>
      <c r="O3" s="493"/>
      <c r="P3" s="493"/>
      <c r="Q3" s="493"/>
      <c r="R3" s="493"/>
      <c r="S3" s="493"/>
      <c r="T3" s="493"/>
      <c r="U3" s="493"/>
      <c r="V3" s="493"/>
      <c r="W3" s="493"/>
      <c r="X3" s="493"/>
      <c r="Y3" s="493"/>
      <c r="Z3" s="493"/>
      <c r="AA3" s="493"/>
      <c r="AB3" s="493"/>
      <c r="AC3" s="493"/>
      <c r="AD3" s="493"/>
    </row>
    <row r="4" spans="1:30" ht="15" x14ac:dyDescent="0.2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</row>
    <row r="5" spans="1:30" x14ac:dyDescent="0.2">
      <c r="A5" s="22"/>
      <c r="B5" s="22"/>
      <c r="C5" s="22"/>
      <c r="D5" s="22"/>
      <c r="E5" s="22"/>
      <c r="F5" s="22"/>
      <c r="G5" s="22"/>
      <c r="H5" s="22"/>
      <c r="I5" s="23" t="s">
        <v>22</v>
      </c>
      <c r="J5" s="23" t="s">
        <v>5</v>
      </c>
      <c r="K5" s="461" t="s">
        <v>1</v>
      </c>
      <c r="L5" s="462"/>
      <c r="M5" s="463"/>
      <c r="N5" s="24" t="s">
        <v>25</v>
      </c>
      <c r="O5" s="25"/>
      <c r="P5" s="464" t="s">
        <v>8</v>
      </c>
      <c r="Q5" s="465"/>
      <c r="R5" s="465"/>
      <c r="S5" s="465"/>
      <c r="T5" s="465"/>
      <c r="U5" s="466"/>
      <c r="V5" s="24" t="s">
        <v>29</v>
      </c>
      <c r="W5" s="24" t="s">
        <v>9</v>
      </c>
      <c r="X5" s="23" t="s">
        <v>52</v>
      </c>
      <c r="Y5" s="467" t="s">
        <v>2</v>
      </c>
      <c r="Z5" s="468"/>
      <c r="AA5" s="469"/>
      <c r="AB5" s="23" t="s">
        <v>0</v>
      </c>
      <c r="AC5" s="33"/>
    </row>
    <row r="6" spans="1:30" ht="33.75" customHeight="1" x14ac:dyDescent="0.2">
      <c r="A6" s="26" t="s">
        <v>20</v>
      </c>
      <c r="B6" s="45" t="s">
        <v>91</v>
      </c>
      <c r="C6" s="45" t="s">
        <v>106</v>
      </c>
      <c r="D6" s="26" t="s">
        <v>21</v>
      </c>
      <c r="E6" s="26"/>
      <c r="F6" s="26"/>
      <c r="G6" s="26"/>
      <c r="H6" s="26"/>
      <c r="I6" s="27" t="s">
        <v>23</v>
      </c>
      <c r="J6" s="26" t="s">
        <v>24</v>
      </c>
      <c r="K6" s="23" t="s">
        <v>5</v>
      </c>
      <c r="L6" s="23"/>
      <c r="M6" s="23" t="s">
        <v>27</v>
      </c>
      <c r="N6" s="28" t="s">
        <v>26</v>
      </c>
      <c r="O6" s="25" t="s">
        <v>31</v>
      </c>
      <c r="P6" s="25" t="s">
        <v>11</v>
      </c>
      <c r="Q6" s="25" t="s">
        <v>33</v>
      </c>
      <c r="R6" s="25" t="s">
        <v>35</v>
      </c>
      <c r="S6" s="25" t="s">
        <v>36</v>
      </c>
      <c r="T6" s="25" t="s">
        <v>13</v>
      </c>
      <c r="U6" s="25" t="s">
        <v>9</v>
      </c>
      <c r="V6" s="28" t="s">
        <v>39</v>
      </c>
      <c r="W6" s="28" t="s">
        <v>40</v>
      </c>
      <c r="X6" s="26" t="s">
        <v>30</v>
      </c>
      <c r="Y6" s="23" t="s">
        <v>227</v>
      </c>
      <c r="Z6" s="23" t="s">
        <v>56</v>
      </c>
      <c r="AA6" s="23" t="s">
        <v>6</v>
      </c>
      <c r="AB6" s="26" t="s">
        <v>3</v>
      </c>
      <c r="AC6" s="35" t="s">
        <v>57</v>
      </c>
    </row>
    <row r="7" spans="1:30" x14ac:dyDescent="0.2">
      <c r="A7" s="29"/>
      <c r="B7" s="29"/>
      <c r="C7" s="29"/>
      <c r="D7" s="29"/>
      <c r="E7" s="29"/>
      <c r="F7" s="29"/>
      <c r="G7" s="29"/>
      <c r="H7" s="29"/>
      <c r="I7" s="29"/>
      <c r="J7" s="29"/>
      <c r="K7" s="29" t="s">
        <v>46</v>
      </c>
      <c r="L7" s="29"/>
      <c r="M7" s="29" t="s">
        <v>28</v>
      </c>
      <c r="N7" s="30" t="s">
        <v>42</v>
      </c>
      <c r="O7" s="24" t="s">
        <v>32</v>
      </c>
      <c r="P7" s="24" t="s">
        <v>12</v>
      </c>
      <c r="Q7" s="24" t="s">
        <v>34</v>
      </c>
      <c r="R7" s="24" t="s">
        <v>34</v>
      </c>
      <c r="S7" s="24" t="s">
        <v>37</v>
      </c>
      <c r="T7" s="24" t="s">
        <v>14</v>
      </c>
      <c r="U7" s="24" t="s">
        <v>38</v>
      </c>
      <c r="V7" s="28" t="s">
        <v>18</v>
      </c>
      <c r="W7" s="31" t="s">
        <v>41</v>
      </c>
      <c r="X7" s="29" t="s">
        <v>51</v>
      </c>
      <c r="Y7" s="29"/>
      <c r="Z7" s="29"/>
      <c r="AA7" s="29" t="s">
        <v>43</v>
      </c>
      <c r="AB7" s="29" t="s">
        <v>4</v>
      </c>
      <c r="AC7" s="34"/>
    </row>
    <row r="8" spans="1:30" ht="30" x14ac:dyDescent="0.25">
      <c r="A8" s="38"/>
      <c r="B8" s="38"/>
      <c r="C8" s="38"/>
      <c r="D8" s="89" t="s">
        <v>60</v>
      </c>
      <c r="E8" s="37" t="s">
        <v>92</v>
      </c>
      <c r="F8" s="37" t="s">
        <v>189</v>
      </c>
      <c r="G8" s="191" t="s">
        <v>229</v>
      </c>
      <c r="H8" s="37" t="s">
        <v>61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9"/>
      <c r="X8" s="38"/>
      <c r="Y8" s="38"/>
      <c r="Z8" s="38"/>
      <c r="AA8" s="38"/>
      <c r="AB8" s="38"/>
      <c r="AC8" s="90"/>
    </row>
    <row r="9" spans="1:30" s="300" customFormat="1" ht="230.25" customHeight="1" x14ac:dyDescent="0.2">
      <c r="A9" s="250" t="s">
        <v>80</v>
      </c>
      <c r="B9" s="272" t="s">
        <v>387</v>
      </c>
      <c r="C9" s="267" t="s">
        <v>105</v>
      </c>
      <c r="D9" s="253" t="s">
        <v>362</v>
      </c>
      <c r="E9" s="254" t="s">
        <v>388</v>
      </c>
      <c r="F9" s="340" t="s">
        <v>389</v>
      </c>
      <c r="G9" s="341">
        <v>45566</v>
      </c>
      <c r="H9" s="254" t="s">
        <v>73</v>
      </c>
      <c r="I9" s="270">
        <v>15</v>
      </c>
      <c r="J9" s="342">
        <f>K9/I9</f>
        <v>657.23333333333335</v>
      </c>
      <c r="K9" s="259">
        <v>9858.5</v>
      </c>
      <c r="L9" s="259"/>
      <c r="M9" s="261">
        <f t="shared" ref="M9:M22" si="0">SUM(K9:K9)</f>
        <v>9858.5</v>
      </c>
      <c r="N9" s="281">
        <f>IF(K9/15&lt;=SMG,0,L9/2)</f>
        <v>0</v>
      </c>
      <c r="O9" s="296">
        <f>(K9+N9)/I9*30.4</f>
        <v>19979.893333333333</v>
      </c>
      <c r="P9" s="296">
        <f>VLOOKUP(O9,Tarifa,1)</f>
        <v>17533.650000000001</v>
      </c>
      <c r="Q9" s="281">
        <f>O9-P9</f>
        <v>2446.243333333332</v>
      </c>
      <c r="R9" s="282">
        <f>VLOOKUP(O9,Tarifa,3)</f>
        <v>0.21360000000000001</v>
      </c>
      <c r="S9" s="281">
        <f>Q9*R9</f>
        <v>522.51757599999974</v>
      </c>
      <c r="T9" s="283">
        <f>VLOOKUP(O9,Tarifa,2)</f>
        <v>1856.84</v>
      </c>
      <c r="U9" s="281">
        <f>S9+T9</f>
        <v>2379.3575759999994</v>
      </c>
      <c r="V9" s="281">
        <f>VLOOKUP(O9,Credito,2)</f>
        <v>0</v>
      </c>
      <c r="W9" s="281">
        <f>ROUND((U9-V9)/30.4*I9,2)</f>
        <v>1174.03</v>
      </c>
      <c r="X9" s="261">
        <f>-IF(W9&gt;0,0,W9)</f>
        <v>0</v>
      </c>
      <c r="Y9" s="261">
        <f>IF(K9/15&lt;=SMG,0,IF(W9&lt;0,0,W9))</f>
        <v>1174.03</v>
      </c>
      <c r="Z9" s="262">
        <v>0</v>
      </c>
      <c r="AA9" s="261">
        <f t="shared" ref="AA9:AA21" si="1">SUM(Y9:Z9)</f>
        <v>1174.03</v>
      </c>
      <c r="AB9" s="261">
        <f t="shared" ref="AB9:AB22" si="2">M9+X9-AA9</f>
        <v>8684.4699999999993</v>
      </c>
      <c r="AC9" s="343"/>
    </row>
    <row r="10" spans="1:30" s="300" customFormat="1" ht="230.25" customHeight="1" x14ac:dyDescent="0.2">
      <c r="A10" s="250" t="s">
        <v>81</v>
      </c>
      <c r="B10" s="272" t="s">
        <v>385</v>
      </c>
      <c r="C10" s="267" t="s">
        <v>105</v>
      </c>
      <c r="D10" s="253" t="s">
        <v>363</v>
      </c>
      <c r="E10" s="254" t="s">
        <v>368</v>
      </c>
      <c r="F10" s="254" t="s">
        <v>369</v>
      </c>
      <c r="G10" s="341">
        <v>45566</v>
      </c>
      <c r="H10" s="254" t="s">
        <v>73</v>
      </c>
      <c r="I10" s="270">
        <v>15</v>
      </c>
      <c r="J10" s="342">
        <f>K10/I10</f>
        <v>657.23333333333335</v>
      </c>
      <c r="K10" s="259">
        <v>9858.5</v>
      </c>
      <c r="L10" s="259"/>
      <c r="M10" s="261">
        <f t="shared" si="0"/>
        <v>9858.5</v>
      </c>
      <c r="N10" s="281">
        <f>IF(K10/15&lt;=SMG,0,L10/2)</f>
        <v>0</v>
      </c>
      <c r="O10" s="296">
        <f>(K10+N10)/I10*30.4</f>
        <v>19979.893333333333</v>
      </c>
      <c r="P10" s="296">
        <f>VLOOKUP(O10,Tarifa,1)</f>
        <v>17533.650000000001</v>
      </c>
      <c r="Q10" s="281">
        <f>O10-P10</f>
        <v>2446.243333333332</v>
      </c>
      <c r="R10" s="282">
        <f>VLOOKUP(O10,Tarifa,3)</f>
        <v>0.21360000000000001</v>
      </c>
      <c r="S10" s="281">
        <f>Q10*R10</f>
        <v>522.51757599999974</v>
      </c>
      <c r="T10" s="283">
        <f>VLOOKUP(O10,Tarifa,2)</f>
        <v>1856.84</v>
      </c>
      <c r="U10" s="281">
        <f>S10+T10</f>
        <v>2379.3575759999994</v>
      </c>
      <c r="V10" s="281">
        <f>VLOOKUP(O10,Credito,2)</f>
        <v>0</v>
      </c>
      <c r="W10" s="281">
        <f>ROUND((U10-V10)/30.4*I10,2)</f>
        <v>1174.03</v>
      </c>
      <c r="X10" s="261">
        <f t="shared" ref="X10:X22" si="3">-IF(W10&gt;0,0,W10)</f>
        <v>0</v>
      </c>
      <c r="Y10" s="261">
        <f t="shared" ref="Y10:Y22" si="4">IF(K10/15&lt;=SMG,0,IF(W10&lt;0,0,W10))</f>
        <v>1174.03</v>
      </c>
      <c r="Z10" s="262">
        <v>0</v>
      </c>
      <c r="AA10" s="261">
        <f t="shared" si="1"/>
        <v>1174.03</v>
      </c>
      <c r="AB10" s="261">
        <f t="shared" si="2"/>
        <v>8684.4699999999993</v>
      </c>
      <c r="AC10" s="343"/>
    </row>
    <row r="11" spans="1:30" s="300" customFormat="1" ht="230.25" customHeight="1" x14ac:dyDescent="0.2">
      <c r="A11" s="250" t="s">
        <v>82</v>
      </c>
      <c r="B11" s="272" t="s">
        <v>386</v>
      </c>
      <c r="C11" s="267" t="s">
        <v>105</v>
      </c>
      <c r="D11" s="253" t="s">
        <v>383</v>
      </c>
      <c r="E11" s="254" t="s">
        <v>397</v>
      </c>
      <c r="F11" s="254" t="s">
        <v>391</v>
      </c>
      <c r="G11" s="341">
        <v>45566</v>
      </c>
      <c r="H11" s="254" t="s">
        <v>73</v>
      </c>
      <c r="I11" s="270">
        <v>15</v>
      </c>
      <c r="J11" s="342">
        <f>K11/I11</f>
        <v>657.23333333333335</v>
      </c>
      <c r="K11" s="259">
        <v>9858.5</v>
      </c>
      <c r="L11" s="259"/>
      <c r="M11" s="261">
        <f t="shared" si="0"/>
        <v>9858.5</v>
      </c>
      <c r="N11" s="281">
        <f>IF(K11/15&lt;=SMG,0,L11/2)</f>
        <v>0</v>
      </c>
      <c r="O11" s="296">
        <f>(K11+N11)/I11*30.4</f>
        <v>19979.893333333333</v>
      </c>
      <c r="P11" s="296">
        <f>VLOOKUP(O11,Tarifa,1)</f>
        <v>17533.650000000001</v>
      </c>
      <c r="Q11" s="281">
        <f>O11-P11</f>
        <v>2446.243333333332</v>
      </c>
      <c r="R11" s="282">
        <f>VLOOKUP(O11,Tarifa,3)</f>
        <v>0.21360000000000001</v>
      </c>
      <c r="S11" s="281">
        <f>Q11*R11</f>
        <v>522.51757599999974</v>
      </c>
      <c r="T11" s="283">
        <f>VLOOKUP(O11,Tarifa,2)</f>
        <v>1856.84</v>
      </c>
      <c r="U11" s="281">
        <f>S11+T11</f>
        <v>2379.3575759999994</v>
      </c>
      <c r="V11" s="281">
        <f>VLOOKUP(O11,Credito,2)</f>
        <v>0</v>
      </c>
      <c r="W11" s="281">
        <f>ROUND((U11-V11)/30.4*I11,2)</f>
        <v>1174.03</v>
      </c>
      <c r="X11" s="261">
        <f t="shared" si="3"/>
        <v>0</v>
      </c>
      <c r="Y11" s="261">
        <f t="shared" si="4"/>
        <v>1174.03</v>
      </c>
      <c r="Z11" s="262">
        <v>0</v>
      </c>
      <c r="AA11" s="261">
        <f t="shared" si="1"/>
        <v>1174.03</v>
      </c>
      <c r="AB11" s="261">
        <f t="shared" si="2"/>
        <v>8684.4699999999993</v>
      </c>
      <c r="AC11" s="344"/>
    </row>
    <row r="12" spans="1:30" s="300" customFormat="1" ht="230.25" customHeight="1" x14ac:dyDescent="0.2">
      <c r="A12" s="250" t="s">
        <v>83</v>
      </c>
      <c r="B12" s="272" t="s">
        <v>384</v>
      </c>
      <c r="C12" s="267" t="s">
        <v>105</v>
      </c>
      <c r="D12" s="253" t="s">
        <v>364</v>
      </c>
      <c r="E12" s="254" t="s">
        <v>366</v>
      </c>
      <c r="F12" s="254" t="s">
        <v>367</v>
      </c>
      <c r="G12" s="341">
        <v>45566</v>
      </c>
      <c r="H12" s="254" t="s">
        <v>73</v>
      </c>
      <c r="I12" s="270">
        <v>15</v>
      </c>
      <c r="J12" s="342">
        <f>K12/I12</f>
        <v>657.23333333333335</v>
      </c>
      <c r="K12" s="259">
        <v>9858.5</v>
      </c>
      <c r="L12" s="259"/>
      <c r="M12" s="261">
        <f t="shared" ref="M12" si="5">SUM(K12:K12)</f>
        <v>9858.5</v>
      </c>
      <c r="N12" s="281">
        <f>IF(K12/15&lt;=SMG,0,L12/2)</f>
        <v>0</v>
      </c>
      <c r="O12" s="296">
        <f>(K12+N12)/I12*30.4</f>
        <v>19979.893333333333</v>
      </c>
      <c r="P12" s="296">
        <f>VLOOKUP(O12,Tarifa,1)</f>
        <v>17533.650000000001</v>
      </c>
      <c r="Q12" s="281">
        <f>O12-P12</f>
        <v>2446.243333333332</v>
      </c>
      <c r="R12" s="282">
        <f>VLOOKUP(O12,Tarifa,3)</f>
        <v>0.21360000000000001</v>
      </c>
      <c r="S12" s="281">
        <f>Q12*R12</f>
        <v>522.51757599999974</v>
      </c>
      <c r="T12" s="283">
        <f>VLOOKUP(O12,Tarifa,2)</f>
        <v>1856.84</v>
      </c>
      <c r="U12" s="281">
        <f>S12+T12</f>
        <v>2379.3575759999994</v>
      </c>
      <c r="V12" s="281">
        <f>VLOOKUP(O12,Credito,2)</f>
        <v>0</v>
      </c>
      <c r="W12" s="281">
        <f>ROUND((U12-V12)/30.4*I12,2)</f>
        <v>1174.03</v>
      </c>
      <c r="X12" s="261">
        <f t="shared" si="3"/>
        <v>0</v>
      </c>
      <c r="Y12" s="261">
        <f t="shared" si="4"/>
        <v>1174.03</v>
      </c>
      <c r="Z12" s="262">
        <v>0</v>
      </c>
      <c r="AA12" s="261">
        <f t="shared" si="1"/>
        <v>1174.03</v>
      </c>
      <c r="AB12" s="261">
        <f t="shared" si="2"/>
        <v>8684.4699999999993</v>
      </c>
      <c r="AC12" s="343"/>
    </row>
    <row r="13" spans="1:30" s="300" customFormat="1" ht="230.25" customHeight="1" x14ac:dyDescent="0.2">
      <c r="A13" s="250" t="s">
        <v>84</v>
      </c>
      <c r="B13" s="272" t="s">
        <v>390</v>
      </c>
      <c r="C13" s="267" t="s">
        <v>105</v>
      </c>
      <c r="D13" s="273" t="s">
        <v>365</v>
      </c>
      <c r="E13" s="274" t="s">
        <v>309</v>
      </c>
      <c r="F13" s="276" t="s">
        <v>310</v>
      </c>
      <c r="G13" s="341">
        <v>45566</v>
      </c>
      <c r="H13" s="274" t="s">
        <v>73</v>
      </c>
      <c r="I13" s="270">
        <v>15</v>
      </c>
      <c r="J13" s="342">
        <f>K13/I13</f>
        <v>657.23333333333335</v>
      </c>
      <c r="K13" s="259">
        <v>9858.5</v>
      </c>
      <c r="L13" s="259"/>
      <c r="M13" s="261">
        <f t="shared" ref="M13" si="6">SUM(K13:K13)</f>
        <v>9858.5</v>
      </c>
      <c r="N13" s="281">
        <f>IF(K13/15&lt;=SMG,0,L13/2)</f>
        <v>0</v>
      </c>
      <c r="O13" s="296">
        <f>(K13+N13)/I13*30.4</f>
        <v>19979.893333333333</v>
      </c>
      <c r="P13" s="296">
        <f>VLOOKUP(O13,Tarifa,1)</f>
        <v>17533.650000000001</v>
      </c>
      <c r="Q13" s="281">
        <f>O13-P13</f>
        <v>2446.243333333332</v>
      </c>
      <c r="R13" s="282">
        <f>VLOOKUP(O13,Tarifa,3)</f>
        <v>0.21360000000000001</v>
      </c>
      <c r="S13" s="281">
        <f>Q13*R13</f>
        <v>522.51757599999974</v>
      </c>
      <c r="T13" s="283">
        <f>VLOOKUP(O13,Tarifa,2)</f>
        <v>1856.84</v>
      </c>
      <c r="U13" s="281">
        <f>S13+T13</f>
        <v>2379.3575759999994</v>
      </c>
      <c r="V13" s="281">
        <f>VLOOKUP(O13,Credito,2)</f>
        <v>0</v>
      </c>
      <c r="W13" s="281">
        <f>ROUND((U13-V13)/30.4*I13,2)</f>
        <v>1174.03</v>
      </c>
      <c r="X13" s="261">
        <f t="shared" ref="X13" si="7">-IF(W13&gt;0,0,W13)</f>
        <v>0</v>
      </c>
      <c r="Y13" s="261">
        <f t="shared" si="4"/>
        <v>1174.03</v>
      </c>
      <c r="Z13" s="262">
        <v>0</v>
      </c>
      <c r="AA13" s="261">
        <f t="shared" ref="AA13" si="8">SUM(Y13:Z13)</f>
        <v>1174.03</v>
      </c>
      <c r="AB13" s="261">
        <f t="shared" ref="AB13" si="9">M13+X13-AA13</f>
        <v>8684.4699999999993</v>
      </c>
      <c r="AC13" s="343"/>
    </row>
    <row r="14" spans="1:30" ht="44.25" customHeight="1" x14ac:dyDescent="0.3">
      <c r="A14" s="143"/>
      <c r="B14" s="233"/>
      <c r="C14" s="204"/>
      <c r="D14" s="205"/>
      <c r="E14" s="206"/>
      <c r="F14" s="231"/>
      <c r="G14" s="240"/>
      <c r="H14" s="206"/>
      <c r="I14" s="234"/>
      <c r="J14" s="241"/>
      <c r="K14" s="210"/>
      <c r="L14" s="210"/>
      <c r="M14" s="212"/>
      <c r="N14" s="213"/>
      <c r="O14" s="213"/>
      <c r="P14" s="213"/>
      <c r="Q14" s="213"/>
      <c r="R14" s="214"/>
      <c r="S14" s="213"/>
      <c r="T14" s="215"/>
      <c r="U14" s="213"/>
      <c r="V14" s="213"/>
      <c r="W14" s="213"/>
      <c r="X14" s="212"/>
      <c r="Y14" s="212"/>
      <c r="Z14" s="216"/>
      <c r="AA14" s="212"/>
      <c r="AB14" s="212"/>
    </row>
    <row r="15" spans="1:30" ht="23.25" customHeight="1" x14ac:dyDescent="0.25">
      <c r="A15" s="143"/>
      <c r="B15" s="460" t="s">
        <v>76</v>
      </c>
      <c r="C15" s="460"/>
      <c r="D15" s="460"/>
      <c r="E15" s="460"/>
      <c r="F15" s="460"/>
      <c r="G15" s="460"/>
      <c r="H15" s="460"/>
      <c r="I15" s="460"/>
      <c r="J15" s="460"/>
      <c r="K15" s="460"/>
      <c r="L15" s="460"/>
      <c r="M15" s="460"/>
      <c r="N15" s="460"/>
      <c r="O15" s="460"/>
      <c r="P15" s="460"/>
      <c r="Q15" s="460"/>
      <c r="R15" s="460"/>
      <c r="S15" s="460"/>
      <c r="T15" s="460"/>
      <c r="U15" s="460"/>
      <c r="V15" s="460"/>
      <c r="W15" s="460"/>
      <c r="X15" s="460"/>
      <c r="Y15" s="460"/>
      <c r="Z15" s="460"/>
      <c r="AA15" s="460"/>
      <c r="AB15" s="460"/>
      <c r="AC15" s="460"/>
      <c r="AD15" s="460"/>
    </row>
    <row r="16" spans="1:30" ht="23.25" customHeight="1" x14ac:dyDescent="0.25">
      <c r="A16" s="143"/>
      <c r="B16" s="460" t="s">
        <v>64</v>
      </c>
      <c r="C16" s="460"/>
      <c r="D16" s="460"/>
      <c r="E16" s="460"/>
      <c r="F16" s="460"/>
      <c r="G16" s="460"/>
      <c r="H16" s="460"/>
      <c r="I16" s="460"/>
      <c r="J16" s="460"/>
      <c r="K16" s="460"/>
      <c r="L16" s="460"/>
      <c r="M16" s="460"/>
      <c r="N16" s="460"/>
      <c r="O16" s="460"/>
      <c r="P16" s="460"/>
      <c r="Q16" s="460"/>
      <c r="R16" s="460"/>
      <c r="S16" s="460"/>
      <c r="T16" s="460"/>
      <c r="U16" s="460"/>
      <c r="V16" s="460"/>
      <c r="W16" s="460"/>
      <c r="X16" s="460"/>
      <c r="Y16" s="460"/>
      <c r="Z16" s="460"/>
      <c r="AA16" s="460"/>
      <c r="AB16" s="460"/>
      <c r="AC16" s="460"/>
      <c r="AD16" s="460"/>
    </row>
    <row r="17" spans="1:31" ht="23.25" customHeight="1" x14ac:dyDescent="0.25">
      <c r="A17" s="143"/>
      <c r="B17" s="450" t="str">
        <f>PRESIDENCIA!A3</f>
        <v>SUELDO  DEL 15 AL 30 DE SEPTIEMBRE DE 2026</v>
      </c>
      <c r="C17" s="450"/>
      <c r="D17" s="450"/>
      <c r="E17" s="450"/>
      <c r="F17" s="450"/>
      <c r="G17" s="450"/>
      <c r="H17" s="450"/>
      <c r="I17" s="450"/>
      <c r="J17" s="450"/>
      <c r="K17" s="450"/>
      <c r="L17" s="450"/>
      <c r="M17" s="450"/>
      <c r="N17" s="450"/>
      <c r="O17" s="450"/>
      <c r="P17" s="450"/>
      <c r="Q17" s="450"/>
      <c r="R17" s="450"/>
      <c r="S17" s="450"/>
      <c r="T17" s="450"/>
      <c r="U17" s="450"/>
      <c r="V17" s="450"/>
      <c r="W17" s="450"/>
      <c r="X17" s="450"/>
      <c r="Y17" s="450"/>
      <c r="Z17" s="450"/>
      <c r="AA17" s="450"/>
      <c r="AB17" s="450"/>
      <c r="AC17" s="450"/>
      <c r="AD17" s="450"/>
      <c r="AE17" s="450"/>
    </row>
    <row r="18" spans="1:31" ht="28.5" customHeight="1" x14ac:dyDescent="0.3">
      <c r="A18" s="143"/>
      <c r="B18" s="233"/>
      <c r="C18" s="204"/>
      <c r="D18" s="205"/>
      <c r="E18" s="206"/>
      <c r="F18" s="231"/>
      <c r="G18" s="240"/>
      <c r="H18" s="206"/>
      <c r="I18" s="234"/>
      <c r="J18" s="241"/>
      <c r="K18" s="210"/>
      <c r="L18" s="210"/>
      <c r="M18" s="212"/>
      <c r="N18" s="213"/>
      <c r="O18" s="213"/>
      <c r="P18" s="213"/>
      <c r="Q18" s="213"/>
      <c r="R18" s="214"/>
      <c r="S18" s="213"/>
      <c r="T18" s="215"/>
      <c r="U18" s="213"/>
      <c r="V18" s="213"/>
      <c r="W18" s="213"/>
      <c r="X18" s="212"/>
      <c r="Y18" s="212"/>
      <c r="Z18" s="216"/>
      <c r="AA18" s="212"/>
      <c r="AB18" s="212"/>
    </row>
    <row r="19" spans="1:31" s="300" customFormat="1" ht="216.75" customHeight="1" x14ac:dyDescent="0.2">
      <c r="A19" s="250" t="s">
        <v>85</v>
      </c>
      <c r="B19" s="272" t="s">
        <v>374</v>
      </c>
      <c r="C19" s="267" t="s">
        <v>105</v>
      </c>
      <c r="D19" s="253" t="s">
        <v>375</v>
      </c>
      <c r="E19" s="254" t="s">
        <v>381</v>
      </c>
      <c r="F19" s="254" t="s">
        <v>382</v>
      </c>
      <c r="G19" s="341">
        <v>45566</v>
      </c>
      <c r="H19" s="254" t="s">
        <v>73</v>
      </c>
      <c r="I19" s="270">
        <v>15</v>
      </c>
      <c r="J19" s="342">
        <f>K19/I19</f>
        <v>657.23333333333335</v>
      </c>
      <c r="K19" s="259">
        <v>9858.5</v>
      </c>
      <c r="L19" s="259"/>
      <c r="M19" s="261">
        <f t="shared" si="0"/>
        <v>9858.5</v>
      </c>
      <c r="N19" s="281">
        <f>IF(K19/15&lt;=SMG,0,L19/2)</f>
        <v>0</v>
      </c>
      <c r="O19" s="296">
        <f>(K19+N19)/I19*30.4</f>
        <v>19979.893333333333</v>
      </c>
      <c r="P19" s="296">
        <f>VLOOKUP(O19,Tarifa,1)</f>
        <v>17533.650000000001</v>
      </c>
      <c r="Q19" s="281">
        <f>O19-P19</f>
        <v>2446.243333333332</v>
      </c>
      <c r="R19" s="282">
        <f>VLOOKUP(O19,Tarifa,3)</f>
        <v>0.21360000000000001</v>
      </c>
      <c r="S19" s="281">
        <f>Q19*R19</f>
        <v>522.51757599999974</v>
      </c>
      <c r="T19" s="283">
        <f>VLOOKUP(O19,Tarifa,2)</f>
        <v>1856.84</v>
      </c>
      <c r="U19" s="281">
        <f>S19+T19</f>
        <v>2379.3575759999994</v>
      </c>
      <c r="V19" s="281">
        <f>VLOOKUP(O19,Credito,2)</f>
        <v>0</v>
      </c>
      <c r="W19" s="281">
        <f>ROUND((U19-V19)/30.4*I19,2)</f>
        <v>1174.03</v>
      </c>
      <c r="X19" s="261">
        <f t="shared" si="3"/>
        <v>0</v>
      </c>
      <c r="Y19" s="261">
        <f t="shared" si="4"/>
        <v>1174.03</v>
      </c>
      <c r="Z19" s="262">
        <v>0</v>
      </c>
      <c r="AA19" s="261">
        <f t="shared" si="1"/>
        <v>1174.03</v>
      </c>
      <c r="AB19" s="261">
        <f t="shared" si="2"/>
        <v>8684.4699999999993</v>
      </c>
      <c r="AC19" s="343"/>
    </row>
    <row r="20" spans="1:31" s="300" customFormat="1" ht="216.75" customHeight="1" x14ac:dyDescent="0.2">
      <c r="A20" s="250" t="s">
        <v>86</v>
      </c>
      <c r="B20" s="272" t="s">
        <v>371</v>
      </c>
      <c r="C20" s="267" t="s">
        <v>105</v>
      </c>
      <c r="D20" s="253" t="s">
        <v>370</v>
      </c>
      <c r="E20" s="254" t="s">
        <v>372</v>
      </c>
      <c r="F20" s="254" t="s">
        <v>373</v>
      </c>
      <c r="G20" s="341">
        <v>45566</v>
      </c>
      <c r="H20" s="254" t="s">
        <v>73</v>
      </c>
      <c r="I20" s="270">
        <v>15</v>
      </c>
      <c r="J20" s="342">
        <f>K20/I20</f>
        <v>657.23333333333335</v>
      </c>
      <c r="K20" s="259">
        <v>9858.5</v>
      </c>
      <c r="L20" s="259"/>
      <c r="M20" s="261">
        <f t="shared" si="0"/>
        <v>9858.5</v>
      </c>
      <c r="N20" s="281">
        <f>IF(K20/15&lt;=SMG,0,L20/2)</f>
        <v>0</v>
      </c>
      <c r="O20" s="296">
        <f>(K20+N20)/I20*30.4</f>
        <v>19979.893333333333</v>
      </c>
      <c r="P20" s="296">
        <f>VLOOKUP(O20,Tarifa,1)</f>
        <v>17533.650000000001</v>
      </c>
      <c r="Q20" s="281">
        <f>O20-P20</f>
        <v>2446.243333333332</v>
      </c>
      <c r="R20" s="282">
        <f>VLOOKUP(O20,Tarifa,3)</f>
        <v>0.21360000000000001</v>
      </c>
      <c r="S20" s="281">
        <f>Q20*R20</f>
        <v>522.51757599999974</v>
      </c>
      <c r="T20" s="283">
        <f>VLOOKUP(O20,Tarifa,2)</f>
        <v>1856.84</v>
      </c>
      <c r="U20" s="281">
        <f>S20+T20</f>
        <v>2379.3575759999994</v>
      </c>
      <c r="V20" s="281">
        <f>VLOOKUP(O20,Credito,2)</f>
        <v>0</v>
      </c>
      <c r="W20" s="281">
        <f>ROUND((U20-V20)/30.4*I20,2)</f>
        <v>1174.03</v>
      </c>
      <c r="X20" s="261">
        <f t="shared" si="3"/>
        <v>0</v>
      </c>
      <c r="Y20" s="261">
        <f t="shared" si="4"/>
        <v>1174.03</v>
      </c>
      <c r="Z20" s="262">
        <v>0</v>
      </c>
      <c r="AA20" s="261">
        <f t="shared" si="1"/>
        <v>1174.03</v>
      </c>
      <c r="AB20" s="261">
        <f t="shared" si="2"/>
        <v>8684.4699999999993</v>
      </c>
      <c r="AC20" s="343"/>
    </row>
    <row r="21" spans="1:31" s="300" customFormat="1" ht="216.75" customHeight="1" x14ac:dyDescent="0.2">
      <c r="A21" s="250" t="s">
        <v>87</v>
      </c>
      <c r="B21" s="272" t="s">
        <v>392</v>
      </c>
      <c r="C21" s="267" t="s">
        <v>105</v>
      </c>
      <c r="D21" s="253" t="s">
        <v>379</v>
      </c>
      <c r="E21" s="254" t="s">
        <v>419</v>
      </c>
      <c r="F21" s="254" t="s">
        <v>394</v>
      </c>
      <c r="G21" s="341">
        <v>45566</v>
      </c>
      <c r="H21" s="254" t="s">
        <v>73</v>
      </c>
      <c r="I21" s="270">
        <v>15</v>
      </c>
      <c r="J21" s="342">
        <f>K21/I21</f>
        <v>657.23333333333335</v>
      </c>
      <c r="K21" s="259">
        <v>9858.5</v>
      </c>
      <c r="L21" s="259"/>
      <c r="M21" s="261">
        <f t="shared" si="0"/>
        <v>9858.5</v>
      </c>
      <c r="N21" s="281">
        <f>IF(K21/15&lt;=SMG,0,L21/2)</f>
        <v>0</v>
      </c>
      <c r="O21" s="296">
        <f>(K21+N21)/I21*30.4</f>
        <v>19979.893333333333</v>
      </c>
      <c r="P21" s="296">
        <f>VLOOKUP(O21,Tarifa,1)</f>
        <v>17533.650000000001</v>
      </c>
      <c r="Q21" s="281">
        <f>O21-P21</f>
        <v>2446.243333333332</v>
      </c>
      <c r="R21" s="282">
        <f>VLOOKUP(O21,Tarifa,3)</f>
        <v>0.21360000000000001</v>
      </c>
      <c r="S21" s="281">
        <f>Q21*R21</f>
        <v>522.51757599999974</v>
      </c>
      <c r="T21" s="283">
        <f>VLOOKUP(O21,Tarifa,2)</f>
        <v>1856.84</v>
      </c>
      <c r="U21" s="281">
        <f>S21+T21</f>
        <v>2379.3575759999994</v>
      </c>
      <c r="V21" s="281">
        <f>VLOOKUP(O21,Credito,2)</f>
        <v>0</v>
      </c>
      <c r="W21" s="281">
        <f>ROUND((U21-V21)/30.4*I21,2)</f>
        <v>1174.03</v>
      </c>
      <c r="X21" s="261">
        <f t="shared" si="3"/>
        <v>0</v>
      </c>
      <c r="Y21" s="261">
        <f t="shared" si="4"/>
        <v>1174.03</v>
      </c>
      <c r="Z21" s="262">
        <v>0</v>
      </c>
      <c r="AA21" s="261">
        <f t="shared" si="1"/>
        <v>1174.03</v>
      </c>
      <c r="AB21" s="261">
        <f t="shared" si="2"/>
        <v>8684.4699999999993</v>
      </c>
      <c r="AC21" s="343"/>
    </row>
    <row r="22" spans="1:31" s="300" customFormat="1" ht="216.75" customHeight="1" x14ac:dyDescent="0.2">
      <c r="A22" s="250" t="s">
        <v>88</v>
      </c>
      <c r="B22" s="272" t="s">
        <v>393</v>
      </c>
      <c r="C22" s="267" t="s">
        <v>105</v>
      </c>
      <c r="D22" s="253" t="s">
        <v>380</v>
      </c>
      <c r="E22" s="254" t="s">
        <v>395</v>
      </c>
      <c r="F22" s="254" t="s">
        <v>396</v>
      </c>
      <c r="G22" s="341">
        <v>45566</v>
      </c>
      <c r="H22" s="254" t="s">
        <v>73</v>
      </c>
      <c r="I22" s="270">
        <v>15</v>
      </c>
      <c r="J22" s="342">
        <f>K22/I22</f>
        <v>657.23333333333335</v>
      </c>
      <c r="K22" s="259">
        <v>9858.5</v>
      </c>
      <c r="L22" s="259"/>
      <c r="M22" s="261">
        <f t="shared" si="0"/>
        <v>9858.5</v>
      </c>
      <c r="N22" s="281">
        <f>IF(K22/15&lt;=SMG,0,L22/2)</f>
        <v>0</v>
      </c>
      <c r="O22" s="296">
        <f>(K22+N22)/I22*30.4</f>
        <v>19979.893333333333</v>
      </c>
      <c r="P22" s="296">
        <f>VLOOKUP(O22,Tarifa,1)</f>
        <v>17533.650000000001</v>
      </c>
      <c r="Q22" s="281">
        <f>O22-P22</f>
        <v>2446.243333333332</v>
      </c>
      <c r="R22" s="282">
        <f>VLOOKUP(O22,Tarifa,3)</f>
        <v>0.21360000000000001</v>
      </c>
      <c r="S22" s="281">
        <f>Q22*R22</f>
        <v>522.51757599999974</v>
      </c>
      <c r="T22" s="283">
        <f>VLOOKUP(O22,Tarifa,2)</f>
        <v>1856.84</v>
      </c>
      <c r="U22" s="281">
        <f>S22+T22</f>
        <v>2379.3575759999994</v>
      </c>
      <c r="V22" s="281">
        <f>VLOOKUP(O22,Credito,2)</f>
        <v>0</v>
      </c>
      <c r="W22" s="281">
        <f>ROUND((U22-V22)/30.4*I22,2)</f>
        <v>1174.03</v>
      </c>
      <c r="X22" s="261">
        <f t="shared" si="3"/>
        <v>0</v>
      </c>
      <c r="Y22" s="261">
        <f t="shared" si="4"/>
        <v>1174.03</v>
      </c>
      <c r="Z22" s="262">
        <v>0</v>
      </c>
      <c r="AA22" s="261">
        <f>SUM(Y22:Z22)</f>
        <v>1174.03</v>
      </c>
      <c r="AB22" s="261">
        <f t="shared" si="2"/>
        <v>8684.4699999999993</v>
      </c>
      <c r="AC22" s="343"/>
    </row>
    <row r="23" spans="1:31" ht="21.75" customHeight="1" x14ac:dyDescent="0.25">
      <c r="A23" s="138"/>
      <c r="B23" s="138"/>
      <c r="C23" s="138"/>
      <c r="D23" s="138"/>
      <c r="E23" s="138"/>
      <c r="F23" s="138"/>
      <c r="G23" s="138"/>
      <c r="H23" s="138"/>
      <c r="I23" s="138"/>
      <c r="J23" s="138"/>
      <c r="K23" s="144"/>
      <c r="L23" s="144"/>
      <c r="M23" s="144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</row>
    <row r="24" spans="1:31" ht="40.5" customHeight="1" thickBot="1" x14ac:dyDescent="0.35">
      <c r="A24" s="446" t="s">
        <v>44</v>
      </c>
      <c r="B24" s="447"/>
      <c r="C24" s="447"/>
      <c r="D24" s="447"/>
      <c r="E24" s="447"/>
      <c r="F24" s="447"/>
      <c r="G24" s="447"/>
      <c r="H24" s="447"/>
      <c r="I24" s="447"/>
      <c r="J24" s="448"/>
      <c r="K24" s="198">
        <f>SUM(K9:K23)</f>
        <v>88726.5</v>
      </c>
      <c r="L24" s="198"/>
      <c r="M24" s="198">
        <f>SUM(M9:M23)</f>
        <v>88726.5</v>
      </c>
      <c r="N24" s="199">
        <f t="shared" ref="N24:W24" si="10">SUM(N9:N23)</f>
        <v>0</v>
      </c>
      <c r="O24" s="199">
        <f t="shared" si="10"/>
        <v>179819.04000000004</v>
      </c>
      <c r="P24" s="199">
        <f t="shared" si="10"/>
        <v>157802.84999999998</v>
      </c>
      <c r="Q24" s="199">
        <f t="shared" si="10"/>
        <v>22016.189999999988</v>
      </c>
      <c r="R24" s="199">
        <f t="shared" si="10"/>
        <v>1.9224000000000001</v>
      </c>
      <c r="S24" s="199">
        <f t="shared" si="10"/>
        <v>4702.6581839999981</v>
      </c>
      <c r="T24" s="199">
        <f t="shared" si="10"/>
        <v>16711.559999999998</v>
      </c>
      <c r="U24" s="199">
        <f t="shared" si="10"/>
        <v>21414.21818399999</v>
      </c>
      <c r="V24" s="199">
        <f t="shared" si="10"/>
        <v>0</v>
      </c>
      <c r="W24" s="199">
        <f t="shared" si="10"/>
        <v>10566.27</v>
      </c>
      <c r="X24" s="198">
        <f>SUM(X9:X23)</f>
        <v>0</v>
      </c>
      <c r="Y24" s="198">
        <f>SUM(Y9:Y23)</f>
        <v>10566.27</v>
      </c>
      <c r="Z24" s="198">
        <f>SUM(Z9:Z23)</f>
        <v>0</v>
      </c>
      <c r="AA24" s="198">
        <f>SUM(AA9:AA23)</f>
        <v>10566.27</v>
      </c>
      <c r="AB24" s="198">
        <f>SUM(AB9:AB23)</f>
        <v>78160.23</v>
      </c>
    </row>
    <row r="25" spans="1:31" ht="13.5" thickTop="1" x14ac:dyDescent="0.2"/>
    <row r="39" spans="4:42" ht="18" x14ac:dyDescent="0.25">
      <c r="D39" s="94" t="s">
        <v>400</v>
      </c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203" t="s">
        <v>542</v>
      </c>
      <c r="Z39" s="203" t="s">
        <v>543</v>
      </c>
      <c r="AA39" s="91"/>
      <c r="AB39" s="91"/>
    </row>
    <row r="40" spans="4:42" ht="15" x14ac:dyDescent="0.25">
      <c r="D40" s="94" t="s">
        <v>413</v>
      </c>
      <c r="E40" s="94"/>
      <c r="F40" s="94"/>
      <c r="G40" s="94"/>
      <c r="H40" s="94"/>
      <c r="I40" s="94"/>
      <c r="J40" s="94"/>
      <c r="K40" s="94"/>
      <c r="L40" s="94"/>
      <c r="M40" s="94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4" t="s">
        <v>185</v>
      </c>
      <c r="AA40" s="91"/>
      <c r="AB40" s="94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O40" s="42"/>
      <c r="AP40" s="42"/>
    </row>
  </sheetData>
  <sortState ref="D9:F22">
    <sortCondition ref="D9"/>
  </sortState>
  <mergeCells count="10">
    <mergeCell ref="A24:J24"/>
    <mergeCell ref="A1:AC1"/>
    <mergeCell ref="A2:AC2"/>
    <mergeCell ref="K5:M5"/>
    <mergeCell ref="P5:U5"/>
    <mergeCell ref="Y5:AA5"/>
    <mergeCell ref="A3:AD3"/>
    <mergeCell ref="B15:AD15"/>
    <mergeCell ref="B16:AD16"/>
    <mergeCell ref="B17:AE17"/>
  </mergeCells>
  <pageMargins left="0.47244094488188981" right="0.27559055118110237" top="0.74803149606299213" bottom="0.19685039370078741" header="0.31496062992125984" footer="0.31496062992125984"/>
  <pageSetup scale="41" orientation="landscape" horizontalDpi="4294967293" verticalDpi="36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5"/>
  <sheetViews>
    <sheetView topLeftCell="A4" zoomScale="70" zoomScaleNormal="70" workbookViewId="0">
      <selection activeCell="J24" sqref="J24"/>
    </sheetView>
  </sheetViews>
  <sheetFormatPr baseColWidth="10" defaultRowHeight="12.75" x14ac:dyDescent="0.2"/>
  <cols>
    <col min="1" max="1" width="9.140625" customWidth="1"/>
    <col min="2" max="2" width="9.28515625" customWidth="1"/>
    <col min="3" max="3" width="36.28515625" customWidth="1"/>
    <col min="4" max="4" width="24.140625" customWidth="1"/>
    <col min="5" max="5" width="33.28515625" customWidth="1"/>
    <col min="6" max="6" width="17.28515625" customWidth="1"/>
    <col min="7" max="7" width="19.140625" bestFit="1" customWidth="1"/>
    <col min="8" max="8" width="6.85546875" customWidth="1"/>
    <col min="9" max="9" width="12.42578125" bestFit="1" customWidth="1"/>
    <col min="10" max="10" width="15.85546875" bestFit="1" customWidth="1"/>
    <col min="11" max="11" width="8.7109375" customWidth="1"/>
    <col min="12" max="12" width="15.85546875" bestFit="1" customWidth="1"/>
    <col min="13" max="13" width="11.42578125" hidden="1" customWidth="1"/>
    <col min="14" max="14" width="14.85546875" hidden="1" customWidth="1"/>
    <col min="15" max="15" width="14.7109375" hidden="1" customWidth="1"/>
    <col min="16" max="16" width="13" hidden="1" customWidth="1"/>
    <col min="17" max="17" width="11.42578125" hidden="1" customWidth="1"/>
    <col min="18" max="18" width="13.28515625" hidden="1" customWidth="1"/>
    <col min="19" max="20" width="12.5703125" hidden="1" customWidth="1"/>
    <col min="21" max="21" width="11.42578125" hidden="1" customWidth="1"/>
    <col min="22" max="22" width="12.85546875" hidden="1" customWidth="1"/>
    <col min="23" max="23" width="8.85546875" customWidth="1"/>
    <col min="24" max="24" width="13.85546875" customWidth="1"/>
    <col min="25" max="25" width="14" customWidth="1"/>
    <col min="26" max="26" width="15.140625" customWidth="1"/>
    <col min="27" max="27" width="15.85546875" bestFit="1" customWidth="1"/>
    <col min="28" max="28" width="57" customWidth="1"/>
  </cols>
  <sheetData>
    <row r="1" spans="1:29" ht="18" x14ac:dyDescent="0.25">
      <c r="A1" s="460" t="s">
        <v>76</v>
      </c>
      <c r="B1" s="460"/>
      <c r="C1" s="460"/>
      <c r="D1" s="460"/>
      <c r="E1" s="460"/>
      <c r="F1" s="460"/>
      <c r="G1" s="460"/>
      <c r="H1" s="460"/>
      <c r="I1" s="460"/>
      <c r="J1" s="460"/>
      <c r="K1" s="460"/>
      <c r="L1" s="460"/>
      <c r="M1" s="460"/>
      <c r="N1" s="460"/>
      <c r="O1" s="460"/>
      <c r="P1" s="460"/>
      <c r="Q1" s="460"/>
      <c r="R1" s="460"/>
      <c r="S1" s="460"/>
      <c r="T1" s="460"/>
      <c r="U1" s="460"/>
      <c r="V1" s="460"/>
      <c r="W1" s="460"/>
      <c r="X1" s="460"/>
      <c r="Y1" s="460"/>
      <c r="Z1" s="460"/>
      <c r="AA1" s="460"/>
      <c r="AB1" s="460"/>
      <c r="AC1" s="460"/>
    </row>
    <row r="2" spans="1:29" ht="18" x14ac:dyDescent="0.25">
      <c r="A2" s="460" t="s">
        <v>64</v>
      </c>
      <c r="B2" s="460"/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  <c r="T2" s="460"/>
      <c r="U2" s="460"/>
      <c r="V2" s="460"/>
      <c r="W2" s="460"/>
      <c r="X2" s="460"/>
      <c r="Y2" s="460"/>
      <c r="Z2" s="460"/>
      <c r="AA2" s="460"/>
      <c r="AB2" s="460"/>
      <c r="AC2" s="460"/>
    </row>
    <row r="3" spans="1:29" ht="19.5" x14ac:dyDescent="0.25">
      <c r="A3" s="450" t="str">
        <f>PRESIDENCIA!A3</f>
        <v>SUELDO  DEL 15 AL 30 DE SEPTIEMBRE DE 2026</v>
      </c>
      <c r="B3" s="450"/>
      <c r="C3" s="450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  <c r="P3" s="450"/>
      <c r="Q3" s="450"/>
      <c r="R3" s="450"/>
      <c r="S3" s="450"/>
      <c r="T3" s="450"/>
      <c r="U3" s="450"/>
      <c r="V3" s="450"/>
      <c r="W3" s="450"/>
      <c r="X3" s="450"/>
      <c r="Y3" s="450"/>
      <c r="Z3" s="450"/>
      <c r="AA3" s="450"/>
      <c r="AB3" s="450"/>
      <c r="AC3" s="450"/>
    </row>
    <row r="4" spans="1:29" ht="15" x14ac:dyDescent="0.2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</row>
    <row r="5" spans="1:29" x14ac:dyDescent="0.2">
      <c r="A5" s="22"/>
      <c r="B5" s="22"/>
      <c r="C5" s="22"/>
      <c r="D5" s="22"/>
      <c r="E5" s="22"/>
      <c r="F5" s="22"/>
      <c r="G5" s="22"/>
      <c r="H5" s="23" t="s">
        <v>22</v>
      </c>
      <c r="I5" s="23" t="s">
        <v>5</v>
      </c>
      <c r="J5" s="461" t="s">
        <v>1</v>
      </c>
      <c r="K5" s="462"/>
      <c r="L5" s="463"/>
      <c r="M5" s="24" t="s">
        <v>25</v>
      </c>
      <c r="N5" s="25"/>
      <c r="O5" s="464" t="s">
        <v>8</v>
      </c>
      <c r="P5" s="465"/>
      <c r="Q5" s="465"/>
      <c r="R5" s="465"/>
      <c r="S5" s="465"/>
      <c r="T5" s="466"/>
      <c r="U5" s="24" t="s">
        <v>29</v>
      </c>
      <c r="V5" s="24" t="s">
        <v>9</v>
      </c>
      <c r="W5" s="23" t="s">
        <v>52</v>
      </c>
      <c r="X5" s="467" t="s">
        <v>2</v>
      </c>
      <c r="Y5" s="468"/>
      <c r="Z5" s="469"/>
      <c r="AA5" s="23" t="s">
        <v>0</v>
      </c>
      <c r="AB5" s="33"/>
    </row>
    <row r="6" spans="1:29" ht="22.5" x14ac:dyDescent="0.2">
      <c r="A6" s="45" t="s">
        <v>91</v>
      </c>
      <c r="B6" s="45" t="s">
        <v>106</v>
      </c>
      <c r="C6" s="26" t="s">
        <v>21</v>
      </c>
      <c r="D6" s="26"/>
      <c r="E6" s="26"/>
      <c r="F6" s="26"/>
      <c r="G6" s="26"/>
      <c r="H6" s="27" t="s">
        <v>23</v>
      </c>
      <c r="I6" s="26" t="s">
        <v>24</v>
      </c>
      <c r="J6" s="23" t="s">
        <v>5</v>
      </c>
      <c r="K6" s="23" t="s">
        <v>58</v>
      </c>
      <c r="L6" s="23" t="s">
        <v>27</v>
      </c>
      <c r="M6" s="28" t="s">
        <v>26</v>
      </c>
      <c r="N6" s="25" t="s">
        <v>31</v>
      </c>
      <c r="O6" s="25" t="s">
        <v>11</v>
      </c>
      <c r="P6" s="25" t="s">
        <v>33</v>
      </c>
      <c r="Q6" s="25" t="s">
        <v>35</v>
      </c>
      <c r="R6" s="25" t="s">
        <v>36</v>
      </c>
      <c r="S6" s="25" t="s">
        <v>13</v>
      </c>
      <c r="T6" s="25" t="s">
        <v>9</v>
      </c>
      <c r="U6" s="28" t="s">
        <v>39</v>
      </c>
      <c r="V6" s="28" t="s">
        <v>40</v>
      </c>
      <c r="W6" s="26" t="s">
        <v>30</v>
      </c>
      <c r="X6" s="23" t="s">
        <v>227</v>
      </c>
      <c r="Y6" s="23" t="s">
        <v>56</v>
      </c>
      <c r="Z6" s="23" t="s">
        <v>6</v>
      </c>
      <c r="AA6" s="26" t="s">
        <v>3</v>
      </c>
      <c r="AB6" s="35" t="s">
        <v>57</v>
      </c>
    </row>
    <row r="7" spans="1:29" x14ac:dyDescent="0.2">
      <c r="A7" s="29"/>
      <c r="B7" s="29"/>
      <c r="C7" s="29"/>
      <c r="D7" s="29"/>
      <c r="E7" s="29"/>
      <c r="F7" s="29"/>
      <c r="G7" s="29"/>
      <c r="H7" s="29"/>
      <c r="I7" s="29"/>
      <c r="J7" s="29" t="s">
        <v>46</v>
      </c>
      <c r="K7" s="29" t="s">
        <v>59</v>
      </c>
      <c r="L7" s="29" t="s">
        <v>28</v>
      </c>
      <c r="M7" s="30" t="s">
        <v>42</v>
      </c>
      <c r="N7" s="24" t="s">
        <v>32</v>
      </c>
      <c r="O7" s="24" t="s">
        <v>12</v>
      </c>
      <c r="P7" s="24" t="s">
        <v>34</v>
      </c>
      <c r="Q7" s="24" t="s">
        <v>34</v>
      </c>
      <c r="R7" s="24" t="s">
        <v>37</v>
      </c>
      <c r="S7" s="24" t="s">
        <v>14</v>
      </c>
      <c r="T7" s="24" t="s">
        <v>38</v>
      </c>
      <c r="U7" s="28" t="s">
        <v>18</v>
      </c>
      <c r="V7" s="31" t="s">
        <v>41</v>
      </c>
      <c r="W7" s="29" t="s">
        <v>51</v>
      </c>
      <c r="X7" s="29"/>
      <c r="Y7" s="29"/>
      <c r="Z7" s="29" t="s">
        <v>43</v>
      </c>
      <c r="AA7" s="29" t="s">
        <v>4</v>
      </c>
      <c r="AB7" s="34"/>
    </row>
    <row r="8" spans="1:29" ht="40.5" x14ac:dyDescent="0.3">
      <c r="A8" s="38"/>
      <c r="B8" s="38"/>
      <c r="C8" s="227" t="s">
        <v>72</v>
      </c>
      <c r="D8" s="228" t="s">
        <v>92</v>
      </c>
      <c r="E8" s="228" t="s">
        <v>189</v>
      </c>
      <c r="F8" s="229" t="s">
        <v>229</v>
      </c>
      <c r="G8" s="228" t="s">
        <v>61</v>
      </c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9"/>
      <c r="W8" s="38"/>
      <c r="X8" s="38"/>
      <c r="Y8" s="38"/>
      <c r="Z8" s="38"/>
      <c r="AA8" s="38"/>
      <c r="AB8" s="90"/>
    </row>
    <row r="9" spans="1:29" s="300" customFormat="1" ht="222" customHeight="1" x14ac:dyDescent="0.2">
      <c r="A9" s="272" t="s">
        <v>347</v>
      </c>
      <c r="B9" s="267" t="s">
        <v>105</v>
      </c>
      <c r="C9" s="253" t="s">
        <v>346</v>
      </c>
      <c r="D9" s="274" t="s">
        <v>348</v>
      </c>
      <c r="E9" s="274" t="s">
        <v>349</v>
      </c>
      <c r="F9" s="313">
        <v>46254</v>
      </c>
      <c r="G9" s="256" t="s">
        <v>188</v>
      </c>
      <c r="H9" s="257">
        <v>15</v>
      </c>
      <c r="I9" s="258">
        <f>J9/H9</f>
        <v>1372.8</v>
      </c>
      <c r="J9" s="259">
        <v>20592</v>
      </c>
      <c r="K9" s="260">
        <v>0</v>
      </c>
      <c r="L9" s="261">
        <f>SUM(J9:K9)</f>
        <v>20592</v>
      </c>
      <c r="M9" s="281">
        <f>IF(J9/15&lt;=SMG,0,K9/2)</f>
        <v>0</v>
      </c>
      <c r="N9" s="296">
        <f>(J9+M9)/H9*30.4</f>
        <v>41733.119999999995</v>
      </c>
      <c r="O9" s="296">
        <f>VLOOKUP(N9,Tarifa,1)</f>
        <v>35362.839999999997</v>
      </c>
      <c r="P9" s="281">
        <f>N9-O9</f>
        <v>6370.2799999999988</v>
      </c>
      <c r="Q9" s="282">
        <f>VLOOKUP(N9,Tarifa,3)</f>
        <v>0.23519999999999999</v>
      </c>
      <c r="R9" s="281">
        <f>P9*Q9</f>
        <v>1498.2898559999996</v>
      </c>
      <c r="S9" s="283">
        <f>VLOOKUP(N9,Tarifa,2)</f>
        <v>5665.16</v>
      </c>
      <c r="T9" s="281">
        <f>R9+S9</f>
        <v>7163.4498559999993</v>
      </c>
      <c r="U9" s="281">
        <f>VLOOKUP(N9,Credito,2)</f>
        <v>0</v>
      </c>
      <c r="V9" s="281">
        <f>ROUND((T9-U9)/30.4*H9,2)</f>
        <v>3534.6</v>
      </c>
      <c r="W9" s="261">
        <f>-IF(V9&gt;0,0,0)</f>
        <v>0</v>
      </c>
      <c r="X9" s="261">
        <f>IF(J9/15&lt;=SMG,0,IF(V9&lt;0,0,V9))</f>
        <v>3534.6</v>
      </c>
      <c r="Y9" s="262">
        <v>0</v>
      </c>
      <c r="Z9" s="261">
        <f>SUM(X9:Y9)</f>
        <v>3534.6</v>
      </c>
      <c r="AA9" s="261">
        <f>L9+W9-Z9</f>
        <v>17057.400000000001</v>
      </c>
      <c r="AB9" s="346"/>
    </row>
    <row r="10" spans="1:29" ht="18" x14ac:dyDescent="0.25">
      <c r="A10" s="138"/>
      <c r="B10" s="138"/>
      <c r="C10" s="138"/>
      <c r="D10" s="138"/>
      <c r="E10" s="138"/>
      <c r="F10" s="138"/>
      <c r="G10" s="138"/>
      <c r="H10" s="139"/>
      <c r="I10" s="138"/>
      <c r="J10" s="140"/>
      <c r="K10" s="140"/>
      <c r="L10" s="140"/>
      <c r="M10" s="141"/>
      <c r="N10" s="142"/>
      <c r="O10" s="142"/>
      <c r="P10" s="142"/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2"/>
    </row>
    <row r="11" spans="1:29" ht="41.25" customHeight="1" thickBot="1" x14ac:dyDescent="0.3">
      <c r="A11" s="447"/>
      <c r="B11" s="447"/>
      <c r="C11" s="447"/>
      <c r="D11" s="447"/>
      <c r="E11" s="447"/>
      <c r="F11" s="447"/>
      <c r="G11" s="447"/>
      <c r="H11" s="447"/>
      <c r="I11" s="448"/>
      <c r="J11" s="136">
        <f>SUM(J9:J10)</f>
        <v>20592</v>
      </c>
      <c r="K11" s="136">
        <f>SUM(K9:K10)</f>
        <v>0</v>
      </c>
      <c r="L11" s="136">
        <f>SUM(L9:L10)</f>
        <v>20592</v>
      </c>
      <c r="M11" s="136">
        <f t="shared" ref="M11:W11" si="0">SUM(M9:M10)</f>
        <v>0</v>
      </c>
      <c r="N11" s="136">
        <f t="shared" si="0"/>
        <v>41733.119999999995</v>
      </c>
      <c r="O11" s="136">
        <f t="shared" si="0"/>
        <v>35362.839999999997</v>
      </c>
      <c r="P11" s="136">
        <f t="shared" si="0"/>
        <v>6370.2799999999988</v>
      </c>
      <c r="Q11" s="136">
        <f t="shared" si="0"/>
        <v>0.23519999999999999</v>
      </c>
      <c r="R11" s="136">
        <f t="shared" si="0"/>
        <v>1498.2898559999996</v>
      </c>
      <c r="S11" s="136">
        <f t="shared" si="0"/>
        <v>5665.16</v>
      </c>
      <c r="T11" s="136">
        <f t="shared" si="0"/>
        <v>7163.4498559999993</v>
      </c>
      <c r="U11" s="136">
        <f t="shared" si="0"/>
        <v>0</v>
      </c>
      <c r="V11" s="136">
        <f t="shared" si="0"/>
        <v>3534.6</v>
      </c>
      <c r="W11" s="136">
        <f t="shared" si="0"/>
        <v>0</v>
      </c>
      <c r="X11" s="136">
        <f>SUM(X9:X10)</f>
        <v>3534.6</v>
      </c>
      <c r="Y11" s="136">
        <f>SUM(Y9:Y10)</f>
        <v>0</v>
      </c>
      <c r="Z11" s="136">
        <f>SUM(Z9:Z10)</f>
        <v>3534.6</v>
      </c>
      <c r="AA11" s="136">
        <f>SUM(AA9:AA10)</f>
        <v>17057.400000000001</v>
      </c>
    </row>
    <row r="12" spans="1:29" ht="13.5" thickTop="1" x14ac:dyDescent="0.2"/>
    <row r="27" spans="3:28" ht="18" x14ac:dyDescent="0.25"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</row>
    <row r="28" spans="3:28" ht="18" x14ac:dyDescent="0.25"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91"/>
    </row>
    <row r="29" spans="3:28" ht="18" x14ac:dyDescent="0.25">
      <c r="C29" s="203" t="s">
        <v>400</v>
      </c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203" t="s">
        <v>550</v>
      </c>
      <c r="Y29" s="108"/>
      <c r="Z29" s="108"/>
      <c r="AA29" s="108"/>
      <c r="AB29" s="91"/>
    </row>
    <row r="30" spans="3:28" ht="18" x14ac:dyDescent="0.25">
      <c r="C30" s="494" t="s">
        <v>413</v>
      </c>
      <c r="D30" s="495"/>
      <c r="E30" s="203"/>
      <c r="F30" s="203"/>
      <c r="G30" s="203"/>
      <c r="H30" s="203"/>
      <c r="I30" s="203"/>
      <c r="J30" s="203"/>
      <c r="K30" s="203"/>
      <c r="L30" s="108"/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203" t="s">
        <v>181</v>
      </c>
      <c r="Y30" s="108"/>
      <c r="Z30" s="203"/>
      <c r="AA30" s="203"/>
      <c r="AB30" s="94"/>
    </row>
    <row r="31" spans="3:28" ht="18" x14ac:dyDescent="0.25"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</row>
    <row r="32" spans="3:28" ht="18" x14ac:dyDescent="0.25"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</row>
    <row r="33" spans="3:27" ht="18" x14ac:dyDescent="0.25"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8"/>
    </row>
    <row r="35" spans="3:27" ht="14.25" x14ac:dyDescent="0.2">
      <c r="L35" s="91"/>
    </row>
  </sheetData>
  <mergeCells count="8">
    <mergeCell ref="C30:D30"/>
    <mergeCell ref="A11:I11"/>
    <mergeCell ref="A1:AC1"/>
    <mergeCell ref="A2:AC2"/>
    <mergeCell ref="A3:AC3"/>
    <mergeCell ref="J5:L5"/>
    <mergeCell ref="O5:T5"/>
    <mergeCell ref="X5:Z5"/>
  </mergeCells>
  <pageMargins left="0.27559055118110237" right="0.27559055118110237" top="0.74803149606299213" bottom="0.74803149606299213" header="0.31496062992125984" footer="0.31496062992125984"/>
  <pageSetup scale="39" orientation="landscape" horizontalDpi="4294967293" verticalDpi="36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topLeftCell="B16" zoomScale="70" zoomScaleNormal="70" workbookViewId="0">
      <selection activeCell="F12" sqref="F12"/>
    </sheetView>
  </sheetViews>
  <sheetFormatPr baseColWidth="10" defaultRowHeight="12.75" x14ac:dyDescent="0.2"/>
  <cols>
    <col min="1" max="1" width="4.140625" hidden="1" customWidth="1"/>
    <col min="2" max="2" width="10.5703125" customWidth="1"/>
    <col min="3" max="3" width="8.85546875" customWidth="1"/>
    <col min="4" max="4" width="26" customWidth="1"/>
    <col min="5" max="5" width="23.5703125" customWidth="1"/>
    <col min="6" max="6" width="34" customWidth="1"/>
    <col min="7" max="7" width="17.7109375" customWidth="1"/>
    <col min="8" max="8" width="17.5703125" customWidth="1"/>
    <col min="9" max="9" width="5.28515625" hidden="1" customWidth="1"/>
    <col min="10" max="10" width="11.5703125" bestFit="1" customWidth="1"/>
    <col min="11" max="11" width="11.5703125" customWidth="1"/>
    <col min="12" max="12" width="17.7109375" customWidth="1"/>
    <col min="13" max="13" width="15.7109375" customWidth="1"/>
    <col min="14" max="14" width="16.85546875" customWidth="1"/>
    <col min="15" max="15" width="11.42578125" hidden="1" customWidth="1"/>
    <col min="16" max="18" width="16" hidden="1" customWidth="1"/>
    <col min="19" max="21" width="11.42578125" hidden="1" customWidth="1"/>
    <col min="22" max="22" width="0" hidden="1" customWidth="1"/>
    <col min="23" max="23" width="10.5703125" hidden="1" customWidth="1"/>
    <col min="24" max="24" width="13" hidden="1" customWidth="1"/>
    <col min="25" max="25" width="9" customWidth="1"/>
    <col min="26" max="27" width="14.42578125" customWidth="1"/>
    <col min="28" max="28" width="14.5703125" bestFit="1" customWidth="1"/>
    <col min="29" max="29" width="16.85546875" customWidth="1"/>
    <col min="30" max="30" width="67.5703125" customWidth="1"/>
  </cols>
  <sheetData>
    <row r="1" spans="1:31" ht="18" x14ac:dyDescent="0.25">
      <c r="A1" s="460" t="s">
        <v>76</v>
      </c>
      <c r="B1" s="460"/>
      <c r="C1" s="460"/>
      <c r="D1" s="460"/>
      <c r="E1" s="460"/>
      <c r="F1" s="460"/>
      <c r="G1" s="460"/>
      <c r="H1" s="460"/>
      <c r="I1" s="460"/>
      <c r="J1" s="460"/>
      <c r="K1" s="460"/>
      <c r="L1" s="460"/>
      <c r="M1" s="460"/>
      <c r="N1" s="460"/>
      <c r="O1" s="460"/>
      <c r="P1" s="460"/>
      <c r="Q1" s="460"/>
      <c r="R1" s="460"/>
      <c r="S1" s="460"/>
      <c r="T1" s="460"/>
      <c r="U1" s="460"/>
      <c r="V1" s="460"/>
      <c r="W1" s="460"/>
      <c r="X1" s="460"/>
      <c r="Y1" s="460"/>
      <c r="Z1" s="460"/>
      <c r="AA1" s="460"/>
      <c r="AB1" s="460"/>
      <c r="AC1" s="460"/>
      <c r="AD1" s="460"/>
    </row>
    <row r="2" spans="1:31" ht="18" x14ac:dyDescent="0.25">
      <c r="A2" s="460" t="s">
        <v>64</v>
      </c>
      <c r="B2" s="460"/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  <c r="T2" s="460"/>
      <c r="U2" s="460"/>
      <c r="V2" s="460"/>
      <c r="W2" s="460"/>
      <c r="X2" s="460"/>
      <c r="Y2" s="460"/>
      <c r="Z2" s="460"/>
      <c r="AA2" s="460"/>
      <c r="AB2" s="460"/>
      <c r="AC2" s="460"/>
      <c r="AD2" s="460"/>
    </row>
    <row r="3" spans="1:31" ht="19.5" x14ac:dyDescent="0.25">
      <c r="A3" s="450" t="str">
        <f>PRESIDENCIA!A3</f>
        <v>SUELDO  DEL 15 AL 30 DE SEPTIEMBRE DE 2026</v>
      </c>
      <c r="B3" s="450"/>
      <c r="C3" s="450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  <c r="P3" s="450"/>
      <c r="Q3" s="450"/>
      <c r="R3" s="450"/>
      <c r="S3" s="450"/>
      <c r="T3" s="450"/>
      <c r="U3" s="450"/>
      <c r="V3" s="450"/>
      <c r="W3" s="450"/>
      <c r="X3" s="450"/>
      <c r="Y3" s="450"/>
      <c r="Z3" s="450"/>
      <c r="AA3" s="450"/>
      <c r="AB3" s="450"/>
      <c r="AC3" s="450"/>
      <c r="AD3" s="450"/>
    </row>
    <row r="4" spans="1:31" ht="15" x14ac:dyDescent="0.2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</row>
    <row r="5" spans="1:31" x14ac:dyDescent="0.2">
      <c r="A5" s="22"/>
      <c r="B5" s="496" t="s">
        <v>91</v>
      </c>
      <c r="C5" s="496" t="s">
        <v>106</v>
      </c>
      <c r="D5" s="22"/>
      <c r="E5" s="22"/>
      <c r="F5" s="22"/>
      <c r="G5" s="22"/>
      <c r="H5" s="22"/>
      <c r="I5" s="23" t="s">
        <v>22</v>
      </c>
      <c r="J5" s="23" t="s">
        <v>5</v>
      </c>
      <c r="K5" s="348"/>
      <c r="L5" s="461" t="s">
        <v>1</v>
      </c>
      <c r="M5" s="462"/>
      <c r="N5" s="463"/>
      <c r="O5" s="24" t="s">
        <v>25</v>
      </c>
      <c r="P5" s="25"/>
      <c r="Q5" s="464" t="s">
        <v>8</v>
      </c>
      <c r="R5" s="465"/>
      <c r="S5" s="465"/>
      <c r="T5" s="465"/>
      <c r="U5" s="465"/>
      <c r="V5" s="466"/>
      <c r="W5" s="24" t="s">
        <v>29</v>
      </c>
      <c r="X5" s="24" t="s">
        <v>9</v>
      </c>
      <c r="Y5" s="23" t="s">
        <v>52</v>
      </c>
      <c r="Z5" s="467" t="s">
        <v>2</v>
      </c>
      <c r="AA5" s="468"/>
      <c r="AB5" s="469"/>
      <c r="AC5" s="23" t="s">
        <v>0</v>
      </c>
      <c r="AD5" s="33"/>
    </row>
    <row r="6" spans="1:31" ht="12.75" customHeight="1" x14ac:dyDescent="0.2">
      <c r="A6" s="26" t="s">
        <v>20</v>
      </c>
      <c r="B6" s="497"/>
      <c r="C6" s="497"/>
      <c r="D6" s="26" t="s">
        <v>21</v>
      </c>
      <c r="E6" s="26"/>
      <c r="F6" s="26"/>
      <c r="G6" s="26"/>
      <c r="H6" s="26"/>
      <c r="I6" s="27" t="s">
        <v>23</v>
      </c>
      <c r="J6" s="26" t="s">
        <v>24</v>
      </c>
      <c r="K6" s="26" t="s">
        <v>570</v>
      </c>
      <c r="L6" s="23" t="s">
        <v>5</v>
      </c>
      <c r="M6" s="23" t="s">
        <v>58</v>
      </c>
      <c r="N6" s="23" t="s">
        <v>27</v>
      </c>
      <c r="O6" s="28" t="s">
        <v>26</v>
      </c>
      <c r="P6" s="25" t="s">
        <v>31</v>
      </c>
      <c r="Q6" s="25" t="s">
        <v>11</v>
      </c>
      <c r="R6" s="25" t="s">
        <v>33</v>
      </c>
      <c r="S6" s="25" t="s">
        <v>35</v>
      </c>
      <c r="T6" s="25" t="s">
        <v>36</v>
      </c>
      <c r="U6" s="25" t="s">
        <v>13</v>
      </c>
      <c r="V6" s="25" t="s">
        <v>9</v>
      </c>
      <c r="W6" s="28" t="s">
        <v>39</v>
      </c>
      <c r="X6" s="28" t="s">
        <v>40</v>
      </c>
      <c r="Y6" s="26" t="s">
        <v>30</v>
      </c>
      <c r="Z6" s="23" t="s">
        <v>227</v>
      </c>
      <c r="AA6" s="23" t="s">
        <v>56</v>
      </c>
      <c r="AB6" s="23" t="s">
        <v>6</v>
      </c>
      <c r="AC6" s="26" t="s">
        <v>3</v>
      </c>
      <c r="AD6" s="35" t="s">
        <v>57</v>
      </c>
    </row>
    <row r="7" spans="1:31" x14ac:dyDescent="0.2">
      <c r="A7" s="29"/>
      <c r="B7" s="498"/>
      <c r="C7" s="498"/>
      <c r="D7" s="29"/>
      <c r="E7" s="29"/>
      <c r="F7" s="29"/>
      <c r="G7" s="29"/>
      <c r="H7" s="29"/>
      <c r="I7" s="29"/>
      <c r="J7" s="29"/>
      <c r="K7" s="29" t="s">
        <v>571</v>
      </c>
      <c r="L7" s="29" t="s">
        <v>46</v>
      </c>
      <c r="M7" s="29" t="s">
        <v>59</v>
      </c>
      <c r="N7" s="29" t="s">
        <v>28</v>
      </c>
      <c r="O7" s="30" t="s">
        <v>42</v>
      </c>
      <c r="P7" s="24" t="s">
        <v>32</v>
      </c>
      <c r="Q7" s="24" t="s">
        <v>12</v>
      </c>
      <c r="R7" s="24" t="s">
        <v>34</v>
      </c>
      <c r="S7" s="24" t="s">
        <v>34</v>
      </c>
      <c r="T7" s="24" t="s">
        <v>37</v>
      </c>
      <c r="U7" s="24" t="s">
        <v>14</v>
      </c>
      <c r="V7" s="24" t="s">
        <v>38</v>
      </c>
      <c r="W7" s="28" t="s">
        <v>18</v>
      </c>
      <c r="X7" s="31" t="s">
        <v>41</v>
      </c>
      <c r="Y7" s="29" t="s">
        <v>51</v>
      </c>
      <c r="Z7" s="29"/>
      <c r="AA7" s="29" t="s">
        <v>163</v>
      </c>
      <c r="AB7" s="29" t="s">
        <v>43</v>
      </c>
      <c r="AC7" s="29" t="s">
        <v>4</v>
      </c>
      <c r="AD7" s="34"/>
    </row>
    <row r="8" spans="1:31" ht="42" customHeight="1" x14ac:dyDescent="0.3">
      <c r="A8" s="127"/>
      <c r="B8" s="230"/>
      <c r="C8" s="218"/>
      <c r="D8" s="217" t="s">
        <v>423</v>
      </c>
      <c r="E8" s="218" t="s">
        <v>92</v>
      </c>
      <c r="F8" s="218" t="s">
        <v>189</v>
      </c>
      <c r="G8" s="217" t="s">
        <v>229</v>
      </c>
      <c r="H8" s="228" t="s">
        <v>61</v>
      </c>
      <c r="I8" s="228"/>
      <c r="J8" s="228"/>
      <c r="K8" s="228"/>
      <c r="L8" s="228"/>
      <c r="M8" s="228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8"/>
      <c r="Y8" s="127"/>
      <c r="Z8" s="127"/>
      <c r="AA8" s="127"/>
      <c r="AB8" s="127"/>
      <c r="AC8" s="127"/>
      <c r="AD8" s="40"/>
    </row>
    <row r="9" spans="1:31" s="265" customFormat="1" ht="230.25" customHeight="1" x14ac:dyDescent="0.2">
      <c r="A9" s="250" t="s">
        <v>82</v>
      </c>
      <c r="B9" s="272" t="s">
        <v>625</v>
      </c>
      <c r="C9" s="417" t="s">
        <v>105</v>
      </c>
      <c r="D9" s="418" t="s">
        <v>626</v>
      </c>
      <c r="E9" s="145" t="s">
        <v>627</v>
      </c>
      <c r="F9" s="145" t="s">
        <v>628</v>
      </c>
      <c r="G9" s="419">
        <v>43374</v>
      </c>
      <c r="H9" s="302" t="s">
        <v>107</v>
      </c>
      <c r="I9" s="257">
        <v>15</v>
      </c>
      <c r="J9" s="258">
        <f>L9/I9</f>
        <v>384.4</v>
      </c>
      <c r="K9" s="401" t="s">
        <v>572</v>
      </c>
      <c r="L9" s="259">
        <v>5766</v>
      </c>
      <c r="M9" s="260">
        <v>0</v>
      </c>
      <c r="N9" s="261">
        <f t="shared" ref="N9" si="0">SUM(L9:M9)</f>
        <v>5766</v>
      </c>
      <c r="O9" s="281">
        <f t="shared" ref="O9" si="1">IF(L9/15&lt;=SMG,0,M9/2)</f>
        <v>0</v>
      </c>
      <c r="P9" s="296">
        <f t="shared" ref="P9" si="2">(L9+O9)/I9*30.4</f>
        <v>11685.759999999998</v>
      </c>
      <c r="Q9" s="296">
        <f t="shared" ref="Q9" si="3">VLOOKUP(P9,Tarifa,1)</f>
        <v>7168.52</v>
      </c>
      <c r="R9" s="281">
        <f t="shared" ref="R9" si="4">P9-Q9</f>
        <v>4517.239999999998</v>
      </c>
      <c r="S9" s="282">
        <f t="shared" ref="S9" si="5">VLOOKUP(P9,Tarifa,3)</f>
        <v>0.10879999999999999</v>
      </c>
      <c r="T9" s="281">
        <f t="shared" ref="T9" si="6">R9*S9</f>
        <v>491.47571199999976</v>
      </c>
      <c r="U9" s="283">
        <f t="shared" ref="U9" si="7">VLOOKUP(P9,Tarifa,2)</f>
        <v>420.95</v>
      </c>
      <c r="V9" s="281">
        <f t="shared" ref="V9" si="8">T9+U9</f>
        <v>912.42571199999975</v>
      </c>
      <c r="W9" s="281">
        <f t="shared" ref="W9" si="9">VLOOKUP(P9,Credito,2)</f>
        <v>0</v>
      </c>
      <c r="X9" s="281">
        <f t="shared" ref="X9" si="10">ROUND((V9-W9)/30.4*I9,2)</f>
        <v>450.21</v>
      </c>
      <c r="Y9" s="261">
        <f t="shared" ref="Y9" si="11">-IF(X9&gt;0,0,0)</f>
        <v>0</v>
      </c>
      <c r="Z9" s="261">
        <f t="shared" ref="Z9" si="12">IF(L9/15&lt;=SMG,0,IF(X9&lt;0,0,X9))</f>
        <v>450.21</v>
      </c>
      <c r="AA9" s="262">
        <v>0</v>
      </c>
      <c r="AB9" s="261">
        <f t="shared" ref="AB9" si="13">SUM(Z9:AA9)</f>
        <v>450.21</v>
      </c>
      <c r="AC9" s="261">
        <f t="shared" ref="AC9" si="14">N9+Y9-AB9</f>
        <v>5315.79</v>
      </c>
      <c r="AD9" s="271"/>
    </row>
    <row r="10" spans="1:31" s="265" customFormat="1" ht="230.25" customHeight="1" x14ac:dyDescent="0.2">
      <c r="A10" s="420"/>
      <c r="B10" s="421">
        <v>188</v>
      </c>
      <c r="C10" s="417" t="s">
        <v>105</v>
      </c>
      <c r="D10" s="422" t="s">
        <v>629</v>
      </c>
      <c r="E10" s="268" t="s">
        <v>630</v>
      </c>
      <c r="F10" s="268" t="s">
        <v>631</v>
      </c>
      <c r="G10" s="423">
        <v>43389</v>
      </c>
      <c r="H10" s="256" t="s">
        <v>632</v>
      </c>
      <c r="I10" s="257">
        <v>15</v>
      </c>
      <c r="J10" s="258">
        <f>L10/I10</f>
        <v>496.93333333333334</v>
      </c>
      <c r="K10" s="401" t="s">
        <v>572</v>
      </c>
      <c r="L10" s="259">
        <v>7454</v>
      </c>
      <c r="M10" s="260">
        <v>0</v>
      </c>
      <c r="N10" s="261">
        <f>SUM(L10:M10)</f>
        <v>7454</v>
      </c>
      <c r="O10" s="281">
        <f>IF(L10/15&lt;=SMG,0,M10/2)</f>
        <v>0</v>
      </c>
      <c r="P10" s="296">
        <f>(L10+O10)/I10*30.4</f>
        <v>15106.773333333333</v>
      </c>
      <c r="Q10" s="296">
        <f>VLOOKUP(P10,Tarifa,1)</f>
        <v>14644.65</v>
      </c>
      <c r="R10" s="281">
        <f>P10-Q10</f>
        <v>462.12333333333299</v>
      </c>
      <c r="S10" s="282">
        <f>VLOOKUP(P10,Tarifa,3)</f>
        <v>0.1792</v>
      </c>
      <c r="T10" s="281">
        <f>R10*S10</f>
        <v>82.812501333333273</v>
      </c>
      <c r="U10" s="283">
        <f>VLOOKUP(P10,Tarifa,2)</f>
        <v>1339.14</v>
      </c>
      <c r="V10" s="281">
        <f>T10+U10</f>
        <v>1421.9525013333334</v>
      </c>
      <c r="W10" s="281">
        <f>VLOOKUP(P10,Credito,2)</f>
        <v>0</v>
      </c>
      <c r="X10" s="281">
        <f>ROUND((V10-W10)/30.4*I10,2)</f>
        <v>701.62</v>
      </c>
      <c r="Y10" s="261">
        <f>-IF(X10&gt;0,0,0)</f>
        <v>0</v>
      </c>
      <c r="Z10" s="261">
        <f>IF(L10/15&lt;=SMG,0,IF(X10&lt;0,0,X10))</f>
        <v>701.62</v>
      </c>
      <c r="AA10" s="262">
        <v>0</v>
      </c>
      <c r="AB10" s="261">
        <f>SUM(Z10:AA10)</f>
        <v>701.62</v>
      </c>
      <c r="AC10" s="261">
        <f>N10+Y10-AB10</f>
        <v>6752.38</v>
      </c>
      <c r="AD10" s="271"/>
    </row>
    <row r="11" spans="1:31" s="265" customFormat="1" ht="230.25" customHeight="1" x14ac:dyDescent="0.2">
      <c r="A11" s="347"/>
      <c r="B11" s="267" t="s">
        <v>633</v>
      </c>
      <c r="C11" s="267" t="s">
        <v>105</v>
      </c>
      <c r="D11" s="310" t="s">
        <v>634</v>
      </c>
      <c r="E11" s="134" t="s">
        <v>635</v>
      </c>
      <c r="F11" s="134" t="s">
        <v>636</v>
      </c>
      <c r="G11" s="200">
        <v>43512</v>
      </c>
      <c r="H11" s="302" t="s">
        <v>107</v>
      </c>
      <c r="I11" s="257">
        <v>15</v>
      </c>
      <c r="J11" s="258">
        <f>L11/I11</f>
        <v>384.4</v>
      </c>
      <c r="K11" s="401">
        <v>15</v>
      </c>
      <c r="L11" s="259">
        <v>5766</v>
      </c>
      <c r="M11" s="260">
        <v>0</v>
      </c>
      <c r="N11" s="261">
        <f t="shared" ref="N11" si="15">SUM(L11:M11)</f>
        <v>5766</v>
      </c>
      <c r="O11" s="281">
        <f t="shared" ref="O11" si="16">IF(L11/15&lt;=SMG,0,M11/2)</f>
        <v>0</v>
      </c>
      <c r="P11" s="296">
        <f t="shared" ref="P11:P13" si="17">(L11+O11)/I11*30.4</f>
        <v>11685.759999999998</v>
      </c>
      <c r="Q11" s="296">
        <f t="shared" ref="Q11" si="18">VLOOKUP(P11,Tarifa,1)</f>
        <v>7168.52</v>
      </c>
      <c r="R11" s="281">
        <f t="shared" ref="R11:R13" si="19">P11-Q11</f>
        <v>4517.239999999998</v>
      </c>
      <c r="S11" s="282">
        <f t="shared" ref="S11" si="20">VLOOKUP(P11,Tarifa,3)</f>
        <v>0.10879999999999999</v>
      </c>
      <c r="T11" s="281">
        <f t="shared" ref="T11:T13" si="21">R11*S11</f>
        <v>491.47571199999976</v>
      </c>
      <c r="U11" s="283">
        <f t="shared" ref="U11" si="22">VLOOKUP(P11,Tarifa,2)</f>
        <v>420.95</v>
      </c>
      <c r="V11" s="281">
        <f t="shared" ref="V11:V13" si="23">T11+U11</f>
        <v>912.42571199999975</v>
      </c>
      <c r="W11" s="281">
        <f t="shared" ref="W11" si="24">VLOOKUP(P11,Credito,2)</f>
        <v>0</v>
      </c>
      <c r="X11" s="281">
        <f t="shared" ref="X11:X13" si="25">ROUND((V11-W11)/30.4*I11,2)</f>
        <v>450.21</v>
      </c>
      <c r="Y11" s="261">
        <f t="shared" ref="Y11:Y13" si="26">-IF(X11&gt;0,0,0)</f>
        <v>0</v>
      </c>
      <c r="Z11" s="261">
        <f t="shared" ref="Z11" si="27">IF(L11/15&lt;=SMG,0,IF(X11&lt;0,0,X11))</f>
        <v>450.21</v>
      </c>
      <c r="AA11" s="262">
        <v>0</v>
      </c>
      <c r="AB11" s="261">
        <f t="shared" ref="AB11:AB13" si="28">SUM(Z11:AA11)</f>
        <v>450.21</v>
      </c>
      <c r="AC11" s="261">
        <f t="shared" ref="AC11:AC13" si="29">N11+Y11-AB11</f>
        <v>5315.79</v>
      </c>
      <c r="AD11" s="271"/>
    </row>
    <row r="12" spans="1:31" s="265" customFormat="1" ht="230.25" customHeight="1" x14ac:dyDescent="0.2">
      <c r="A12" s="347"/>
      <c r="B12" s="421">
        <v>317</v>
      </c>
      <c r="C12" s="267" t="s">
        <v>105</v>
      </c>
      <c r="D12" s="248" t="s">
        <v>637</v>
      </c>
      <c r="E12" s="145" t="s">
        <v>638</v>
      </c>
      <c r="F12" s="145" t="s">
        <v>639</v>
      </c>
      <c r="G12" s="419">
        <v>45078</v>
      </c>
      <c r="H12" s="302" t="s">
        <v>107</v>
      </c>
      <c r="I12" s="257">
        <v>15</v>
      </c>
      <c r="J12" s="258">
        <f>L12/I12</f>
        <v>384.4</v>
      </c>
      <c r="K12" s="401" t="s">
        <v>572</v>
      </c>
      <c r="L12" s="259">
        <v>5766</v>
      </c>
      <c r="M12" s="260">
        <v>0</v>
      </c>
      <c r="N12" s="261">
        <f t="shared" ref="N12:N13" si="30">SUM(L12:M12)</f>
        <v>5766</v>
      </c>
      <c r="O12" s="281">
        <f t="shared" ref="O12" si="31">IF(L12/15&lt;=SMG,0,M12/2)</f>
        <v>0</v>
      </c>
      <c r="P12" s="296">
        <f t="shared" si="17"/>
        <v>11685.759999999998</v>
      </c>
      <c r="Q12" s="296">
        <f t="shared" ref="Q12" si="32">VLOOKUP(P12,Tarifa,1)</f>
        <v>7168.52</v>
      </c>
      <c r="R12" s="281">
        <f t="shared" si="19"/>
        <v>4517.239999999998</v>
      </c>
      <c r="S12" s="282">
        <f t="shared" ref="S12" si="33">VLOOKUP(P12,Tarifa,3)</f>
        <v>0.10879999999999999</v>
      </c>
      <c r="T12" s="281">
        <f t="shared" si="21"/>
        <v>491.47571199999976</v>
      </c>
      <c r="U12" s="283">
        <f t="shared" ref="U12" si="34">VLOOKUP(P12,Tarifa,2)</f>
        <v>420.95</v>
      </c>
      <c r="V12" s="281">
        <f t="shared" si="23"/>
        <v>912.42571199999975</v>
      </c>
      <c r="W12" s="281">
        <f t="shared" ref="W12" si="35">VLOOKUP(P12,Credito,2)</f>
        <v>0</v>
      </c>
      <c r="X12" s="281">
        <f t="shared" si="25"/>
        <v>450.21</v>
      </c>
      <c r="Y12" s="261">
        <f t="shared" si="26"/>
        <v>0</v>
      </c>
      <c r="Z12" s="261">
        <f t="shared" ref="Z12" si="36">IF(L12/15&lt;=SMG,0,IF(X12&lt;0,0,X12))</f>
        <v>450.21</v>
      </c>
      <c r="AA12" s="262">
        <v>0</v>
      </c>
      <c r="AB12" s="261">
        <f t="shared" si="28"/>
        <v>450.21</v>
      </c>
      <c r="AC12" s="261">
        <f t="shared" si="29"/>
        <v>5315.79</v>
      </c>
      <c r="AD12" s="271"/>
    </row>
    <row r="13" spans="1:31" s="265" customFormat="1" ht="230.25" customHeight="1" x14ac:dyDescent="0.2">
      <c r="A13" s="347"/>
      <c r="B13" s="301">
        <v>353</v>
      </c>
      <c r="C13" s="267" t="s">
        <v>105</v>
      </c>
      <c r="D13" s="249" t="s">
        <v>295</v>
      </c>
      <c r="E13" s="135" t="s">
        <v>296</v>
      </c>
      <c r="F13" s="135" t="s">
        <v>297</v>
      </c>
      <c r="G13" s="247">
        <v>45391</v>
      </c>
      <c r="H13" s="302" t="s">
        <v>107</v>
      </c>
      <c r="I13" s="257">
        <v>15</v>
      </c>
      <c r="J13" s="258">
        <f>L13/I13</f>
        <v>384.4</v>
      </c>
      <c r="K13" s="401" t="s">
        <v>572</v>
      </c>
      <c r="L13" s="259">
        <v>5766</v>
      </c>
      <c r="M13" s="260">
        <v>0</v>
      </c>
      <c r="N13" s="261">
        <f t="shared" si="30"/>
        <v>5766</v>
      </c>
      <c r="O13" s="281">
        <f t="shared" ref="O13" si="37">IF(L13/15&lt;=SMG,0,M13/2)</f>
        <v>0</v>
      </c>
      <c r="P13" s="296">
        <f t="shared" si="17"/>
        <v>11685.759999999998</v>
      </c>
      <c r="Q13" s="296">
        <f t="shared" ref="Q13" si="38">VLOOKUP(P13,Tarifa,1)</f>
        <v>7168.52</v>
      </c>
      <c r="R13" s="281">
        <f t="shared" si="19"/>
        <v>4517.239999999998</v>
      </c>
      <c r="S13" s="282">
        <f t="shared" ref="S13" si="39">VLOOKUP(P13,Tarifa,3)</f>
        <v>0.10879999999999999</v>
      </c>
      <c r="T13" s="281">
        <f t="shared" si="21"/>
        <v>491.47571199999976</v>
      </c>
      <c r="U13" s="283">
        <f t="shared" ref="U13" si="40">VLOOKUP(P13,Tarifa,2)</f>
        <v>420.95</v>
      </c>
      <c r="V13" s="281">
        <f t="shared" si="23"/>
        <v>912.42571199999975</v>
      </c>
      <c r="W13" s="281">
        <f t="shared" ref="W13" si="41">VLOOKUP(P13,Credito,2)</f>
        <v>0</v>
      </c>
      <c r="X13" s="281">
        <f t="shared" si="25"/>
        <v>450.21</v>
      </c>
      <c r="Y13" s="261">
        <f t="shared" si="26"/>
        <v>0</v>
      </c>
      <c r="Z13" s="261">
        <f t="shared" ref="Z13" si="42">IF(L13/15&lt;=SMG,0,IF(X13&lt;0,0,X13))</f>
        <v>450.21</v>
      </c>
      <c r="AA13" s="262">
        <v>0</v>
      </c>
      <c r="AB13" s="261">
        <f t="shared" si="28"/>
        <v>450.21</v>
      </c>
      <c r="AC13" s="261">
        <f t="shared" si="29"/>
        <v>5315.79</v>
      </c>
      <c r="AD13" s="271"/>
    </row>
    <row r="14" spans="1:31" s="91" customFormat="1" ht="96" customHeight="1" x14ac:dyDescent="0.3">
      <c r="A14" s="146"/>
      <c r="B14" s="242"/>
      <c r="C14" s="204"/>
      <c r="D14" s="243"/>
      <c r="E14" s="244"/>
      <c r="F14" s="244"/>
      <c r="G14" s="245"/>
      <c r="H14" s="246"/>
      <c r="I14" s="208"/>
      <c r="J14" s="209"/>
      <c r="K14" s="209"/>
      <c r="L14" s="210"/>
      <c r="M14" s="211"/>
      <c r="N14" s="212"/>
      <c r="O14" s="213"/>
      <c r="P14" s="213"/>
      <c r="Q14" s="213"/>
      <c r="R14" s="213"/>
      <c r="S14" s="214"/>
      <c r="T14" s="213"/>
      <c r="U14" s="215"/>
      <c r="V14" s="213"/>
      <c r="W14" s="213"/>
      <c r="X14" s="213"/>
      <c r="Y14" s="212"/>
      <c r="Z14" s="212"/>
      <c r="AA14" s="216"/>
      <c r="AB14" s="212"/>
      <c r="AC14" s="212"/>
    </row>
    <row r="15" spans="1:31" s="91" customFormat="1" ht="23.25" customHeight="1" x14ac:dyDescent="0.3">
      <c r="A15" s="146"/>
      <c r="B15" s="242"/>
      <c r="C15" s="204"/>
      <c r="D15" s="243"/>
      <c r="E15" s="244"/>
      <c r="F15" s="244"/>
      <c r="G15" s="245"/>
      <c r="H15" s="246"/>
      <c r="I15" s="208"/>
      <c r="J15" s="209"/>
      <c r="K15" s="209"/>
      <c r="L15" s="210"/>
      <c r="M15" s="211"/>
      <c r="N15" s="212"/>
      <c r="O15" s="213"/>
      <c r="P15" s="213"/>
      <c r="Q15" s="213"/>
      <c r="R15" s="213"/>
      <c r="S15" s="214"/>
      <c r="T15" s="213"/>
      <c r="U15" s="215"/>
      <c r="V15" s="213"/>
      <c r="W15" s="213"/>
      <c r="X15" s="213"/>
      <c r="Y15" s="212"/>
      <c r="Z15" s="212"/>
      <c r="AA15" s="216"/>
      <c r="AB15" s="212"/>
      <c r="AC15" s="212"/>
    </row>
    <row r="16" spans="1:31" s="91" customFormat="1" ht="31.5" customHeight="1" x14ac:dyDescent="0.25">
      <c r="A16" s="146"/>
      <c r="B16" s="460" t="s">
        <v>76</v>
      </c>
      <c r="C16" s="460"/>
      <c r="D16" s="460"/>
      <c r="E16" s="460"/>
      <c r="F16" s="460"/>
      <c r="G16" s="460"/>
      <c r="H16" s="460"/>
      <c r="I16" s="460"/>
      <c r="J16" s="460"/>
      <c r="K16" s="460"/>
      <c r="L16" s="460"/>
      <c r="M16" s="460"/>
      <c r="N16" s="460"/>
      <c r="O16" s="460"/>
      <c r="P16" s="460"/>
      <c r="Q16" s="460"/>
      <c r="R16" s="460"/>
      <c r="S16" s="460"/>
      <c r="T16" s="460"/>
      <c r="U16" s="460"/>
      <c r="V16" s="460"/>
      <c r="W16" s="460"/>
      <c r="X16" s="460"/>
      <c r="Y16" s="460"/>
      <c r="Z16" s="460"/>
      <c r="AA16" s="460"/>
      <c r="AB16" s="460"/>
      <c r="AC16" s="460"/>
      <c r="AD16" s="460"/>
      <c r="AE16" s="460"/>
    </row>
    <row r="17" spans="1:31" s="91" customFormat="1" ht="26.25" customHeight="1" x14ac:dyDescent="0.25">
      <c r="A17" s="146"/>
      <c r="B17" s="460" t="s">
        <v>64</v>
      </c>
      <c r="C17" s="460"/>
      <c r="D17" s="460"/>
      <c r="E17" s="460"/>
      <c r="F17" s="460"/>
      <c r="G17" s="460"/>
      <c r="H17" s="460"/>
      <c r="I17" s="460"/>
      <c r="J17" s="460"/>
      <c r="K17" s="460"/>
      <c r="L17" s="460"/>
      <c r="M17" s="460"/>
      <c r="N17" s="460"/>
      <c r="O17" s="460"/>
      <c r="P17" s="460"/>
      <c r="Q17" s="460"/>
      <c r="R17" s="460"/>
      <c r="S17" s="460"/>
      <c r="T17" s="460"/>
      <c r="U17" s="460"/>
      <c r="V17" s="460"/>
      <c r="W17" s="460"/>
      <c r="X17" s="460"/>
      <c r="Y17" s="460"/>
      <c r="Z17" s="460"/>
      <c r="AA17" s="460"/>
      <c r="AB17" s="460"/>
      <c r="AC17" s="460"/>
      <c r="AD17" s="460"/>
      <c r="AE17" s="460"/>
    </row>
    <row r="18" spans="1:31" s="91" customFormat="1" ht="27.75" customHeight="1" x14ac:dyDescent="0.25">
      <c r="A18" s="146"/>
      <c r="B18" s="450" t="str">
        <f>A3</f>
        <v>SUELDO  DEL 15 AL 30 DE SEPTIEMBRE DE 2026</v>
      </c>
      <c r="C18" s="450"/>
      <c r="D18" s="450"/>
      <c r="E18" s="450"/>
      <c r="F18" s="450"/>
      <c r="G18" s="450"/>
      <c r="H18" s="450"/>
      <c r="I18" s="450"/>
      <c r="J18" s="450"/>
      <c r="K18" s="450"/>
      <c r="L18" s="450"/>
      <c r="M18" s="450"/>
      <c r="N18" s="450"/>
      <c r="O18" s="450"/>
      <c r="P18" s="450"/>
      <c r="Q18" s="450"/>
      <c r="R18" s="450"/>
      <c r="S18" s="450"/>
      <c r="T18" s="450"/>
      <c r="U18" s="450"/>
      <c r="V18" s="450"/>
      <c r="W18" s="450"/>
      <c r="X18" s="450"/>
      <c r="Y18" s="450"/>
      <c r="Z18" s="450"/>
      <c r="AA18" s="450"/>
      <c r="AB18" s="450"/>
      <c r="AC18" s="450"/>
      <c r="AD18" s="450"/>
      <c r="AE18" s="450"/>
    </row>
    <row r="19" spans="1:31" s="91" customFormat="1" ht="26.25" customHeight="1" x14ac:dyDescent="0.3">
      <c r="A19" s="146"/>
      <c r="B19" s="242"/>
      <c r="C19" s="204"/>
      <c r="D19" s="243"/>
      <c r="E19" s="244"/>
      <c r="F19" s="244"/>
      <c r="G19" s="245"/>
      <c r="H19" s="246"/>
      <c r="I19" s="208"/>
      <c r="J19" s="209"/>
      <c r="K19" s="209"/>
      <c r="L19" s="210"/>
      <c r="M19" s="211"/>
      <c r="N19" s="212"/>
      <c r="O19" s="213"/>
      <c r="P19" s="213"/>
      <c r="Q19" s="213"/>
      <c r="R19" s="213"/>
      <c r="S19" s="214"/>
      <c r="T19" s="213"/>
      <c r="U19" s="215"/>
      <c r="V19" s="213"/>
      <c r="W19" s="213"/>
      <c r="X19" s="213"/>
      <c r="Y19" s="212"/>
      <c r="Z19" s="212"/>
      <c r="AA19" s="216"/>
      <c r="AB19" s="212"/>
      <c r="AC19" s="212"/>
    </row>
    <row r="20" spans="1:31" s="265" customFormat="1" ht="216.75" customHeight="1" x14ac:dyDescent="0.2">
      <c r="A20" s="347"/>
      <c r="B20" s="301">
        <v>398</v>
      </c>
      <c r="C20" s="267" t="s">
        <v>105</v>
      </c>
      <c r="D20" s="249" t="s">
        <v>640</v>
      </c>
      <c r="E20" s="135" t="s">
        <v>641</v>
      </c>
      <c r="F20" s="135" t="s">
        <v>642</v>
      </c>
      <c r="G20" s="247">
        <v>45597</v>
      </c>
      <c r="H20" s="302" t="s">
        <v>107</v>
      </c>
      <c r="I20" s="257">
        <v>15</v>
      </c>
      <c r="J20" s="258">
        <f>L20/I20</f>
        <v>384.4</v>
      </c>
      <c r="K20" s="401" t="s">
        <v>572</v>
      </c>
      <c r="L20" s="259">
        <v>5766</v>
      </c>
      <c r="M20" s="260">
        <v>0</v>
      </c>
      <c r="N20" s="261">
        <f t="shared" ref="N20:N21" si="43">SUM(L20:M20)</f>
        <v>5766</v>
      </c>
      <c r="O20" s="281">
        <f t="shared" ref="O20" si="44">IF(L20/15&lt;=SMG,0,M20/2)</f>
        <v>0</v>
      </c>
      <c r="P20" s="296">
        <f t="shared" ref="P20:P21" si="45">(L20+O20)/I20*30.4</f>
        <v>11685.759999999998</v>
      </c>
      <c r="Q20" s="296">
        <f t="shared" ref="Q20" si="46">VLOOKUP(P20,Tarifa,1)</f>
        <v>7168.52</v>
      </c>
      <c r="R20" s="281">
        <f t="shared" ref="R20:R21" si="47">P20-Q20</f>
        <v>4517.239999999998</v>
      </c>
      <c r="S20" s="282">
        <f t="shared" ref="S20" si="48">VLOOKUP(P20,Tarifa,3)</f>
        <v>0.10879999999999999</v>
      </c>
      <c r="T20" s="281">
        <f t="shared" ref="T20:T21" si="49">R20*S20</f>
        <v>491.47571199999976</v>
      </c>
      <c r="U20" s="283">
        <f t="shared" ref="U20" si="50">VLOOKUP(P20,Tarifa,2)</f>
        <v>420.95</v>
      </c>
      <c r="V20" s="281">
        <f t="shared" ref="V20:V21" si="51">T20+U20</f>
        <v>912.42571199999975</v>
      </c>
      <c r="W20" s="281">
        <f t="shared" ref="W20" si="52">VLOOKUP(P20,Credito,2)</f>
        <v>0</v>
      </c>
      <c r="X20" s="281">
        <f t="shared" ref="X20:X21" si="53">ROUND((V20-W20)/30.4*I20,2)</f>
        <v>450.21</v>
      </c>
      <c r="Y20" s="261">
        <f t="shared" ref="Y20:Y22" si="54">-IF(X20&gt;0,0,0)</f>
        <v>0</v>
      </c>
      <c r="Z20" s="261">
        <f t="shared" ref="Z20" si="55">IF(L20/15&lt;=SMG,0,IF(X20&lt;0,0,X20))</f>
        <v>450.21</v>
      </c>
      <c r="AA20" s="262">
        <v>0</v>
      </c>
      <c r="AB20" s="261">
        <f t="shared" ref="AB20:AB21" si="56">SUM(Z20:AA20)</f>
        <v>450.21</v>
      </c>
      <c r="AC20" s="261">
        <f t="shared" ref="AC20:AC21" si="57">N20+Y20-AB20</f>
        <v>5315.79</v>
      </c>
      <c r="AD20" s="271"/>
    </row>
    <row r="21" spans="1:31" s="265" customFormat="1" ht="216.75" customHeight="1" x14ac:dyDescent="0.2">
      <c r="A21" s="347"/>
      <c r="B21" s="387">
        <v>422</v>
      </c>
      <c r="C21" s="267" t="s">
        <v>105</v>
      </c>
      <c r="D21" s="310" t="s">
        <v>495</v>
      </c>
      <c r="E21" s="388" t="s">
        <v>497</v>
      </c>
      <c r="F21" s="134" t="s">
        <v>496</v>
      </c>
      <c r="G21" s="247">
        <v>45809</v>
      </c>
      <c r="H21" s="302" t="s">
        <v>107</v>
      </c>
      <c r="I21" s="257">
        <v>15</v>
      </c>
      <c r="J21" s="258">
        <f>L21/I21</f>
        <v>384.4</v>
      </c>
      <c r="K21" s="401">
        <v>15</v>
      </c>
      <c r="L21" s="259">
        <v>5766</v>
      </c>
      <c r="M21" s="260">
        <v>0</v>
      </c>
      <c r="N21" s="261">
        <f t="shared" si="43"/>
        <v>5766</v>
      </c>
      <c r="O21" s="281">
        <f t="shared" ref="O21" si="58">IF(L21/15&lt;=SMG,0,M21/2)</f>
        <v>0</v>
      </c>
      <c r="P21" s="296">
        <f t="shared" si="45"/>
        <v>11685.759999999998</v>
      </c>
      <c r="Q21" s="296">
        <f t="shared" ref="Q21" si="59">VLOOKUP(P21,Tarifa,1)</f>
        <v>7168.52</v>
      </c>
      <c r="R21" s="281">
        <f t="shared" si="47"/>
        <v>4517.239999999998</v>
      </c>
      <c r="S21" s="282">
        <f t="shared" ref="S21" si="60">VLOOKUP(P21,Tarifa,3)</f>
        <v>0.10879999999999999</v>
      </c>
      <c r="T21" s="281">
        <f t="shared" si="49"/>
        <v>491.47571199999976</v>
      </c>
      <c r="U21" s="283">
        <f t="shared" ref="U21" si="61">VLOOKUP(P21,Tarifa,2)</f>
        <v>420.95</v>
      </c>
      <c r="V21" s="281">
        <f t="shared" si="51"/>
        <v>912.42571199999975</v>
      </c>
      <c r="W21" s="281">
        <f t="shared" ref="W21" si="62">VLOOKUP(P21,Credito,2)</f>
        <v>0</v>
      </c>
      <c r="X21" s="281">
        <f t="shared" si="53"/>
        <v>450.21</v>
      </c>
      <c r="Y21" s="261">
        <f t="shared" si="54"/>
        <v>0</v>
      </c>
      <c r="Z21" s="261">
        <f t="shared" ref="Z21:Z22" si="63">IF(L21/15&lt;=SMG,0,IF(X21&lt;0,0,X21))</f>
        <v>450.21</v>
      </c>
      <c r="AA21" s="262">
        <v>0</v>
      </c>
      <c r="AB21" s="261">
        <f t="shared" si="56"/>
        <v>450.21</v>
      </c>
      <c r="AC21" s="261">
        <f t="shared" si="57"/>
        <v>5315.79</v>
      </c>
      <c r="AD21" s="271"/>
    </row>
    <row r="22" spans="1:31" s="265" customFormat="1" ht="216.75" customHeight="1" x14ac:dyDescent="0.2">
      <c r="A22" s="347"/>
      <c r="B22" s="272" t="s">
        <v>619</v>
      </c>
      <c r="C22" s="267" t="s">
        <v>105</v>
      </c>
      <c r="D22" s="253" t="s">
        <v>620</v>
      </c>
      <c r="E22" s="254" t="s">
        <v>621</v>
      </c>
      <c r="F22" s="254" t="s">
        <v>622</v>
      </c>
      <c r="G22" s="255">
        <v>41410</v>
      </c>
      <c r="H22" s="256" t="s">
        <v>623</v>
      </c>
      <c r="I22" s="257">
        <v>15</v>
      </c>
      <c r="J22" s="258">
        <f>L22/I22</f>
        <v>260.93333333333334</v>
      </c>
      <c r="K22" s="401">
        <v>15</v>
      </c>
      <c r="L22" s="259">
        <v>3914</v>
      </c>
      <c r="M22" s="260">
        <v>0</v>
      </c>
      <c r="N22" s="261">
        <f>SUM(L22:M22)</f>
        <v>3914</v>
      </c>
      <c r="O22" s="281">
        <f>IF(L22/15&lt;=SMG,0,M22/2)</f>
        <v>0</v>
      </c>
      <c r="P22" s="296">
        <f>(L22+O22)/I22*30.4</f>
        <v>7932.373333333333</v>
      </c>
      <c r="Q22" s="296">
        <f>VLOOKUP(P22,Tarifa,1)</f>
        <v>7168.52</v>
      </c>
      <c r="R22" s="281">
        <f>P22-Q22</f>
        <v>763.85333333333256</v>
      </c>
      <c r="S22" s="282">
        <f>VLOOKUP(P22,Tarifa,3)</f>
        <v>0.10879999999999999</v>
      </c>
      <c r="T22" s="281">
        <f>R22*S22</f>
        <v>83.107242666666579</v>
      </c>
      <c r="U22" s="283">
        <f>VLOOKUP(P22,Tarifa,2)</f>
        <v>420.95</v>
      </c>
      <c r="V22" s="281">
        <f>T22+U22</f>
        <v>504.05724266666658</v>
      </c>
      <c r="W22" s="281">
        <f>VLOOKUP(P22,Credito,2)</f>
        <v>535.65</v>
      </c>
      <c r="X22" s="281">
        <f>ROUND((V22-W22)/30.4*I22,2)</f>
        <v>-15.59</v>
      </c>
      <c r="Y22" s="261">
        <f t="shared" si="54"/>
        <v>0</v>
      </c>
      <c r="Z22" s="261">
        <f t="shared" si="63"/>
        <v>0</v>
      </c>
      <c r="AA22" s="262">
        <v>0</v>
      </c>
      <c r="AB22" s="261">
        <f>SUM(Z22:AA22)</f>
        <v>0</v>
      </c>
      <c r="AC22" s="261">
        <f>N22+Y22-AB22</f>
        <v>3914</v>
      </c>
      <c r="AD22" s="271"/>
    </row>
    <row r="23" spans="1:31" ht="18" x14ac:dyDescent="0.25">
      <c r="A23" s="138"/>
      <c r="B23" s="138"/>
      <c r="C23" s="138"/>
      <c r="D23" s="138"/>
      <c r="E23" s="138"/>
      <c r="F23" s="138"/>
      <c r="G23" s="138"/>
      <c r="H23" s="138"/>
      <c r="I23" s="139"/>
      <c r="J23" s="138"/>
      <c r="K23" s="138"/>
      <c r="L23" s="140"/>
      <c r="M23" s="140"/>
      <c r="N23" s="140"/>
      <c r="O23" s="141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</row>
    <row r="24" spans="1:31" ht="45" customHeight="1" thickBot="1" x14ac:dyDescent="0.35">
      <c r="A24" s="446" t="s">
        <v>44</v>
      </c>
      <c r="B24" s="447"/>
      <c r="C24" s="447"/>
      <c r="D24" s="447"/>
      <c r="E24" s="447"/>
      <c r="F24" s="447"/>
      <c r="G24" s="447"/>
      <c r="H24" s="447"/>
      <c r="I24" s="447"/>
      <c r="J24" s="448"/>
      <c r="K24" s="413"/>
      <c r="L24" s="198">
        <f t="shared" ref="L24:AC24" si="64">SUM(L9:L23)</f>
        <v>45964</v>
      </c>
      <c r="M24" s="198">
        <f t="shared" si="64"/>
        <v>0</v>
      </c>
      <c r="N24" s="198">
        <f t="shared" si="64"/>
        <v>45964</v>
      </c>
      <c r="O24" s="199">
        <f t="shared" si="64"/>
        <v>0</v>
      </c>
      <c r="P24" s="199">
        <f t="shared" si="64"/>
        <v>93153.706666666651</v>
      </c>
      <c r="Q24" s="199">
        <f t="shared" si="64"/>
        <v>64824.290000000008</v>
      </c>
      <c r="R24" s="199">
        <f t="shared" si="64"/>
        <v>28329.416666666653</v>
      </c>
      <c r="S24" s="199">
        <f t="shared" si="64"/>
        <v>0.94079999999999997</v>
      </c>
      <c r="T24" s="199">
        <f t="shared" si="64"/>
        <v>3114.7740159999985</v>
      </c>
      <c r="U24" s="199">
        <f t="shared" si="64"/>
        <v>4285.7899999999991</v>
      </c>
      <c r="V24" s="199">
        <f t="shared" si="64"/>
        <v>7400.5640159999994</v>
      </c>
      <c r="W24" s="199">
        <f t="shared" si="64"/>
        <v>535.65</v>
      </c>
      <c r="X24" s="199">
        <f t="shared" si="64"/>
        <v>3387.29</v>
      </c>
      <c r="Y24" s="198">
        <f t="shared" si="64"/>
        <v>0</v>
      </c>
      <c r="Z24" s="198">
        <f t="shared" si="64"/>
        <v>3402.88</v>
      </c>
      <c r="AA24" s="198">
        <f t="shared" si="64"/>
        <v>0</v>
      </c>
      <c r="AB24" s="198">
        <f t="shared" si="64"/>
        <v>3402.88</v>
      </c>
      <c r="AC24" s="198">
        <f t="shared" si="64"/>
        <v>42561.120000000003</v>
      </c>
    </row>
    <row r="25" spans="1:31" ht="13.5" thickTop="1" x14ac:dyDescent="0.2"/>
    <row r="39" spans="4:30" x14ac:dyDescent="0.2">
      <c r="D39" s="4"/>
      <c r="Z39" s="4"/>
    </row>
    <row r="40" spans="4:30" ht="18" x14ac:dyDescent="0.25">
      <c r="D40" s="203" t="s">
        <v>400</v>
      </c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203" t="s">
        <v>544</v>
      </c>
      <c r="AA40" s="108"/>
      <c r="AB40" s="108"/>
      <c r="AC40" s="108"/>
    </row>
    <row r="41" spans="4:30" ht="18" x14ac:dyDescent="0.25">
      <c r="D41" s="203" t="s">
        <v>413</v>
      </c>
      <c r="E41" s="203"/>
      <c r="F41" s="203"/>
      <c r="G41" s="203"/>
      <c r="H41" s="203"/>
      <c r="I41" s="203"/>
      <c r="J41" s="203"/>
      <c r="K41" s="203"/>
      <c r="L41" s="203"/>
      <c r="M41" s="203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203" t="s">
        <v>187</v>
      </c>
      <c r="AA41" s="108"/>
      <c r="AB41" s="203"/>
      <c r="AC41" s="203"/>
      <c r="AD41" s="42"/>
    </row>
  </sheetData>
  <mergeCells count="12">
    <mergeCell ref="A24:J24"/>
    <mergeCell ref="Z5:AB5"/>
    <mergeCell ref="A1:AD1"/>
    <mergeCell ref="A2:AD2"/>
    <mergeCell ref="A3:AD3"/>
    <mergeCell ref="L5:N5"/>
    <mergeCell ref="Q5:V5"/>
    <mergeCell ref="B5:B7"/>
    <mergeCell ref="C5:C7"/>
    <mergeCell ref="B16:AE16"/>
    <mergeCell ref="B17:AE17"/>
    <mergeCell ref="B18:AE18"/>
  </mergeCells>
  <dataValidations count="1">
    <dataValidation allowBlank="1" showInputMessage="1" showErrorMessage="1" prompt="Captura el nombre asignado o el nombre como se le identifica a la plaza (ejem. Jefe de Ingresos, Secretario Particular, Oficial Mayor, etc.)" sqref="D9:G9 D11:G15 D19:G22"/>
  </dataValidations>
  <pageMargins left="0.27559055118110237" right="0.27559055118110237" top="0.74803149606299213" bottom="0.35433070866141736" header="0.31496062992125984" footer="0.31496062992125984"/>
  <pageSetup scale="39" orientation="landscape" horizontalDpi="4294967293" verticalDpi="36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4"/>
  <sheetViews>
    <sheetView topLeftCell="F1" zoomScale="68" zoomScaleNormal="68" workbookViewId="0">
      <selection activeCell="L9" sqref="L9"/>
    </sheetView>
  </sheetViews>
  <sheetFormatPr baseColWidth="10" defaultColWidth="11.42578125" defaultRowHeight="12.75" x14ac:dyDescent="0.2"/>
  <cols>
    <col min="1" max="1" width="5.5703125" style="67" hidden="1" customWidth="1"/>
    <col min="2" max="2" width="10.5703125" style="67" customWidth="1"/>
    <col min="3" max="3" width="9" style="67" customWidth="1"/>
    <col min="4" max="4" width="31.140625" style="67" customWidth="1"/>
    <col min="5" max="5" width="24.28515625" style="67" customWidth="1"/>
    <col min="6" max="6" width="32.85546875" style="67" customWidth="1"/>
    <col min="7" max="7" width="16.28515625" style="67" customWidth="1"/>
    <col min="8" max="8" width="23" style="67" customWidth="1"/>
    <col min="9" max="10" width="11.28515625" style="67" hidden="1" customWidth="1"/>
    <col min="11" max="11" width="17.5703125" style="67" customWidth="1"/>
    <col min="12" max="12" width="16.5703125" style="67" customWidth="1"/>
    <col min="13" max="13" width="18" style="67" customWidth="1"/>
    <col min="14" max="14" width="12.7109375" style="67" hidden="1" customWidth="1"/>
    <col min="15" max="15" width="13.140625" style="67" hidden="1" customWidth="1"/>
    <col min="16" max="16" width="14.42578125" style="67" hidden="1" customWidth="1"/>
    <col min="17" max="17" width="15" style="67" hidden="1" customWidth="1"/>
    <col min="18" max="18" width="11" style="67" hidden="1" customWidth="1"/>
    <col min="19" max="20" width="13.140625" style="67" hidden="1" customWidth="1"/>
    <col min="21" max="21" width="15.42578125" style="67" hidden="1" customWidth="1"/>
    <col min="22" max="22" width="10.42578125" style="67" hidden="1" customWidth="1"/>
    <col min="23" max="23" width="13.140625" style="67" hidden="1" customWidth="1"/>
    <col min="24" max="24" width="11.5703125" style="67" customWidth="1"/>
    <col min="25" max="25" width="15.5703125" style="67" customWidth="1"/>
    <col min="26" max="26" width="14.5703125" style="67" customWidth="1"/>
    <col min="27" max="27" width="15.85546875" style="67" customWidth="1"/>
    <col min="28" max="28" width="18" style="67" customWidth="1"/>
    <col min="29" max="29" width="111.85546875" style="67" customWidth="1"/>
    <col min="30" max="30" width="73.42578125" style="67" customWidth="1"/>
    <col min="31" max="16384" width="11.42578125" style="67"/>
  </cols>
  <sheetData>
    <row r="1" spans="1:30" ht="18" x14ac:dyDescent="0.25">
      <c r="A1" s="460" t="s">
        <v>75</v>
      </c>
      <c r="B1" s="460"/>
      <c r="C1" s="460"/>
      <c r="D1" s="460"/>
      <c r="E1" s="460"/>
      <c r="F1" s="460"/>
      <c r="G1" s="460"/>
      <c r="H1" s="460"/>
      <c r="I1" s="460"/>
      <c r="J1" s="460"/>
      <c r="K1" s="460"/>
      <c r="L1" s="460"/>
      <c r="M1" s="460"/>
      <c r="N1" s="460"/>
      <c r="O1" s="460"/>
      <c r="P1" s="460"/>
      <c r="Q1" s="460"/>
      <c r="R1" s="460"/>
      <c r="S1" s="460"/>
      <c r="T1" s="460"/>
      <c r="U1" s="460"/>
      <c r="V1" s="460"/>
      <c r="W1" s="460"/>
      <c r="X1" s="460"/>
      <c r="Y1" s="460"/>
      <c r="Z1" s="460"/>
      <c r="AA1" s="460"/>
      <c r="AB1" s="460"/>
      <c r="AC1" s="460"/>
      <c r="AD1" s="4"/>
    </row>
    <row r="2" spans="1:30" ht="18" x14ac:dyDescent="0.25">
      <c r="A2" s="460" t="s">
        <v>64</v>
      </c>
      <c r="B2" s="460"/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  <c r="T2" s="460"/>
      <c r="U2" s="460"/>
      <c r="V2" s="460"/>
      <c r="W2" s="460"/>
      <c r="X2" s="460"/>
      <c r="Y2" s="460"/>
      <c r="Z2" s="460"/>
      <c r="AA2" s="460"/>
      <c r="AB2" s="460"/>
      <c r="AC2" s="460"/>
      <c r="AD2" s="4"/>
    </row>
    <row r="3" spans="1:30" ht="18" x14ac:dyDescent="0.25">
      <c r="A3" s="386"/>
      <c r="B3" s="460" t="str">
        <f>PRESIDENCIA!A3</f>
        <v>SUELDO  DEL 15 AL 30 DE SEPTIEMBRE DE 2026</v>
      </c>
      <c r="C3" s="460"/>
      <c r="D3" s="460"/>
      <c r="E3" s="460"/>
      <c r="F3" s="460"/>
      <c r="G3" s="460"/>
      <c r="H3" s="460"/>
      <c r="I3" s="460"/>
      <c r="J3" s="460"/>
      <c r="K3" s="460"/>
      <c r="L3" s="460"/>
      <c r="M3" s="460"/>
      <c r="N3" s="460"/>
      <c r="O3" s="460"/>
      <c r="P3" s="460"/>
      <c r="Q3" s="460"/>
      <c r="R3" s="460"/>
      <c r="S3" s="460"/>
      <c r="T3" s="460"/>
      <c r="U3" s="460"/>
      <c r="V3" s="460"/>
      <c r="W3" s="460"/>
      <c r="X3" s="460"/>
      <c r="Y3" s="460"/>
      <c r="Z3" s="460"/>
      <c r="AA3" s="460"/>
      <c r="AB3" s="460"/>
      <c r="AC3" s="460"/>
      <c r="AD3" s="4"/>
    </row>
    <row r="4" spans="1:30" ht="11.25" customHeight="1" x14ac:dyDescent="0.2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"/>
    </row>
    <row r="5" spans="1:30" x14ac:dyDescent="0.2">
      <c r="A5" s="22"/>
      <c r="B5" s="22"/>
      <c r="C5" s="22"/>
      <c r="D5" s="22"/>
      <c r="E5" s="22"/>
      <c r="F5" s="22"/>
      <c r="G5" s="22"/>
      <c r="H5" s="22"/>
      <c r="I5" s="23" t="s">
        <v>22</v>
      </c>
      <c r="J5" s="348"/>
      <c r="K5" s="461" t="s">
        <v>1</v>
      </c>
      <c r="L5" s="462"/>
      <c r="M5" s="463"/>
      <c r="N5" s="24" t="s">
        <v>25</v>
      </c>
      <c r="O5" s="25"/>
      <c r="P5" s="464" t="s">
        <v>8</v>
      </c>
      <c r="Q5" s="465"/>
      <c r="R5" s="465"/>
      <c r="S5" s="465"/>
      <c r="T5" s="465"/>
      <c r="U5" s="466"/>
      <c r="V5" s="24" t="s">
        <v>29</v>
      </c>
      <c r="W5" s="24" t="s">
        <v>9</v>
      </c>
      <c r="X5" s="23" t="s">
        <v>52</v>
      </c>
      <c r="Y5" s="467" t="s">
        <v>2</v>
      </c>
      <c r="Z5" s="468"/>
      <c r="AA5" s="469"/>
      <c r="AB5" s="23" t="s">
        <v>0</v>
      </c>
      <c r="AC5" s="101"/>
      <c r="AD5" s="4"/>
    </row>
    <row r="6" spans="1:30" ht="32.25" customHeight="1" x14ac:dyDescent="0.2">
      <c r="A6" s="26" t="s">
        <v>20</v>
      </c>
      <c r="B6" s="45" t="s">
        <v>91</v>
      </c>
      <c r="C6" s="45" t="s">
        <v>106</v>
      </c>
      <c r="D6" s="26" t="s">
        <v>21</v>
      </c>
      <c r="E6" s="26"/>
      <c r="F6" s="26"/>
      <c r="G6" s="26"/>
      <c r="H6" s="26"/>
      <c r="I6" s="27" t="s">
        <v>23</v>
      </c>
      <c r="J6" s="27"/>
      <c r="K6" s="23" t="s">
        <v>5</v>
      </c>
      <c r="L6" s="23" t="s">
        <v>58</v>
      </c>
      <c r="M6" s="23" t="s">
        <v>27</v>
      </c>
      <c r="N6" s="28" t="s">
        <v>26</v>
      </c>
      <c r="O6" s="25" t="s">
        <v>31</v>
      </c>
      <c r="P6" s="25" t="s">
        <v>11</v>
      </c>
      <c r="Q6" s="25" t="s">
        <v>33</v>
      </c>
      <c r="R6" s="25" t="s">
        <v>35</v>
      </c>
      <c r="S6" s="25" t="s">
        <v>36</v>
      </c>
      <c r="T6" s="25" t="s">
        <v>13</v>
      </c>
      <c r="U6" s="25" t="s">
        <v>9</v>
      </c>
      <c r="V6" s="28" t="s">
        <v>39</v>
      </c>
      <c r="W6" s="28" t="s">
        <v>40</v>
      </c>
      <c r="X6" s="26" t="s">
        <v>30</v>
      </c>
      <c r="Y6" s="23" t="s">
        <v>227</v>
      </c>
      <c r="Z6" s="23" t="s">
        <v>56</v>
      </c>
      <c r="AA6" s="23" t="s">
        <v>6</v>
      </c>
      <c r="AB6" s="26" t="s">
        <v>3</v>
      </c>
      <c r="AC6" s="35" t="s">
        <v>57</v>
      </c>
      <c r="AD6" s="4"/>
    </row>
    <row r="7" spans="1:30" x14ac:dyDescent="0.2">
      <c r="A7" s="29"/>
      <c r="B7" s="26"/>
      <c r="C7" s="26"/>
      <c r="D7" s="26"/>
      <c r="E7" s="26"/>
      <c r="F7" s="26"/>
      <c r="G7" s="26"/>
      <c r="H7" s="26"/>
      <c r="I7" s="26"/>
      <c r="J7" s="26"/>
      <c r="K7" s="26" t="s">
        <v>46</v>
      </c>
      <c r="L7" s="26" t="s">
        <v>59</v>
      </c>
      <c r="M7" s="26" t="s">
        <v>28</v>
      </c>
      <c r="N7" s="28" t="s">
        <v>42</v>
      </c>
      <c r="O7" s="24" t="s">
        <v>32</v>
      </c>
      <c r="P7" s="24" t="s">
        <v>12</v>
      </c>
      <c r="Q7" s="24" t="s">
        <v>34</v>
      </c>
      <c r="R7" s="24" t="s">
        <v>34</v>
      </c>
      <c r="S7" s="24" t="s">
        <v>37</v>
      </c>
      <c r="T7" s="24" t="s">
        <v>14</v>
      </c>
      <c r="U7" s="24" t="s">
        <v>38</v>
      </c>
      <c r="V7" s="28" t="s">
        <v>18</v>
      </c>
      <c r="W7" s="31" t="s">
        <v>115</v>
      </c>
      <c r="X7" s="26" t="s">
        <v>51</v>
      </c>
      <c r="Y7" s="26"/>
      <c r="Z7" s="26"/>
      <c r="AA7" s="26" t="s">
        <v>43</v>
      </c>
      <c r="AB7" s="26" t="s">
        <v>4</v>
      </c>
      <c r="AC7" s="102"/>
      <c r="AD7" s="4"/>
    </row>
    <row r="8" spans="1:30" ht="42" customHeight="1" x14ac:dyDescent="0.3">
      <c r="A8" s="38"/>
      <c r="B8" s="504" t="s">
        <v>104</v>
      </c>
      <c r="C8" s="505"/>
      <c r="D8" s="506"/>
      <c r="E8" s="218" t="s">
        <v>92</v>
      </c>
      <c r="F8" s="218" t="s">
        <v>189</v>
      </c>
      <c r="G8" s="217" t="s">
        <v>229</v>
      </c>
      <c r="H8" s="218" t="s">
        <v>61</v>
      </c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96"/>
      <c r="AD8" s="4"/>
    </row>
    <row r="9" spans="1:30" s="352" customFormat="1" ht="193.5" customHeight="1" x14ac:dyDescent="0.2">
      <c r="A9" s="250" t="s">
        <v>80</v>
      </c>
      <c r="B9" s="267" t="s">
        <v>278</v>
      </c>
      <c r="C9" s="267" t="s">
        <v>105</v>
      </c>
      <c r="D9" s="350" t="s">
        <v>279</v>
      </c>
      <c r="E9" s="338" t="s">
        <v>280</v>
      </c>
      <c r="F9" s="338" t="s">
        <v>281</v>
      </c>
      <c r="G9" s="331">
        <v>45367</v>
      </c>
      <c r="H9" s="302" t="s">
        <v>66</v>
      </c>
      <c r="I9" s="257">
        <v>15</v>
      </c>
      <c r="J9" s="257">
        <f t="shared" ref="J9:J14" si="0">K9/I9</f>
        <v>975.9666666666667</v>
      </c>
      <c r="K9" s="278">
        <v>14639.5</v>
      </c>
      <c r="L9" s="279">
        <v>0</v>
      </c>
      <c r="M9" s="280">
        <f t="shared" ref="M9:M14" si="1">SUM(K9:L9)</f>
        <v>14639.5</v>
      </c>
      <c r="N9" s="281">
        <f>IF(K9/15&lt;=SMG,0,L9/2)</f>
        <v>0</v>
      </c>
      <c r="O9" s="296">
        <f>(K9+N9)/I9*30.4</f>
        <v>29669.386666666665</v>
      </c>
      <c r="P9" s="296">
        <f>VLOOKUP(O9,Tarifa,1)</f>
        <v>17533.650000000001</v>
      </c>
      <c r="Q9" s="281">
        <f>O9-P9</f>
        <v>12135.736666666664</v>
      </c>
      <c r="R9" s="282">
        <f>VLOOKUP(O9,Tarifa,3)</f>
        <v>0.21360000000000001</v>
      </c>
      <c r="S9" s="281">
        <f>Q9*R9</f>
        <v>2592.1933519999998</v>
      </c>
      <c r="T9" s="283">
        <f>VLOOKUP(O9,Tarifa,2)</f>
        <v>1856.84</v>
      </c>
      <c r="U9" s="281">
        <f>S9+T9</f>
        <v>4449.0333519999995</v>
      </c>
      <c r="V9" s="281">
        <f>VLOOKUP(O9,Credito,2)</f>
        <v>0</v>
      </c>
      <c r="W9" s="281">
        <f>ROUND((U9-V9)/30.4*I9,2)</f>
        <v>2195.25</v>
      </c>
      <c r="X9" s="280">
        <f>-IF(W9&gt;0,0,0)</f>
        <v>0</v>
      </c>
      <c r="Y9" s="280">
        <f>IF(K9/15&lt;=SMG,0,IF(W9&lt;0,0,W9))</f>
        <v>2195.25</v>
      </c>
      <c r="Z9" s="284">
        <v>0</v>
      </c>
      <c r="AA9" s="280">
        <f>SUM(Y9:Z9)</f>
        <v>2195.25</v>
      </c>
      <c r="AB9" s="261">
        <f>M9+X9-Y9</f>
        <v>12444.25</v>
      </c>
      <c r="AC9" s="351"/>
      <c r="AD9" s="316"/>
    </row>
    <row r="10" spans="1:30" s="265" customFormat="1" ht="193.5" customHeight="1" x14ac:dyDescent="0.2">
      <c r="A10" s="347"/>
      <c r="B10" s="267" t="s">
        <v>147</v>
      </c>
      <c r="C10" s="267" t="s">
        <v>105</v>
      </c>
      <c r="D10" s="350" t="s">
        <v>145</v>
      </c>
      <c r="E10" s="338" t="s">
        <v>146</v>
      </c>
      <c r="F10" s="338" t="s">
        <v>203</v>
      </c>
      <c r="G10" s="331">
        <v>43601</v>
      </c>
      <c r="H10" s="256" t="s">
        <v>77</v>
      </c>
      <c r="I10" s="257">
        <v>15</v>
      </c>
      <c r="J10" s="257">
        <f t="shared" si="0"/>
        <v>670.36666666666667</v>
      </c>
      <c r="K10" s="259">
        <v>10055.5</v>
      </c>
      <c r="L10" s="260">
        <v>0</v>
      </c>
      <c r="M10" s="280">
        <f t="shared" si="1"/>
        <v>10055.5</v>
      </c>
      <c r="N10" s="363">
        <f t="shared" ref="N10" si="2">IF(K10/15&lt;=SMG,0,L10/2)</f>
        <v>0</v>
      </c>
      <c r="O10" s="363">
        <f t="shared" ref="O10" si="3">(K10+N10)/I10*30.4</f>
        <v>20379.146666666667</v>
      </c>
      <c r="P10" s="363">
        <f t="shared" ref="P10" si="4">VLOOKUP(O10,Tarifa,1)</f>
        <v>17533.650000000001</v>
      </c>
      <c r="Q10" s="363">
        <f t="shared" ref="Q10" si="5">O10-P10</f>
        <v>2845.496666666666</v>
      </c>
      <c r="R10" s="364">
        <f t="shared" ref="R10" si="6">VLOOKUP(O10,Tarifa,3)</f>
        <v>0.21360000000000001</v>
      </c>
      <c r="S10" s="363">
        <f t="shared" ref="S10" si="7">Q10*R10</f>
        <v>607.79808799999989</v>
      </c>
      <c r="T10" s="365">
        <f t="shared" ref="T10" si="8">VLOOKUP(O10,Tarifa,2)</f>
        <v>1856.84</v>
      </c>
      <c r="U10" s="363">
        <f t="shared" ref="U10" si="9">S10+T10</f>
        <v>2464.6380879999997</v>
      </c>
      <c r="V10" s="363">
        <f t="shared" ref="V10" si="10">VLOOKUP(O10,Credito,2)</f>
        <v>0</v>
      </c>
      <c r="W10" s="363">
        <f t="shared" ref="W10" si="11">ROUND((U10-V10)/30.4*I10,2)</f>
        <v>1216.0999999999999</v>
      </c>
      <c r="X10" s="261">
        <f>-IF(W10&gt;0,0,0)</f>
        <v>0</v>
      </c>
      <c r="Y10" s="261">
        <f t="shared" ref="Y10" si="12">IF(K10/15&lt;=SMG,0,IF(W10&lt;0,0,W10))</f>
        <v>1216.0999999999999</v>
      </c>
      <c r="Z10" s="262">
        <v>0</v>
      </c>
      <c r="AA10" s="261">
        <f t="shared" ref="AA10" si="13">SUM(Y10:Z10)</f>
        <v>1216.0999999999999</v>
      </c>
      <c r="AB10" s="261">
        <f t="shared" ref="AB10" si="14">M10+X10-AA10</f>
        <v>8839.4</v>
      </c>
      <c r="AC10" s="351"/>
      <c r="AD10" s="316"/>
    </row>
    <row r="11" spans="1:30" s="265" customFormat="1" ht="193.5" customHeight="1" x14ac:dyDescent="0.2">
      <c r="A11" s="347"/>
      <c r="B11" s="267" t="s">
        <v>282</v>
      </c>
      <c r="C11" s="267" t="s">
        <v>105</v>
      </c>
      <c r="D11" s="353" t="s">
        <v>283</v>
      </c>
      <c r="E11" s="338" t="s">
        <v>284</v>
      </c>
      <c r="F11" s="338" t="s">
        <v>285</v>
      </c>
      <c r="G11" s="331">
        <v>45367</v>
      </c>
      <c r="H11" s="256" t="s">
        <v>77</v>
      </c>
      <c r="I11" s="257">
        <v>15</v>
      </c>
      <c r="J11" s="257">
        <f t="shared" si="0"/>
        <v>670.36666666666667</v>
      </c>
      <c r="K11" s="259">
        <v>10055.5</v>
      </c>
      <c r="L11" s="260">
        <v>0</v>
      </c>
      <c r="M11" s="280">
        <f t="shared" si="1"/>
        <v>10055.5</v>
      </c>
      <c r="N11" s="363">
        <f t="shared" ref="N11" si="15">IF(K11/15&lt;=SMG,0,L11/2)</f>
        <v>0</v>
      </c>
      <c r="O11" s="363">
        <f t="shared" ref="O11" si="16">(K11+N11)/I11*30.4</f>
        <v>20379.146666666667</v>
      </c>
      <c r="P11" s="363">
        <f t="shared" ref="P11" si="17">VLOOKUP(O11,Tarifa,1)</f>
        <v>17533.650000000001</v>
      </c>
      <c r="Q11" s="363">
        <f t="shared" ref="Q11" si="18">O11-P11</f>
        <v>2845.496666666666</v>
      </c>
      <c r="R11" s="364">
        <f t="shared" ref="R11" si="19">VLOOKUP(O11,Tarifa,3)</f>
        <v>0.21360000000000001</v>
      </c>
      <c r="S11" s="363">
        <f t="shared" ref="S11" si="20">Q11*R11</f>
        <v>607.79808799999989</v>
      </c>
      <c r="T11" s="365">
        <f t="shared" ref="T11" si="21">VLOOKUP(O11,Tarifa,2)</f>
        <v>1856.84</v>
      </c>
      <c r="U11" s="363">
        <f t="shared" ref="U11" si="22">S11+T11</f>
        <v>2464.6380879999997</v>
      </c>
      <c r="V11" s="363">
        <f t="shared" ref="V11" si="23">VLOOKUP(O11,Credito,2)</f>
        <v>0</v>
      </c>
      <c r="W11" s="363">
        <f t="shared" ref="W11" si="24">ROUND((U11-V11)/30.4*I11,2)</f>
        <v>1216.0999999999999</v>
      </c>
      <c r="X11" s="261">
        <f>-IF(W11&gt;0,0,0)</f>
        <v>0</v>
      </c>
      <c r="Y11" s="261">
        <f t="shared" ref="Y11:Y12" si="25">IF(K11/15&lt;=SMG,0,IF(W11&lt;0,0,W11))</f>
        <v>1216.0999999999999</v>
      </c>
      <c r="Z11" s="262">
        <v>0</v>
      </c>
      <c r="AA11" s="261">
        <f t="shared" ref="AA11:AA12" si="26">SUM(Y11:Z11)</f>
        <v>1216.0999999999999</v>
      </c>
      <c r="AB11" s="261">
        <f t="shared" ref="AB11:AB12" si="27">M11+X11-AA11</f>
        <v>8839.4</v>
      </c>
      <c r="AC11" s="351"/>
      <c r="AD11" s="316"/>
    </row>
    <row r="12" spans="1:30" s="265" customFormat="1" ht="193.5" customHeight="1" x14ac:dyDescent="0.2">
      <c r="A12" s="347"/>
      <c r="B12" s="267" t="s">
        <v>286</v>
      </c>
      <c r="C12" s="267" t="s">
        <v>105</v>
      </c>
      <c r="D12" s="353" t="s">
        <v>410</v>
      </c>
      <c r="E12" s="338" t="s">
        <v>287</v>
      </c>
      <c r="F12" s="263" t="s">
        <v>288</v>
      </c>
      <c r="G12" s="306">
        <v>45367</v>
      </c>
      <c r="H12" s="256" t="s">
        <v>211</v>
      </c>
      <c r="I12" s="257">
        <v>15</v>
      </c>
      <c r="J12" s="257">
        <f t="shared" ref="J12" si="28">K12/I12</f>
        <v>626.70000000000005</v>
      </c>
      <c r="K12" s="259">
        <v>9400.5</v>
      </c>
      <c r="L12" s="259">
        <v>0</v>
      </c>
      <c r="M12" s="280">
        <f t="shared" si="1"/>
        <v>9400.5</v>
      </c>
      <c r="N12" s="281">
        <f>IF(K12/15&lt;=SMG,0,L12/2)</f>
        <v>0</v>
      </c>
      <c r="O12" s="296">
        <f>(K12+N12)/I12*30.4</f>
        <v>19051.68</v>
      </c>
      <c r="P12" s="296">
        <f>VLOOKUP(O12,Tarifa,1)</f>
        <v>17533.650000000001</v>
      </c>
      <c r="Q12" s="281">
        <f>O12-P12</f>
        <v>1518.0299999999988</v>
      </c>
      <c r="R12" s="282">
        <f>VLOOKUP(O12,Tarifa,3)</f>
        <v>0.21360000000000001</v>
      </c>
      <c r="S12" s="281">
        <f>Q12*R12</f>
        <v>324.25120799999979</v>
      </c>
      <c r="T12" s="283">
        <f>VLOOKUP(O12,Tarifa,2)</f>
        <v>1856.84</v>
      </c>
      <c r="U12" s="281">
        <f>S12+T12</f>
        <v>2181.0912079999998</v>
      </c>
      <c r="V12" s="281">
        <f>VLOOKUP(O12,Credito,2)</f>
        <v>0</v>
      </c>
      <c r="W12" s="281">
        <f>ROUND((U12-V12)/30.4*I12,2)</f>
        <v>1076.2</v>
      </c>
      <c r="X12" s="261">
        <f t="shared" ref="X12" si="29">-IF(W12&gt;0,0,W12)</f>
        <v>0</v>
      </c>
      <c r="Y12" s="261">
        <f t="shared" si="25"/>
        <v>1076.2</v>
      </c>
      <c r="Z12" s="262">
        <v>0</v>
      </c>
      <c r="AA12" s="261">
        <f t="shared" si="26"/>
        <v>1076.2</v>
      </c>
      <c r="AB12" s="261">
        <f t="shared" si="27"/>
        <v>8324.2999999999993</v>
      </c>
      <c r="AC12" s="351"/>
      <c r="AD12" s="316"/>
    </row>
    <row r="13" spans="1:30" s="265" customFormat="1" ht="193.5" customHeight="1" x14ac:dyDescent="0.2">
      <c r="A13" s="347"/>
      <c r="B13" s="267" t="s">
        <v>292</v>
      </c>
      <c r="C13" s="267" t="s">
        <v>105</v>
      </c>
      <c r="D13" s="353" t="s">
        <v>409</v>
      </c>
      <c r="E13" s="338" t="s">
        <v>293</v>
      </c>
      <c r="F13" s="263" t="s">
        <v>294</v>
      </c>
      <c r="G13" s="306">
        <v>45367</v>
      </c>
      <c r="H13" s="256" t="s">
        <v>211</v>
      </c>
      <c r="I13" s="257">
        <v>15</v>
      </c>
      <c r="J13" s="257">
        <f t="shared" si="0"/>
        <v>626.70000000000005</v>
      </c>
      <c r="K13" s="259">
        <v>9400.5</v>
      </c>
      <c r="L13" s="260">
        <v>0</v>
      </c>
      <c r="M13" s="280">
        <f t="shared" si="1"/>
        <v>9400.5</v>
      </c>
      <c r="N13" s="281">
        <f>IF(K13/15&lt;=SMG,0,L13/2)</f>
        <v>0</v>
      </c>
      <c r="O13" s="296">
        <f>(K13+N13)/I13*30.4</f>
        <v>19051.68</v>
      </c>
      <c r="P13" s="296">
        <f>VLOOKUP(O13,Tarifa,1)</f>
        <v>17533.650000000001</v>
      </c>
      <c r="Q13" s="281">
        <f>O13-P13</f>
        <v>1518.0299999999988</v>
      </c>
      <c r="R13" s="282">
        <f>VLOOKUP(O13,Tarifa,3)</f>
        <v>0.21360000000000001</v>
      </c>
      <c r="S13" s="281">
        <f>Q13*R13</f>
        <v>324.25120799999979</v>
      </c>
      <c r="T13" s="283">
        <f>VLOOKUP(O13,Tarifa,2)</f>
        <v>1856.84</v>
      </c>
      <c r="U13" s="281">
        <f>S13+T13</f>
        <v>2181.0912079999998</v>
      </c>
      <c r="V13" s="281">
        <f>VLOOKUP(O13,Credito,2)</f>
        <v>0</v>
      </c>
      <c r="W13" s="281">
        <f>ROUND((U13-V13)/30.4*I13,2)</f>
        <v>1076.2</v>
      </c>
      <c r="X13" s="261">
        <f t="shared" ref="X13" si="30">-IF(W13&gt;0,0,W13)</f>
        <v>0</v>
      </c>
      <c r="Y13" s="261">
        <f t="shared" ref="Y13" si="31">IF(K13/15&lt;=SMG,0,IF(W13&lt;0,0,W13))</f>
        <v>1076.2</v>
      </c>
      <c r="Z13" s="262">
        <v>0</v>
      </c>
      <c r="AA13" s="261">
        <f t="shared" ref="AA13" si="32">SUM(Y13:Z13)</f>
        <v>1076.2</v>
      </c>
      <c r="AB13" s="261">
        <f t="shared" ref="AB13" si="33">M13+X13-AA13</f>
        <v>8324.2999999999993</v>
      </c>
      <c r="AC13" s="351"/>
      <c r="AD13" s="316"/>
    </row>
    <row r="14" spans="1:30" s="265" customFormat="1" ht="193.5" customHeight="1" x14ac:dyDescent="0.2">
      <c r="A14" s="347"/>
      <c r="B14" s="267" t="s">
        <v>96</v>
      </c>
      <c r="C14" s="267" t="s">
        <v>105</v>
      </c>
      <c r="D14" s="350" t="s">
        <v>79</v>
      </c>
      <c r="E14" s="263" t="s">
        <v>103</v>
      </c>
      <c r="F14" s="263" t="s">
        <v>192</v>
      </c>
      <c r="G14" s="306">
        <v>41898</v>
      </c>
      <c r="H14" s="256" t="s">
        <v>78</v>
      </c>
      <c r="I14" s="257">
        <v>15</v>
      </c>
      <c r="J14" s="257">
        <f t="shared" si="0"/>
        <v>555.29999999999995</v>
      </c>
      <c r="K14" s="259">
        <v>8329.5</v>
      </c>
      <c r="L14" s="260">
        <v>0</v>
      </c>
      <c r="M14" s="280">
        <f t="shared" si="1"/>
        <v>8329.5</v>
      </c>
      <c r="N14" s="281">
        <f t="shared" ref="N14" si="34">IF(K14/15&lt;=SMG,0,L14/2)</f>
        <v>0</v>
      </c>
      <c r="O14" s="296">
        <f t="shared" ref="O14" si="35">(K14+N14)/I14*30.4</f>
        <v>16881.12</v>
      </c>
      <c r="P14" s="296">
        <f t="shared" ref="P14" si="36">VLOOKUP(O14,Tarifa,1)</f>
        <v>14644.65</v>
      </c>
      <c r="Q14" s="281">
        <f t="shared" ref="Q14" si="37">O14-P14</f>
        <v>2236.4699999999993</v>
      </c>
      <c r="R14" s="282">
        <f t="shared" ref="R14" si="38">VLOOKUP(O14,Tarifa,3)</f>
        <v>0.1792</v>
      </c>
      <c r="S14" s="281">
        <f t="shared" ref="S14" si="39">Q14*R14</f>
        <v>400.77542399999987</v>
      </c>
      <c r="T14" s="283">
        <f t="shared" ref="T14" si="40">VLOOKUP(O14,Tarifa,2)</f>
        <v>1339.14</v>
      </c>
      <c r="U14" s="281">
        <f t="shared" ref="U14" si="41">S14+T14</f>
        <v>1739.915424</v>
      </c>
      <c r="V14" s="281">
        <f t="shared" ref="V14" si="42">VLOOKUP(O14,Credito,2)</f>
        <v>0</v>
      </c>
      <c r="W14" s="281">
        <f t="shared" ref="W14" si="43">ROUND((U14-V14)/30.4*I14,2)</f>
        <v>858.51</v>
      </c>
      <c r="X14" s="261">
        <f t="shared" ref="X14" si="44">-IF(W14&gt;0,0,0)</f>
        <v>0</v>
      </c>
      <c r="Y14" s="261">
        <f t="shared" ref="Y14" si="45">IF(K14/15&lt;=SMG,0,IF(W14&lt;0,0,W14))</f>
        <v>858.51</v>
      </c>
      <c r="Z14" s="262">
        <v>0</v>
      </c>
      <c r="AA14" s="261">
        <f t="shared" ref="AA14:AA16" si="46">SUM(Y14:Z14)</f>
        <v>858.51</v>
      </c>
      <c r="AB14" s="261">
        <f t="shared" ref="AB14" si="47">M14+X14-AA14</f>
        <v>7470.99</v>
      </c>
      <c r="AC14" s="351"/>
      <c r="AD14" s="316"/>
    </row>
    <row r="15" spans="1:30" s="265" customFormat="1" ht="200.25" customHeight="1" x14ac:dyDescent="0.2">
      <c r="A15" s="347"/>
      <c r="B15" s="267" t="s">
        <v>238</v>
      </c>
      <c r="C15" s="267" t="s">
        <v>105</v>
      </c>
      <c r="D15" s="353" t="s">
        <v>239</v>
      </c>
      <c r="E15" s="338" t="s">
        <v>240</v>
      </c>
      <c r="F15" s="263" t="s">
        <v>241</v>
      </c>
      <c r="G15" s="306">
        <v>45092</v>
      </c>
      <c r="H15" s="256" t="s">
        <v>78</v>
      </c>
      <c r="I15" s="257">
        <v>15</v>
      </c>
      <c r="J15" s="257">
        <f t="shared" ref="J15:J16" si="48">K15/I15</f>
        <v>555.29999999999995</v>
      </c>
      <c r="K15" s="259">
        <v>8329.5</v>
      </c>
      <c r="L15" s="260">
        <v>0</v>
      </c>
      <c r="M15" s="261">
        <f t="shared" ref="M15:M16" si="49">SUM(K15:L15)</f>
        <v>8329.5</v>
      </c>
      <c r="N15" s="281">
        <f t="shared" ref="N15:N16" si="50">IF(K15/15&lt;=SMG,0,L15/2)</f>
        <v>0</v>
      </c>
      <c r="O15" s="296">
        <f t="shared" ref="O15:O16" si="51">(K15+N15)/I15*30.4</f>
        <v>16881.12</v>
      </c>
      <c r="P15" s="296">
        <f t="shared" ref="P15:P16" si="52">VLOOKUP(O15,Tarifa,1)</f>
        <v>14644.65</v>
      </c>
      <c r="Q15" s="281">
        <f t="shared" ref="Q15:Q16" si="53">O15-P15</f>
        <v>2236.4699999999993</v>
      </c>
      <c r="R15" s="282">
        <f t="shared" ref="R15:R16" si="54">VLOOKUP(O15,Tarifa,3)</f>
        <v>0.1792</v>
      </c>
      <c r="S15" s="281">
        <f t="shared" ref="S15:S16" si="55">Q15*R15</f>
        <v>400.77542399999987</v>
      </c>
      <c r="T15" s="283">
        <f t="shared" ref="T15:T16" si="56">VLOOKUP(O15,Tarifa,2)</f>
        <v>1339.14</v>
      </c>
      <c r="U15" s="281">
        <f t="shared" ref="U15:U16" si="57">S15+T15</f>
        <v>1739.915424</v>
      </c>
      <c r="V15" s="281">
        <f t="shared" ref="V15:V16" si="58">VLOOKUP(O15,Credito,2)</f>
        <v>0</v>
      </c>
      <c r="W15" s="281">
        <f t="shared" ref="W15:W16" si="59">ROUND((U15-V15)/30.4*I15,2)</f>
        <v>858.51</v>
      </c>
      <c r="X15" s="261">
        <f t="shared" ref="X15:X16" si="60">-IF(W15&gt;0,0,0)</f>
        <v>0</v>
      </c>
      <c r="Y15" s="261">
        <f t="shared" ref="Y15:Y16" si="61">IF(K15/15&lt;=SMG,0,IF(W15&lt;0,0,W15))</f>
        <v>858.51</v>
      </c>
      <c r="Z15" s="262">
        <v>0</v>
      </c>
      <c r="AA15" s="261">
        <f t="shared" si="46"/>
        <v>858.51</v>
      </c>
      <c r="AB15" s="261">
        <f t="shared" ref="AB15:AB16" si="62">M15+X15-AA15</f>
        <v>7470.99</v>
      </c>
      <c r="AC15" s="351"/>
      <c r="AD15" s="316"/>
    </row>
    <row r="16" spans="1:30" ht="203.25" customHeight="1" x14ac:dyDescent="0.25">
      <c r="A16" s="146"/>
      <c r="B16" s="267" t="s">
        <v>289</v>
      </c>
      <c r="C16" s="267" t="s">
        <v>105</v>
      </c>
      <c r="D16" s="353" t="s">
        <v>411</v>
      </c>
      <c r="E16" s="338" t="s">
        <v>290</v>
      </c>
      <c r="F16" s="263" t="s">
        <v>291</v>
      </c>
      <c r="G16" s="306">
        <v>45367</v>
      </c>
      <c r="H16" s="256" t="s">
        <v>78</v>
      </c>
      <c r="I16" s="257">
        <v>15</v>
      </c>
      <c r="J16" s="257">
        <f t="shared" si="48"/>
        <v>555.29999999999995</v>
      </c>
      <c r="K16" s="259">
        <v>8329.5</v>
      </c>
      <c r="L16" s="260">
        <v>0</v>
      </c>
      <c r="M16" s="261">
        <f t="shared" si="49"/>
        <v>8329.5</v>
      </c>
      <c r="N16" s="281">
        <f t="shared" si="50"/>
        <v>0</v>
      </c>
      <c r="O16" s="296">
        <f t="shared" si="51"/>
        <v>16881.12</v>
      </c>
      <c r="P16" s="296">
        <f t="shared" si="52"/>
        <v>14644.65</v>
      </c>
      <c r="Q16" s="281">
        <f t="shared" si="53"/>
        <v>2236.4699999999993</v>
      </c>
      <c r="R16" s="282">
        <f t="shared" si="54"/>
        <v>0.1792</v>
      </c>
      <c r="S16" s="281">
        <f t="shared" si="55"/>
        <v>400.77542399999987</v>
      </c>
      <c r="T16" s="283">
        <f t="shared" si="56"/>
        <v>1339.14</v>
      </c>
      <c r="U16" s="281">
        <f t="shared" si="57"/>
        <v>1739.915424</v>
      </c>
      <c r="V16" s="281">
        <f t="shared" si="58"/>
        <v>0</v>
      </c>
      <c r="W16" s="281">
        <f t="shared" si="59"/>
        <v>858.51</v>
      </c>
      <c r="X16" s="261">
        <f t="shared" si="60"/>
        <v>0</v>
      </c>
      <c r="Y16" s="261">
        <f t="shared" si="61"/>
        <v>858.51</v>
      </c>
      <c r="Z16" s="262">
        <v>0</v>
      </c>
      <c r="AA16" s="261">
        <f t="shared" si="46"/>
        <v>858.51</v>
      </c>
      <c r="AB16" s="261">
        <f t="shared" si="62"/>
        <v>7470.99</v>
      </c>
      <c r="AC16" s="315"/>
      <c r="AD16" s="4"/>
    </row>
    <row r="17" spans="1:30" ht="27.75" customHeight="1" x14ac:dyDescent="0.25">
      <c r="A17" s="146"/>
      <c r="B17" s="500" t="s">
        <v>303</v>
      </c>
      <c r="C17" s="501"/>
      <c r="D17" s="501"/>
      <c r="E17" s="501"/>
      <c r="F17" s="501"/>
      <c r="G17" s="501"/>
      <c r="H17" s="501"/>
      <c r="I17" s="501"/>
      <c r="J17" s="501"/>
      <c r="K17" s="501"/>
      <c r="L17" s="501"/>
      <c r="M17" s="501"/>
      <c r="N17" s="501"/>
      <c r="O17" s="501"/>
      <c r="P17" s="501"/>
      <c r="Q17" s="501"/>
      <c r="R17" s="501"/>
      <c r="S17" s="501"/>
      <c r="T17" s="501"/>
      <c r="U17" s="501"/>
      <c r="V17" s="501"/>
      <c r="W17" s="501"/>
      <c r="X17" s="501"/>
      <c r="Y17" s="501"/>
      <c r="Z17" s="501"/>
      <c r="AA17" s="501"/>
      <c r="AB17" s="501"/>
      <c r="AC17" s="501"/>
      <c r="AD17" s="4"/>
    </row>
    <row r="18" spans="1:30" ht="23.25" customHeight="1" x14ac:dyDescent="0.25">
      <c r="A18" s="146"/>
      <c r="B18" s="500" t="s">
        <v>304</v>
      </c>
      <c r="C18" s="501"/>
      <c r="D18" s="501"/>
      <c r="E18" s="501"/>
      <c r="F18" s="501"/>
      <c r="G18" s="501"/>
      <c r="H18" s="501"/>
      <c r="I18" s="501"/>
      <c r="J18" s="501"/>
      <c r="K18" s="501"/>
      <c r="L18" s="501"/>
      <c r="M18" s="501"/>
      <c r="N18" s="501"/>
      <c r="O18" s="501"/>
      <c r="P18" s="501"/>
      <c r="Q18" s="501"/>
      <c r="R18" s="501"/>
      <c r="S18" s="501"/>
      <c r="T18" s="501"/>
      <c r="U18" s="501"/>
      <c r="V18" s="501"/>
      <c r="W18" s="501"/>
      <c r="X18" s="501"/>
      <c r="Y18" s="501"/>
      <c r="Z18" s="501"/>
      <c r="AA18" s="501"/>
      <c r="AB18" s="501"/>
      <c r="AC18" s="501"/>
      <c r="AD18" s="4"/>
    </row>
    <row r="19" spans="1:30" ht="23.25" customHeight="1" x14ac:dyDescent="0.25">
      <c r="A19" s="146"/>
      <c r="B19" s="499" t="str">
        <f>PRESIDENCIA!A3</f>
        <v>SUELDO  DEL 15 AL 30 DE SEPTIEMBRE DE 2026</v>
      </c>
      <c r="C19" s="499"/>
      <c r="D19" s="499"/>
      <c r="E19" s="499"/>
      <c r="F19" s="499"/>
      <c r="G19" s="499"/>
      <c r="H19" s="499"/>
      <c r="I19" s="499"/>
      <c r="J19" s="499"/>
      <c r="K19" s="499"/>
      <c r="L19" s="499"/>
      <c r="M19" s="499"/>
      <c r="N19" s="499"/>
      <c r="O19" s="499"/>
      <c r="P19" s="499"/>
      <c r="Q19" s="499"/>
      <c r="R19" s="499"/>
      <c r="S19" s="499"/>
      <c r="T19" s="499"/>
      <c r="U19" s="499"/>
      <c r="V19" s="499"/>
      <c r="W19" s="499"/>
      <c r="X19" s="499"/>
      <c r="Y19" s="499"/>
      <c r="Z19" s="499"/>
      <c r="AA19" s="499"/>
      <c r="AB19" s="499"/>
      <c r="AC19" s="499"/>
      <c r="AD19" s="4"/>
    </row>
    <row r="20" spans="1:30" ht="20.25" customHeight="1" x14ac:dyDescent="0.25">
      <c r="A20" s="146"/>
      <c r="B20" s="502"/>
      <c r="C20" s="503"/>
      <c r="D20" s="503"/>
      <c r="E20" s="503"/>
      <c r="F20" s="503"/>
      <c r="G20" s="503"/>
      <c r="H20" s="503"/>
      <c r="I20" s="503"/>
      <c r="J20" s="503"/>
      <c r="K20" s="503"/>
      <c r="L20" s="503"/>
      <c r="M20" s="503"/>
      <c r="N20" s="503"/>
      <c r="O20" s="503"/>
      <c r="P20" s="503"/>
      <c r="Q20" s="503"/>
      <c r="R20" s="503"/>
      <c r="S20" s="503"/>
      <c r="T20" s="503"/>
      <c r="U20" s="503"/>
      <c r="V20" s="503"/>
      <c r="W20" s="503"/>
      <c r="X20" s="503"/>
      <c r="Y20" s="503"/>
      <c r="Z20" s="503"/>
      <c r="AA20" s="503"/>
      <c r="AB20" s="503"/>
      <c r="AC20" s="503"/>
      <c r="AD20" s="4"/>
    </row>
    <row r="21" spans="1:30" s="352" customFormat="1" ht="201.75" customHeight="1" x14ac:dyDescent="0.2">
      <c r="A21" s="347"/>
      <c r="B21" s="267" t="s">
        <v>264</v>
      </c>
      <c r="C21" s="267" t="s">
        <v>105</v>
      </c>
      <c r="D21" s="353" t="s">
        <v>265</v>
      </c>
      <c r="E21" s="338" t="s">
        <v>268</v>
      </c>
      <c r="F21" s="263" t="s">
        <v>266</v>
      </c>
      <c r="G21" s="306">
        <v>45200</v>
      </c>
      <c r="H21" s="256" t="s">
        <v>78</v>
      </c>
      <c r="I21" s="257">
        <v>15</v>
      </c>
      <c r="J21" s="257">
        <f t="shared" ref="J21:J24" si="63">K21/I21</f>
        <v>555.29999999999995</v>
      </c>
      <c r="K21" s="259">
        <v>8329.5</v>
      </c>
      <c r="L21" s="260">
        <v>0</v>
      </c>
      <c r="M21" s="261">
        <f t="shared" ref="M21:M24" si="64">SUM(K21:L21)</f>
        <v>8329.5</v>
      </c>
      <c r="N21" s="281">
        <f t="shared" ref="N21:N24" si="65">IF(K21/15&lt;=SMG,0,L21/2)</f>
        <v>0</v>
      </c>
      <c r="O21" s="296">
        <f t="shared" ref="O21:O24" si="66">(K21+N21)/I21*30.4</f>
        <v>16881.12</v>
      </c>
      <c r="P21" s="296">
        <f t="shared" ref="P21:P24" si="67">VLOOKUP(O21,Tarifa,1)</f>
        <v>14644.65</v>
      </c>
      <c r="Q21" s="281">
        <f t="shared" ref="Q21:Q24" si="68">O21-P21</f>
        <v>2236.4699999999993</v>
      </c>
      <c r="R21" s="282">
        <f t="shared" ref="R21:R24" si="69">VLOOKUP(O21,Tarifa,3)</f>
        <v>0.1792</v>
      </c>
      <c r="S21" s="281">
        <f t="shared" ref="S21:S24" si="70">Q21*R21</f>
        <v>400.77542399999987</v>
      </c>
      <c r="T21" s="283">
        <f t="shared" ref="T21:T24" si="71">VLOOKUP(O21,Tarifa,2)</f>
        <v>1339.14</v>
      </c>
      <c r="U21" s="281">
        <f t="shared" ref="U21:U24" si="72">S21+T21</f>
        <v>1739.915424</v>
      </c>
      <c r="V21" s="281">
        <f t="shared" ref="V21:V24" si="73">VLOOKUP(O21,Credito,2)</f>
        <v>0</v>
      </c>
      <c r="W21" s="281">
        <f t="shared" ref="W21:W24" si="74">ROUND((U21-V21)/30.4*I21,2)</f>
        <v>858.51</v>
      </c>
      <c r="X21" s="261">
        <f t="shared" ref="X21:X24" si="75">-IF(W21&gt;0,0,0)</f>
        <v>0</v>
      </c>
      <c r="Y21" s="261">
        <f t="shared" ref="Y21:Y24" si="76">IF(K21/15&lt;=SMG,0,IF(W21&lt;0,0,W21))</f>
        <v>858.51</v>
      </c>
      <c r="Z21" s="262">
        <v>0</v>
      </c>
      <c r="AA21" s="261">
        <f t="shared" ref="AA21:AA24" si="77">SUM(Y21:Z21)</f>
        <v>858.51</v>
      </c>
      <c r="AB21" s="261">
        <f t="shared" ref="AB21:AB24" si="78">M21+X21-AA21</f>
        <v>7470.99</v>
      </c>
      <c r="AC21" s="315"/>
      <c r="AD21" s="316"/>
    </row>
    <row r="22" spans="1:30" s="352" customFormat="1" ht="201.75" customHeight="1" x14ac:dyDescent="0.2">
      <c r="A22" s="347"/>
      <c r="B22" s="267" t="s">
        <v>273</v>
      </c>
      <c r="C22" s="267" t="s">
        <v>105</v>
      </c>
      <c r="D22" s="353" t="s">
        <v>276</v>
      </c>
      <c r="E22" s="338" t="s">
        <v>274</v>
      </c>
      <c r="F22" s="263" t="s">
        <v>275</v>
      </c>
      <c r="G22" s="306">
        <v>45292</v>
      </c>
      <c r="H22" s="256" t="s">
        <v>78</v>
      </c>
      <c r="I22" s="257">
        <v>15</v>
      </c>
      <c r="J22" s="257">
        <f t="shared" si="63"/>
        <v>555.29999999999995</v>
      </c>
      <c r="K22" s="259">
        <v>8329.5</v>
      </c>
      <c r="L22" s="260">
        <v>0</v>
      </c>
      <c r="M22" s="261">
        <f t="shared" si="64"/>
        <v>8329.5</v>
      </c>
      <c r="N22" s="281">
        <f t="shared" si="65"/>
        <v>0</v>
      </c>
      <c r="O22" s="296">
        <f t="shared" si="66"/>
        <v>16881.12</v>
      </c>
      <c r="P22" s="296">
        <f t="shared" si="67"/>
        <v>14644.65</v>
      </c>
      <c r="Q22" s="281">
        <f t="shared" si="68"/>
        <v>2236.4699999999993</v>
      </c>
      <c r="R22" s="282">
        <f t="shared" si="69"/>
        <v>0.1792</v>
      </c>
      <c r="S22" s="281">
        <f t="shared" si="70"/>
        <v>400.77542399999987</v>
      </c>
      <c r="T22" s="283">
        <f t="shared" si="71"/>
        <v>1339.14</v>
      </c>
      <c r="U22" s="281">
        <f t="shared" si="72"/>
        <v>1739.915424</v>
      </c>
      <c r="V22" s="281">
        <f t="shared" si="73"/>
        <v>0</v>
      </c>
      <c r="W22" s="281">
        <f t="shared" si="74"/>
        <v>858.51</v>
      </c>
      <c r="X22" s="261">
        <f t="shared" si="75"/>
        <v>0</v>
      </c>
      <c r="Y22" s="261">
        <f t="shared" si="76"/>
        <v>858.51</v>
      </c>
      <c r="Z22" s="262">
        <v>0</v>
      </c>
      <c r="AA22" s="261">
        <f t="shared" si="77"/>
        <v>858.51</v>
      </c>
      <c r="AB22" s="261">
        <f t="shared" si="78"/>
        <v>7470.99</v>
      </c>
      <c r="AC22" s="315"/>
      <c r="AD22" s="316"/>
    </row>
    <row r="23" spans="1:30" s="352" customFormat="1" ht="201.75" customHeight="1" x14ac:dyDescent="0.2">
      <c r="A23" s="347"/>
      <c r="B23" s="267" t="s">
        <v>299</v>
      </c>
      <c r="C23" s="267" t="s">
        <v>105</v>
      </c>
      <c r="D23" s="353" t="s">
        <v>300</v>
      </c>
      <c r="E23" s="338" t="s">
        <v>301</v>
      </c>
      <c r="F23" s="263" t="s">
        <v>302</v>
      </c>
      <c r="G23" s="306">
        <v>45413</v>
      </c>
      <c r="H23" s="256" t="s">
        <v>78</v>
      </c>
      <c r="I23" s="257">
        <v>15</v>
      </c>
      <c r="J23" s="257">
        <f t="shared" si="63"/>
        <v>555.29999999999995</v>
      </c>
      <c r="K23" s="259">
        <v>8329.5</v>
      </c>
      <c r="L23" s="260">
        <v>0</v>
      </c>
      <c r="M23" s="261">
        <f t="shared" si="64"/>
        <v>8329.5</v>
      </c>
      <c r="N23" s="281">
        <f t="shared" si="65"/>
        <v>0</v>
      </c>
      <c r="O23" s="296">
        <f t="shared" si="66"/>
        <v>16881.12</v>
      </c>
      <c r="P23" s="296">
        <f t="shared" si="67"/>
        <v>14644.65</v>
      </c>
      <c r="Q23" s="281">
        <f t="shared" si="68"/>
        <v>2236.4699999999993</v>
      </c>
      <c r="R23" s="282">
        <f t="shared" si="69"/>
        <v>0.1792</v>
      </c>
      <c r="S23" s="281">
        <f t="shared" si="70"/>
        <v>400.77542399999987</v>
      </c>
      <c r="T23" s="283">
        <f t="shared" si="71"/>
        <v>1339.14</v>
      </c>
      <c r="U23" s="281">
        <f t="shared" si="72"/>
        <v>1739.915424</v>
      </c>
      <c r="V23" s="281">
        <f t="shared" si="73"/>
        <v>0</v>
      </c>
      <c r="W23" s="281">
        <f t="shared" si="74"/>
        <v>858.51</v>
      </c>
      <c r="X23" s="261">
        <f t="shared" si="75"/>
        <v>0</v>
      </c>
      <c r="Y23" s="261">
        <f t="shared" si="76"/>
        <v>858.51</v>
      </c>
      <c r="Z23" s="262">
        <v>0</v>
      </c>
      <c r="AA23" s="261">
        <f t="shared" si="77"/>
        <v>858.51</v>
      </c>
      <c r="AB23" s="261">
        <f t="shared" si="78"/>
        <v>7470.99</v>
      </c>
      <c r="AC23" s="315"/>
      <c r="AD23" s="316"/>
    </row>
    <row r="24" spans="1:30" s="352" customFormat="1" ht="201.75" customHeight="1" x14ac:dyDescent="0.2">
      <c r="A24" s="347"/>
      <c r="B24" s="267" t="s">
        <v>305</v>
      </c>
      <c r="C24" s="267" t="s">
        <v>105</v>
      </c>
      <c r="D24" s="353" t="s">
        <v>306</v>
      </c>
      <c r="E24" s="338" t="s">
        <v>312</v>
      </c>
      <c r="F24" s="263" t="s">
        <v>307</v>
      </c>
      <c r="G24" s="306">
        <v>45444</v>
      </c>
      <c r="H24" s="256" t="s">
        <v>78</v>
      </c>
      <c r="I24" s="257">
        <v>15</v>
      </c>
      <c r="J24" s="257">
        <f t="shared" si="63"/>
        <v>555.29999999999995</v>
      </c>
      <c r="K24" s="259">
        <v>8329.5</v>
      </c>
      <c r="L24" s="260">
        <v>0</v>
      </c>
      <c r="M24" s="261">
        <f t="shared" si="64"/>
        <v>8329.5</v>
      </c>
      <c r="N24" s="281">
        <f t="shared" si="65"/>
        <v>0</v>
      </c>
      <c r="O24" s="296">
        <f t="shared" si="66"/>
        <v>16881.12</v>
      </c>
      <c r="P24" s="296">
        <f t="shared" si="67"/>
        <v>14644.65</v>
      </c>
      <c r="Q24" s="281">
        <f t="shared" si="68"/>
        <v>2236.4699999999993</v>
      </c>
      <c r="R24" s="282">
        <f t="shared" si="69"/>
        <v>0.1792</v>
      </c>
      <c r="S24" s="281">
        <f t="shared" si="70"/>
        <v>400.77542399999987</v>
      </c>
      <c r="T24" s="283">
        <f t="shared" si="71"/>
        <v>1339.14</v>
      </c>
      <c r="U24" s="281">
        <f t="shared" si="72"/>
        <v>1739.915424</v>
      </c>
      <c r="V24" s="281">
        <f t="shared" si="73"/>
        <v>0</v>
      </c>
      <c r="W24" s="281">
        <f t="shared" si="74"/>
        <v>858.51</v>
      </c>
      <c r="X24" s="261">
        <f t="shared" si="75"/>
        <v>0</v>
      </c>
      <c r="Y24" s="261">
        <f t="shared" si="76"/>
        <v>858.51</v>
      </c>
      <c r="Z24" s="262">
        <v>0</v>
      </c>
      <c r="AA24" s="261">
        <f t="shared" si="77"/>
        <v>858.51</v>
      </c>
      <c r="AB24" s="261">
        <f t="shared" si="78"/>
        <v>7470.99</v>
      </c>
      <c r="AC24" s="315"/>
      <c r="AD24" s="316"/>
    </row>
    <row r="25" spans="1:30" s="352" customFormat="1" ht="201.75" customHeight="1" x14ac:dyDescent="0.2">
      <c r="A25" s="347"/>
      <c r="B25" s="267" t="s">
        <v>322</v>
      </c>
      <c r="C25" s="267" t="s">
        <v>105</v>
      </c>
      <c r="D25" s="353" t="s">
        <v>323</v>
      </c>
      <c r="E25" s="338" t="s">
        <v>324</v>
      </c>
      <c r="F25" s="263" t="s">
        <v>325</v>
      </c>
      <c r="G25" s="306">
        <v>45520</v>
      </c>
      <c r="H25" s="256" t="s">
        <v>78</v>
      </c>
      <c r="I25" s="257">
        <v>15</v>
      </c>
      <c r="J25" s="257">
        <f t="shared" ref="J25:J36" si="79">K25/I25</f>
        <v>555.29999999999995</v>
      </c>
      <c r="K25" s="259">
        <v>8329.5</v>
      </c>
      <c r="L25" s="260">
        <v>0</v>
      </c>
      <c r="M25" s="261">
        <f t="shared" ref="M25:M36" si="80">SUM(K25:L25)</f>
        <v>8329.5</v>
      </c>
      <c r="N25" s="281">
        <f t="shared" ref="N25:N36" si="81">IF(K25/15&lt;=SMG,0,L25/2)</f>
        <v>0</v>
      </c>
      <c r="O25" s="296">
        <f t="shared" ref="O25:O36" si="82">(K25+N25)/I25*30.4</f>
        <v>16881.12</v>
      </c>
      <c r="P25" s="296">
        <f t="shared" ref="P25:P36" si="83">VLOOKUP(O25,Tarifa,1)</f>
        <v>14644.65</v>
      </c>
      <c r="Q25" s="281">
        <f t="shared" ref="Q25:Q36" si="84">O25-P25</f>
        <v>2236.4699999999993</v>
      </c>
      <c r="R25" s="282">
        <f t="shared" ref="R25:R36" si="85">VLOOKUP(O25,Tarifa,3)</f>
        <v>0.1792</v>
      </c>
      <c r="S25" s="281">
        <f t="shared" ref="S25:S36" si="86">Q25*R25</f>
        <v>400.77542399999987</v>
      </c>
      <c r="T25" s="283">
        <f t="shared" ref="T25:T36" si="87">VLOOKUP(O25,Tarifa,2)</f>
        <v>1339.14</v>
      </c>
      <c r="U25" s="281">
        <f t="shared" ref="U25:U36" si="88">S25+T25</f>
        <v>1739.915424</v>
      </c>
      <c r="V25" s="281">
        <f t="shared" ref="V25:V36" si="89">VLOOKUP(O25,Credito,2)</f>
        <v>0</v>
      </c>
      <c r="W25" s="281">
        <f t="shared" ref="W25:W36" si="90">ROUND((U25-V25)/30.4*I25,2)</f>
        <v>858.51</v>
      </c>
      <c r="X25" s="261">
        <f t="shared" ref="X25:X36" si="91">-IF(W25&gt;0,0,0)</f>
        <v>0</v>
      </c>
      <c r="Y25" s="261">
        <f t="shared" ref="Y25:Y36" si="92">IF(K25/15&lt;=SMG,0,IF(W25&lt;0,0,W25))</f>
        <v>858.51</v>
      </c>
      <c r="Z25" s="262">
        <v>0</v>
      </c>
      <c r="AA25" s="261">
        <f t="shared" ref="AA25:AA36" si="93">SUM(Y25:Z25)</f>
        <v>858.51</v>
      </c>
      <c r="AB25" s="261">
        <f t="shared" ref="AB25:AB36" si="94">M25+X25-AA25</f>
        <v>7470.99</v>
      </c>
      <c r="AC25" s="315"/>
      <c r="AD25" s="316"/>
    </row>
    <row r="26" spans="1:30" s="352" customFormat="1" ht="201.75" customHeight="1" x14ac:dyDescent="0.2">
      <c r="A26" s="347"/>
      <c r="B26" s="267" t="s">
        <v>447</v>
      </c>
      <c r="C26" s="267" t="s">
        <v>105</v>
      </c>
      <c r="D26" s="353" t="s">
        <v>442</v>
      </c>
      <c r="E26" s="338" t="s">
        <v>453</v>
      </c>
      <c r="F26" s="263" t="s">
        <v>443</v>
      </c>
      <c r="G26" s="306">
        <v>45704</v>
      </c>
      <c r="H26" s="256" t="s">
        <v>78</v>
      </c>
      <c r="I26" s="257">
        <v>15</v>
      </c>
      <c r="J26" s="257">
        <f t="shared" si="79"/>
        <v>555.29999999999995</v>
      </c>
      <c r="K26" s="259">
        <v>8329.5</v>
      </c>
      <c r="L26" s="260">
        <v>0</v>
      </c>
      <c r="M26" s="261">
        <f t="shared" si="80"/>
        <v>8329.5</v>
      </c>
      <c r="N26" s="281">
        <f t="shared" si="81"/>
        <v>0</v>
      </c>
      <c r="O26" s="296">
        <f t="shared" si="82"/>
        <v>16881.12</v>
      </c>
      <c r="P26" s="296">
        <f t="shared" si="83"/>
        <v>14644.65</v>
      </c>
      <c r="Q26" s="281">
        <f t="shared" si="84"/>
        <v>2236.4699999999993</v>
      </c>
      <c r="R26" s="282">
        <f t="shared" si="85"/>
        <v>0.1792</v>
      </c>
      <c r="S26" s="281">
        <f t="shared" si="86"/>
        <v>400.77542399999987</v>
      </c>
      <c r="T26" s="283">
        <f t="shared" si="87"/>
        <v>1339.14</v>
      </c>
      <c r="U26" s="281">
        <f t="shared" si="88"/>
        <v>1739.915424</v>
      </c>
      <c r="V26" s="281">
        <f t="shared" si="89"/>
        <v>0</v>
      </c>
      <c r="W26" s="281">
        <f t="shared" si="90"/>
        <v>858.51</v>
      </c>
      <c r="X26" s="261">
        <f t="shared" si="91"/>
        <v>0</v>
      </c>
      <c r="Y26" s="261">
        <f t="shared" si="92"/>
        <v>858.51</v>
      </c>
      <c r="Z26" s="262">
        <v>0</v>
      </c>
      <c r="AA26" s="261">
        <f t="shared" si="93"/>
        <v>858.51</v>
      </c>
      <c r="AB26" s="261">
        <f t="shared" si="94"/>
        <v>7470.99</v>
      </c>
      <c r="AC26" s="315"/>
      <c r="AD26" s="316"/>
    </row>
    <row r="27" spans="1:30" s="352" customFormat="1" ht="183" customHeight="1" x14ac:dyDescent="0.2">
      <c r="A27" s="347"/>
      <c r="B27" s="267" t="s">
        <v>448</v>
      </c>
      <c r="C27" s="267" t="s">
        <v>105</v>
      </c>
      <c r="D27" s="353" t="s">
        <v>444</v>
      </c>
      <c r="E27" s="338" t="s">
        <v>445</v>
      </c>
      <c r="F27" s="263" t="s">
        <v>446</v>
      </c>
      <c r="G27" s="306">
        <v>45704</v>
      </c>
      <c r="H27" s="256" t="s">
        <v>78</v>
      </c>
      <c r="I27" s="257">
        <v>15</v>
      </c>
      <c r="J27" s="257">
        <f t="shared" si="79"/>
        <v>555.29999999999995</v>
      </c>
      <c r="K27" s="259">
        <v>8329.5</v>
      </c>
      <c r="L27" s="260">
        <v>0</v>
      </c>
      <c r="M27" s="261">
        <f t="shared" si="80"/>
        <v>8329.5</v>
      </c>
      <c r="N27" s="281">
        <f t="shared" si="81"/>
        <v>0</v>
      </c>
      <c r="O27" s="296">
        <f t="shared" si="82"/>
        <v>16881.12</v>
      </c>
      <c r="P27" s="296">
        <f t="shared" si="83"/>
        <v>14644.65</v>
      </c>
      <c r="Q27" s="281">
        <f t="shared" si="84"/>
        <v>2236.4699999999993</v>
      </c>
      <c r="R27" s="282">
        <f t="shared" si="85"/>
        <v>0.1792</v>
      </c>
      <c r="S27" s="281">
        <f t="shared" si="86"/>
        <v>400.77542399999987</v>
      </c>
      <c r="T27" s="283">
        <f t="shared" si="87"/>
        <v>1339.14</v>
      </c>
      <c r="U27" s="281">
        <f t="shared" si="88"/>
        <v>1739.915424</v>
      </c>
      <c r="V27" s="281">
        <f t="shared" si="89"/>
        <v>0</v>
      </c>
      <c r="W27" s="281">
        <f t="shared" si="90"/>
        <v>858.51</v>
      </c>
      <c r="X27" s="261">
        <f t="shared" si="91"/>
        <v>0</v>
      </c>
      <c r="Y27" s="261">
        <f t="shared" si="92"/>
        <v>858.51</v>
      </c>
      <c r="Z27" s="262">
        <v>0</v>
      </c>
      <c r="AA27" s="261">
        <f t="shared" si="93"/>
        <v>858.51</v>
      </c>
      <c r="AB27" s="261">
        <f t="shared" si="94"/>
        <v>7470.99</v>
      </c>
      <c r="AC27" s="315"/>
      <c r="AD27" s="316"/>
    </row>
    <row r="28" spans="1:30" s="352" customFormat="1" ht="181.5" customHeight="1" x14ac:dyDescent="0.2">
      <c r="A28" s="347"/>
      <c r="B28" s="267" t="s">
        <v>451</v>
      </c>
      <c r="C28" s="267" t="s">
        <v>105</v>
      </c>
      <c r="D28" s="353" t="s">
        <v>452</v>
      </c>
      <c r="E28" s="338" t="s">
        <v>449</v>
      </c>
      <c r="F28" s="263" t="s">
        <v>450</v>
      </c>
      <c r="G28" s="306">
        <v>45717</v>
      </c>
      <c r="H28" s="256" t="s">
        <v>78</v>
      </c>
      <c r="I28" s="257">
        <v>15</v>
      </c>
      <c r="J28" s="257">
        <f t="shared" si="79"/>
        <v>555.29999999999995</v>
      </c>
      <c r="K28" s="259">
        <v>8329.5</v>
      </c>
      <c r="L28" s="260">
        <v>0</v>
      </c>
      <c r="M28" s="261">
        <f t="shared" si="80"/>
        <v>8329.5</v>
      </c>
      <c r="N28" s="281">
        <f t="shared" si="81"/>
        <v>0</v>
      </c>
      <c r="O28" s="296">
        <f t="shared" si="82"/>
        <v>16881.12</v>
      </c>
      <c r="P28" s="296">
        <f t="shared" si="83"/>
        <v>14644.65</v>
      </c>
      <c r="Q28" s="281">
        <f t="shared" si="84"/>
        <v>2236.4699999999993</v>
      </c>
      <c r="R28" s="282">
        <f t="shared" si="85"/>
        <v>0.1792</v>
      </c>
      <c r="S28" s="281">
        <f t="shared" si="86"/>
        <v>400.77542399999987</v>
      </c>
      <c r="T28" s="283">
        <f t="shared" si="87"/>
        <v>1339.14</v>
      </c>
      <c r="U28" s="281">
        <f t="shared" si="88"/>
        <v>1739.915424</v>
      </c>
      <c r="V28" s="281">
        <f t="shared" si="89"/>
        <v>0</v>
      </c>
      <c r="W28" s="281">
        <f t="shared" si="90"/>
        <v>858.51</v>
      </c>
      <c r="X28" s="261">
        <f t="shared" si="91"/>
        <v>0</v>
      </c>
      <c r="Y28" s="261">
        <f t="shared" si="92"/>
        <v>858.51</v>
      </c>
      <c r="Z28" s="262">
        <v>0</v>
      </c>
      <c r="AA28" s="261">
        <f t="shared" si="93"/>
        <v>858.51</v>
      </c>
      <c r="AB28" s="261">
        <f t="shared" si="94"/>
        <v>7470.99</v>
      </c>
      <c r="AC28" s="315"/>
      <c r="AD28" s="316"/>
    </row>
    <row r="29" spans="1:30" s="352" customFormat="1" ht="78" customHeight="1" x14ac:dyDescent="0.25">
      <c r="A29" s="347"/>
      <c r="B29" s="500" t="s">
        <v>303</v>
      </c>
      <c r="C29" s="501"/>
      <c r="D29" s="501"/>
      <c r="E29" s="501"/>
      <c r="F29" s="501"/>
      <c r="G29" s="501"/>
      <c r="H29" s="501"/>
      <c r="I29" s="501"/>
      <c r="J29" s="501"/>
      <c r="K29" s="501"/>
      <c r="L29" s="501"/>
      <c r="M29" s="501"/>
      <c r="N29" s="501"/>
      <c r="O29" s="501"/>
      <c r="P29" s="501"/>
      <c r="Q29" s="501"/>
      <c r="R29" s="501"/>
      <c r="S29" s="501"/>
      <c r="T29" s="501"/>
      <c r="U29" s="501"/>
      <c r="V29" s="501"/>
      <c r="W29" s="501"/>
      <c r="X29" s="501"/>
      <c r="Y29" s="501"/>
      <c r="Z29" s="501"/>
      <c r="AA29" s="501"/>
      <c r="AB29" s="501"/>
      <c r="AC29" s="501"/>
      <c r="AD29" s="316"/>
    </row>
    <row r="30" spans="1:30" s="352" customFormat="1" ht="32.25" customHeight="1" x14ac:dyDescent="0.25">
      <c r="A30" s="347"/>
      <c r="B30" s="500" t="s">
        <v>304</v>
      </c>
      <c r="C30" s="501"/>
      <c r="D30" s="501"/>
      <c r="E30" s="501"/>
      <c r="F30" s="501"/>
      <c r="G30" s="501"/>
      <c r="H30" s="501"/>
      <c r="I30" s="501"/>
      <c r="J30" s="501"/>
      <c r="K30" s="501"/>
      <c r="L30" s="501"/>
      <c r="M30" s="501"/>
      <c r="N30" s="501"/>
      <c r="O30" s="501"/>
      <c r="P30" s="501"/>
      <c r="Q30" s="501"/>
      <c r="R30" s="501"/>
      <c r="S30" s="501"/>
      <c r="T30" s="501"/>
      <c r="U30" s="501"/>
      <c r="V30" s="501"/>
      <c r="W30" s="501"/>
      <c r="X30" s="501"/>
      <c r="Y30" s="501"/>
      <c r="Z30" s="501"/>
      <c r="AA30" s="501"/>
      <c r="AB30" s="501"/>
      <c r="AC30" s="501"/>
      <c r="AD30" s="316"/>
    </row>
    <row r="31" spans="1:30" s="399" customFormat="1" ht="32.25" customHeight="1" x14ac:dyDescent="0.2">
      <c r="A31" s="398"/>
      <c r="B31" s="507" t="str">
        <f>B19</f>
        <v>SUELDO  DEL 15 AL 30 DE SEPTIEMBRE DE 2026</v>
      </c>
      <c r="C31" s="507"/>
      <c r="D31" s="507"/>
      <c r="E31" s="507"/>
      <c r="F31" s="507"/>
      <c r="G31" s="507"/>
      <c r="H31" s="507"/>
      <c r="I31" s="507"/>
      <c r="J31" s="507"/>
      <c r="K31" s="507"/>
      <c r="L31" s="507"/>
      <c r="M31" s="507"/>
      <c r="N31" s="507"/>
      <c r="O31" s="507"/>
      <c r="P31" s="507"/>
      <c r="Q31" s="507"/>
      <c r="R31" s="507"/>
      <c r="S31" s="507"/>
      <c r="T31" s="507"/>
      <c r="U31" s="507"/>
      <c r="V31" s="507"/>
      <c r="W31" s="507"/>
      <c r="X31" s="507"/>
      <c r="Y31" s="507"/>
      <c r="Z31" s="507"/>
      <c r="AA31" s="507"/>
      <c r="AB31" s="507"/>
      <c r="AC31" s="507"/>
    </row>
    <row r="32" spans="1:30" s="399" customFormat="1" ht="32.25" customHeight="1" x14ac:dyDescent="0.2">
      <c r="A32" s="398"/>
      <c r="B32" s="400"/>
      <c r="C32" s="400"/>
      <c r="D32" s="400"/>
      <c r="E32" s="400"/>
      <c r="F32" s="400"/>
      <c r="G32" s="400"/>
      <c r="H32" s="400"/>
      <c r="I32" s="400"/>
      <c r="J32" s="400"/>
      <c r="K32" s="400"/>
      <c r="L32" s="400"/>
      <c r="M32" s="400"/>
      <c r="N32" s="400"/>
      <c r="O32" s="400"/>
      <c r="P32" s="400"/>
      <c r="Q32" s="400"/>
      <c r="R32" s="400"/>
      <c r="S32" s="400"/>
      <c r="T32" s="400"/>
      <c r="U32" s="400"/>
      <c r="V32" s="400"/>
      <c r="W32" s="400"/>
      <c r="X32" s="400"/>
      <c r="Y32" s="400"/>
      <c r="Z32" s="400"/>
      <c r="AA32" s="400"/>
      <c r="AB32" s="400"/>
      <c r="AC32" s="400"/>
    </row>
    <row r="33" spans="1:30" s="352" customFormat="1" ht="195" customHeight="1" x14ac:dyDescent="0.2">
      <c r="A33" s="347"/>
      <c r="B33" s="318" t="s">
        <v>508</v>
      </c>
      <c r="C33" s="318" t="s">
        <v>105</v>
      </c>
      <c r="D33" s="389" t="s">
        <v>509</v>
      </c>
      <c r="E33" s="390" t="s">
        <v>510</v>
      </c>
      <c r="F33" s="391" t="s">
        <v>511</v>
      </c>
      <c r="G33" s="392">
        <v>45884</v>
      </c>
      <c r="H33" s="322" t="s">
        <v>78</v>
      </c>
      <c r="I33" s="393">
        <v>15</v>
      </c>
      <c r="J33" s="393">
        <f t="shared" ref="J33" si="95">K33/I33</f>
        <v>555.29999999999995</v>
      </c>
      <c r="K33" s="259">
        <v>8329.5</v>
      </c>
      <c r="L33" s="324">
        <v>0</v>
      </c>
      <c r="M33" s="325">
        <f t="shared" ref="M33" si="96">SUM(K33:L33)</f>
        <v>8329.5</v>
      </c>
      <c r="N33" s="394">
        <f t="shared" ref="N33" si="97">IF(K33/15&lt;=SMG,0,L33/2)</f>
        <v>0</v>
      </c>
      <c r="O33" s="395">
        <f t="shared" ref="O33" si="98">(K33+N33)/I33*30.4</f>
        <v>16881.12</v>
      </c>
      <c r="P33" s="395">
        <f t="shared" ref="P33" si="99">VLOOKUP(O33,Tarifa,1)</f>
        <v>14644.65</v>
      </c>
      <c r="Q33" s="394">
        <f t="shared" ref="Q33" si="100">O33-P33</f>
        <v>2236.4699999999993</v>
      </c>
      <c r="R33" s="396">
        <f t="shared" ref="R33" si="101">VLOOKUP(O33,Tarifa,3)</f>
        <v>0.1792</v>
      </c>
      <c r="S33" s="394">
        <f t="shared" ref="S33" si="102">Q33*R33</f>
        <v>400.77542399999987</v>
      </c>
      <c r="T33" s="397">
        <f t="shared" ref="T33" si="103">VLOOKUP(O33,Tarifa,2)</f>
        <v>1339.14</v>
      </c>
      <c r="U33" s="394">
        <f t="shared" ref="U33" si="104">S33+T33</f>
        <v>1739.915424</v>
      </c>
      <c r="V33" s="394">
        <f t="shared" ref="V33" si="105">VLOOKUP(O33,Credito,2)</f>
        <v>0</v>
      </c>
      <c r="W33" s="394">
        <f t="shared" ref="W33" si="106">ROUND((U33-V33)/30.4*I33,2)</f>
        <v>858.51</v>
      </c>
      <c r="X33" s="325">
        <f t="shared" ref="X33" si="107">-IF(W33&gt;0,0,0)</f>
        <v>0</v>
      </c>
      <c r="Y33" s="325">
        <f t="shared" ref="Y33" si="108">IF(K33/15&lt;=SMG,0,IF(W33&lt;0,0,W33))</f>
        <v>858.51</v>
      </c>
      <c r="Z33" s="326">
        <v>0</v>
      </c>
      <c r="AA33" s="325">
        <f t="shared" ref="AA33" si="109">SUM(Y33:Z33)</f>
        <v>858.51</v>
      </c>
      <c r="AB33" s="325">
        <f t="shared" ref="AB33" si="110">M33+X33-AA33</f>
        <v>7470.99</v>
      </c>
      <c r="AC33" s="327"/>
      <c r="AD33" s="316"/>
    </row>
    <row r="34" spans="1:30" s="352" customFormat="1" ht="195" customHeight="1" x14ac:dyDescent="0.2">
      <c r="A34" s="347"/>
      <c r="B34" s="267" t="s">
        <v>512</v>
      </c>
      <c r="C34" s="267" t="s">
        <v>105</v>
      </c>
      <c r="D34" s="353" t="s">
        <v>522</v>
      </c>
      <c r="E34" s="338" t="s">
        <v>513</v>
      </c>
      <c r="F34" s="263" t="s">
        <v>514</v>
      </c>
      <c r="G34" s="306">
        <v>45884</v>
      </c>
      <c r="H34" s="256" t="s">
        <v>78</v>
      </c>
      <c r="I34" s="257">
        <v>15</v>
      </c>
      <c r="J34" s="257">
        <f t="shared" si="79"/>
        <v>555.29999999999995</v>
      </c>
      <c r="K34" s="259">
        <v>8329.5</v>
      </c>
      <c r="L34" s="260">
        <v>0</v>
      </c>
      <c r="M34" s="261">
        <f t="shared" si="80"/>
        <v>8329.5</v>
      </c>
      <c r="N34" s="281">
        <f t="shared" si="81"/>
        <v>0</v>
      </c>
      <c r="O34" s="296">
        <f t="shared" si="82"/>
        <v>16881.12</v>
      </c>
      <c r="P34" s="296">
        <f t="shared" si="83"/>
        <v>14644.65</v>
      </c>
      <c r="Q34" s="281">
        <f t="shared" si="84"/>
        <v>2236.4699999999993</v>
      </c>
      <c r="R34" s="282">
        <f t="shared" si="85"/>
        <v>0.1792</v>
      </c>
      <c r="S34" s="281">
        <f t="shared" si="86"/>
        <v>400.77542399999987</v>
      </c>
      <c r="T34" s="283">
        <f t="shared" si="87"/>
        <v>1339.14</v>
      </c>
      <c r="U34" s="281">
        <f t="shared" si="88"/>
        <v>1739.915424</v>
      </c>
      <c r="V34" s="281">
        <f t="shared" si="89"/>
        <v>0</v>
      </c>
      <c r="W34" s="281">
        <f t="shared" si="90"/>
        <v>858.51</v>
      </c>
      <c r="X34" s="261">
        <f t="shared" si="91"/>
        <v>0</v>
      </c>
      <c r="Y34" s="261">
        <f t="shared" si="92"/>
        <v>858.51</v>
      </c>
      <c r="Z34" s="262">
        <v>0</v>
      </c>
      <c r="AA34" s="261">
        <f t="shared" si="93"/>
        <v>858.51</v>
      </c>
      <c r="AB34" s="261">
        <f t="shared" si="94"/>
        <v>7470.99</v>
      </c>
      <c r="AC34" s="315"/>
      <c r="AD34" s="316"/>
    </row>
    <row r="35" spans="1:30" s="352" customFormat="1" ht="195" customHeight="1" x14ac:dyDescent="0.2">
      <c r="A35" s="347"/>
      <c r="B35" s="267" t="s">
        <v>524</v>
      </c>
      <c r="C35" s="267" t="s">
        <v>105</v>
      </c>
      <c r="D35" s="353" t="s">
        <v>525</v>
      </c>
      <c r="E35" s="338" t="s">
        <v>526</v>
      </c>
      <c r="F35" s="263" t="s">
        <v>527</v>
      </c>
      <c r="G35" s="306">
        <v>45901</v>
      </c>
      <c r="H35" s="256" t="s">
        <v>78</v>
      </c>
      <c r="I35" s="257">
        <v>15</v>
      </c>
      <c r="J35" s="257">
        <f t="shared" si="79"/>
        <v>555.29999999999995</v>
      </c>
      <c r="K35" s="259">
        <v>8329.5</v>
      </c>
      <c r="L35" s="260">
        <v>0</v>
      </c>
      <c r="M35" s="261">
        <f t="shared" si="80"/>
        <v>8329.5</v>
      </c>
      <c r="N35" s="281">
        <f t="shared" si="81"/>
        <v>0</v>
      </c>
      <c r="O35" s="296">
        <f t="shared" si="82"/>
        <v>16881.12</v>
      </c>
      <c r="P35" s="296">
        <f t="shared" si="83"/>
        <v>14644.65</v>
      </c>
      <c r="Q35" s="281">
        <f t="shared" si="84"/>
        <v>2236.4699999999993</v>
      </c>
      <c r="R35" s="282">
        <f t="shared" si="85"/>
        <v>0.1792</v>
      </c>
      <c r="S35" s="281">
        <f t="shared" si="86"/>
        <v>400.77542399999987</v>
      </c>
      <c r="T35" s="283">
        <f t="shared" si="87"/>
        <v>1339.14</v>
      </c>
      <c r="U35" s="281">
        <f t="shared" si="88"/>
        <v>1739.915424</v>
      </c>
      <c r="V35" s="281">
        <f t="shared" si="89"/>
        <v>0</v>
      </c>
      <c r="W35" s="281">
        <f t="shared" si="90"/>
        <v>858.51</v>
      </c>
      <c r="X35" s="261">
        <f t="shared" si="91"/>
        <v>0</v>
      </c>
      <c r="Y35" s="261">
        <f t="shared" si="92"/>
        <v>858.51</v>
      </c>
      <c r="Z35" s="262">
        <v>0</v>
      </c>
      <c r="AA35" s="261">
        <f t="shared" si="93"/>
        <v>858.51</v>
      </c>
      <c r="AB35" s="261">
        <f t="shared" si="94"/>
        <v>7470.99</v>
      </c>
      <c r="AC35" s="315"/>
      <c r="AD35" s="316"/>
    </row>
    <row r="36" spans="1:30" s="352" customFormat="1" ht="195" customHeight="1" x14ac:dyDescent="0.2">
      <c r="A36" s="347"/>
      <c r="B36" s="267" t="s">
        <v>528</v>
      </c>
      <c r="C36" s="267" t="s">
        <v>105</v>
      </c>
      <c r="D36" s="353" t="s">
        <v>529</v>
      </c>
      <c r="E36" s="338" t="s">
        <v>531</v>
      </c>
      <c r="F36" s="263" t="s">
        <v>530</v>
      </c>
      <c r="G36" s="306">
        <v>45916</v>
      </c>
      <c r="H36" s="256" t="s">
        <v>78</v>
      </c>
      <c r="I36" s="257">
        <v>15</v>
      </c>
      <c r="J36" s="257">
        <f t="shared" si="79"/>
        <v>555.29999999999995</v>
      </c>
      <c r="K36" s="259">
        <v>8329.5</v>
      </c>
      <c r="L36" s="260">
        <v>0</v>
      </c>
      <c r="M36" s="261">
        <f t="shared" si="80"/>
        <v>8329.5</v>
      </c>
      <c r="N36" s="281">
        <f t="shared" si="81"/>
        <v>0</v>
      </c>
      <c r="O36" s="296">
        <f t="shared" si="82"/>
        <v>16881.12</v>
      </c>
      <c r="P36" s="296">
        <f t="shared" si="83"/>
        <v>14644.65</v>
      </c>
      <c r="Q36" s="281">
        <f t="shared" si="84"/>
        <v>2236.4699999999993</v>
      </c>
      <c r="R36" s="282">
        <f t="shared" si="85"/>
        <v>0.1792</v>
      </c>
      <c r="S36" s="281">
        <f t="shared" si="86"/>
        <v>400.77542399999987</v>
      </c>
      <c r="T36" s="283">
        <f t="shared" si="87"/>
        <v>1339.14</v>
      </c>
      <c r="U36" s="281">
        <f t="shared" si="88"/>
        <v>1739.915424</v>
      </c>
      <c r="V36" s="281">
        <f t="shared" si="89"/>
        <v>0</v>
      </c>
      <c r="W36" s="281">
        <f t="shared" si="90"/>
        <v>858.51</v>
      </c>
      <c r="X36" s="261">
        <f t="shared" si="91"/>
        <v>0</v>
      </c>
      <c r="Y36" s="261">
        <f t="shared" si="92"/>
        <v>858.51</v>
      </c>
      <c r="Z36" s="262">
        <v>0</v>
      </c>
      <c r="AA36" s="261">
        <f t="shared" si="93"/>
        <v>858.51</v>
      </c>
      <c r="AB36" s="261">
        <f t="shared" si="94"/>
        <v>7470.99</v>
      </c>
      <c r="AC36" s="315"/>
      <c r="AD36" s="316"/>
    </row>
    <row r="37" spans="1:30" s="352" customFormat="1" ht="195" customHeight="1" x14ac:dyDescent="0.2">
      <c r="A37" s="347"/>
      <c r="B37" s="267" t="s">
        <v>558</v>
      </c>
      <c r="C37" s="267" t="s">
        <v>105</v>
      </c>
      <c r="D37" s="353" t="s">
        <v>559</v>
      </c>
      <c r="E37" s="338" t="s">
        <v>560</v>
      </c>
      <c r="F37" s="263" t="s">
        <v>561</v>
      </c>
      <c r="G37" s="306">
        <v>46023</v>
      </c>
      <c r="H37" s="256" t="s">
        <v>78</v>
      </c>
      <c r="I37" s="257">
        <v>15</v>
      </c>
      <c r="J37" s="257">
        <f t="shared" ref="J37" si="111">K37/I37</f>
        <v>555.29999999999995</v>
      </c>
      <c r="K37" s="259">
        <v>8329.5</v>
      </c>
      <c r="L37" s="260">
        <v>0</v>
      </c>
      <c r="M37" s="261">
        <f t="shared" ref="M37" si="112">SUM(K37:L37)</f>
        <v>8329.5</v>
      </c>
      <c r="N37" s="281">
        <f t="shared" ref="N37" si="113">IF(K37/15&lt;=SMG,0,L37/2)</f>
        <v>0</v>
      </c>
      <c r="O37" s="296">
        <f t="shared" ref="O37" si="114">(K37+N37)/I37*30.4</f>
        <v>16881.12</v>
      </c>
      <c r="P37" s="296">
        <f t="shared" ref="P37" si="115">VLOOKUP(O37,Tarifa,1)</f>
        <v>14644.65</v>
      </c>
      <c r="Q37" s="281">
        <f t="shared" ref="Q37" si="116">O37-P37</f>
        <v>2236.4699999999993</v>
      </c>
      <c r="R37" s="282">
        <f t="shared" ref="R37" si="117">VLOOKUP(O37,Tarifa,3)</f>
        <v>0.1792</v>
      </c>
      <c r="S37" s="281">
        <f t="shared" ref="S37" si="118">Q37*R37</f>
        <v>400.77542399999987</v>
      </c>
      <c r="T37" s="283">
        <f t="shared" ref="T37" si="119">VLOOKUP(O37,Tarifa,2)</f>
        <v>1339.14</v>
      </c>
      <c r="U37" s="281">
        <f t="shared" ref="U37" si="120">S37+T37</f>
        <v>1739.915424</v>
      </c>
      <c r="V37" s="281">
        <f t="shared" ref="V37" si="121">VLOOKUP(O37,Credito,2)</f>
        <v>0</v>
      </c>
      <c r="W37" s="281">
        <f t="shared" ref="W37" si="122">ROUND((U37-V37)/30.4*I37,2)</f>
        <v>858.51</v>
      </c>
      <c r="X37" s="261">
        <f t="shared" ref="X37" si="123">-IF(W37&gt;0,0,0)</f>
        <v>0</v>
      </c>
      <c r="Y37" s="261">
        <f t="shared" ref="Y37" si="124">IF(K37/15&lt;=SMG,0,IF(W37&lt;0,0,W37))</f>
        <v>858.51</v>
      </c>
      <c r="Z37" s="262">
        <v>0</v>
      </c>
      <c r="AA37" s="261">
        <f t="shared" ref="AA37" si="125">SUM(Y37:Z37)</f>
        <v>858.51</v>
      </c>
      <c r="AB37" s="261">
        <f t="shared" ref="AB37" si="126">M37+X37-AA37</f>
        <v>7470.99</v>
      </c>
      <c r="AC37" s="315"/>
      <c r="AD37" s="316"/>
    </row>
    <row r="38" spans="1:30" ht="29.25" customHeight="1" thickBot="1" x14ac:dyDescent="0.35">
      <c r="A38" s="446" t="s">
        <v>44</v>
      </c>
      <c r="B38" s="447"/>
      <c r="C38" s="447"/>
      <c r="D38" s="447"/>
      <c r="E38" s="447"/>
      <c r="F38" s="447"/>
      <c r="G38" s="447"/>
      <c r="H38" s="447"/>
      <c r="I38" s="447"/>
      <c r="J38" s="349"/>
      <c r="K38" s="198">
        <f>SUM(K9:K37)</f>
        <v>186823.5</v>
      </c>
      <c r="L38" s="198">
        <f>SUM(L9:L37)</f>
        <v>0</v>
      </c>
      <c r="M38" s="198">
        <f>SUM(M9:M37)</f>
        <v>186823.5</v>
      </c>
      <c r="N38" s="199">
        <f t="shared" ref="N38:W38" si="127">SUM(N9:N15)</f>
        <v>0</v>
      </c>
      <c r="O38" s="199">
        <f t="shared" si="127"/>
        <v>142293.27999999997</v>
      </c>
      <c r="P38" s="199">
        <f t="shared" si="127"/>
        <v>116957.54999999999</v>
      </c>
      <c r="Q38" s="199">
        <f t="shared" si="127"/>
        <v>25335.729999999996</v>
      </c>
      <c r="R38" s="199">
        <f t="shared" si="127"/>
        <v>1.4264000000000001</v>
      </c>
      <c r="S38" s="199">
        <f t="shared" si="127"/>
        <v>5257.8427919999986</v>
      </c>
      <c r="T38" s="199">
        <f t="shared" si="127"/>
        <v>11962.479999999998</v>
      </c>
      <c r="U38" s="199">
        <f t="shared" si="127"/>
        <v>17220.322791999999</v>
      </c>
      <c r="V38" s="199">
        <f t="shared" si="127"/>
        <v>0</v>
      </c>
      <c r="W38" s="199">
        <f t="shared" si="127"/>
        <v>8496.869999999999</v>
      </c>
      <c r="X38" s="198">
        <f>SUM(X9:X37)</f>
        <v>0</v>
      </c>
      <c r="Y38" s="198">
        <f>SUM(Y9:Y37)</f>
        <v>20516.009999999995</v>
      </c>
      <c r="Z38" s="198">
        <f>SUM(Z9:Z37)</f>
        <v>0</v>
      </c>
      <c r="AA38" s="198">
        <f>SUM(AA9:AA37)</f>
        <v>20516.009999999995</v>
      </c>
      <c r="AB38" s="198">
        <f>SUM(AB9:AB37)</f>
        <v>166307.49000000002</v>
      </c>
      <c r="AC38" s="4"/>
      <c r="AD38" s="4"/>
    </row>
    <row r="39" spans="1:30" ht="13.5" thickTop="1" x14ac:dyDescent="0.2"/>
    <row r="56" spans="4:42" ht="6" customHeight="1" x14ac:dyDescent="0.2"/>
    <row r="58" spans="4:42" ht="18" x14ac:dyDescent="0.25">
      <c r="D58" s="203" t="s">
        <v>400</v>
      </c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203" t="s">
        <v>544</v>
      </c>
      <c r="AA58" s="108"/>
      <c r="AB58" s="108"/>
      <c r="AC58" s="108"/>
    </row>
    <row r="59" spans="4:42" ht="18" x14ac:dyDescent="0.25">
      <c r="D59" s="203" t="s">
        <v>413</v>
      </c>
      <c r="E59" s="203"/>
      <c r="F59" s="203"/>
      <c r="G59" s="203"/>
      <c r="H59" s="203"/>
      <c r="I59" s="203"/>
      <c r="J59" s="203"/>
      <c r="K59" s="203"/>
      <c r="L59" s="203"/>
      <c r="M59" s="203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203" t="s">
        <v>184</v>
      </c>
      <c r="AA59" s="108"/>
      <c r="AB59" s="203"/>
      <c r="AC59" s="203"/>
      <c r="AD59" s="85"/>
      <c r="AE59" s="85"/>
      <c r="AF59" s="85"/>
      <c r="AG59" s="85"/>
      <c r="AH59" s="85"/>
      <c r="AI59" s="85"/>
      <c r="AJ59" s="85"/>
      <c r="AK59" s="85"/>
      <c r="AL59" s="85"/>
      <c r="AO59" s="85"/>
      <c r="AP59" s="85"/>
    </row>
    <row r="64" spans="4:42" x14ac:dyDescent="0.2">
      <c r="E64" s="4"/>
    </row>
  </sheetData>
  <mergeCells count="15">
    <mergeCell ref="B19:AC19"/>
    <mergeCell ref="A38:I38"/>
    <mergeCell ref="A1:AC1"/>
    <mergeCell ref="A2:AC2"/>
    <mergeCell ref="K5:M5"/>
    <mergeCell ref="P5:U5"/>
    <mergeCell ref="Y5:AA5"/>
    <mergeCell ref="B17:AC17"/>
    <mergeCell ref="B18:AC18"/>
    <mergeCell ref="B20:AC20"/>
    <mergeCell ref="B8:D8"/>
    <mergeCell ref="B3:AC3"/>
    <mergeCell ref="B29:AC29"/>
    <mergeCell ref="B30:AC30"/>
    <mergeCell ref="B31:AC31"/>
  </mergeCells>
  <pageMargins left="0.35433070866141736" right="0.15748031496062992" top="0.19685039370078741" bottom="0.31496062992125984" header="0.31496062992125984" footer="0.31496062992125984"/>
  <pageSetup scale="34" orientation="landscape" horizontalDpi="4294967293" verticalDpi="36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2"/>
  <sheetViews>
    <sheetView topLeftCell="B25" zoomScale="70" zoomScaleNormal="70" workbookViewId="0">
      <selection activeCell="D34" sqref="D34"/>
    </sheetView>
  </sheetViews>
  <sheetFormatPr baseColWidth="10" defaultColWidth="11.42578125" defaultRowHeight="12.75" x14ac:dyDescent="0.2"/>
  <cols>
    <col min="1" max="1" width="5.5703125" style="67" hidden="1" customWidth="1"/>
    <col min="2" max="2" width="10.5703125" style="67" customWidth="1"/>
    <col min="3" max="3" width="9" style="67" customWidth="1"/>
    <col min="4" max="4" width="31.140625" style="67" customWidth="1"/>
    <col min="5" max="5" width="24.28515625" style="67" customWidth="1"/>
    <col min="6" max="6" width="32.85546875" style="67" customWidth="1"/>
    <col min="7" max="7" width="16.28515625" style="67" customWidth="1"/>
    <col min="8" max="8" width="23" style="67" customWidth="1"/>
    <col min="9" max="10" width="11.28515625" style="67" hidden="1" customWidth="1"/>
    <col min="11" max="11" width="17.5703125" style="67" customWidth="1"/>
    <col min="12" max="12" width="17.7109375" style="67" bestFit="1" customWidth="1"/>
    <col min="13" max="13" width="18" style="67" customWidth="1"/>
    <col min="14" max="14" width="12.7109375" style="67" hidden="1" customWidth="1"/>
    <col min="15" max="15" width="13.140625" style="67" hidden="1" customWidth="1"/>
    <col min="16" max="16" width="14.42578125" style="67" hidden="1" customWidth="1"/>
    <col min="17" max="17" width="15" style="67" hidden="1" customWidth="1"/>
    <col min="18" max="18" width="11" style="67" hidden="1" customWidth="1"/>
    <col min="19" max="20" width="13.140625" style="67" hidden="1" customWidth="1"/>
    <col min="21" max="21" width="15.42578125" style="67" hidden="1" customWidth="1"/>
    <col min="22" max="22" width="10.42578125" style="67" hidden="1" customWidth="1"/>
    <col min="23" max="23" width="13.140625" style="67" hidden="1" customWidth="1"/>
    <col min="24" max="24" width="11.5703125" style="67" customWidth="1"/>
    <col min="25" max="25" width="15.5703125" style="67" customWidth="1"/>
    <col min="26" max="26" width="14.5703125" style="67" customWidth="1"/>
    <col min="27" max="27" width="15.85546875" style="67" customWidth="1"/>
    <col min="28" max="28" width="18" style="67" customWidth="1"/>
    <col min="29" max="29" width="111.85546875" style="67" customWidth="1"/>
    <col min="30" max="16384" width="11.42578125" style="67"/>
  </cols>
  <sheetData>
    <row r="1" spans="1:29" ht="18" x14ac:dyDescent="0.25">
      <c r="A1" s="460" t="s">
        <v>75</v>
      </c>
      <c r="B1" s="460"/>
      <c r="C1" s="460"/>
      <c r="D1" s="460"/>
      <c r="E1" s="460"/>
      <c r="F1" s="460"/>
      <c r="G1" s="460"/>
      <c r="H1" s="460"/>
      <c r="I1" s="460"/>
      <c r="J1" s="460"/>
      <c r="K1" s="460"/>
      <c r="L1" s="460"/>
      <c r="M1" s="460"/>
      <c r="N1" s="460"/>
      <c r="O1" s="460"/>
      <c r="P1" s="460"/>
      <c r="Q1" s="460"/>
      <c r="R1" s="460"/>
      <c r="S1" s="460"/>
      <c r="T1" s="460"/>
      <c r="U1" s="460"/>
      <c r="V1" s="460"/>
      <c r="W1" s="460"/>
      <c r="X1" s="460"/>
      <c r="Y1" s="460"/>
      <c r="Z1" s="460"/>
      <c r="AA1" s="460"/>
      <c r="AB1" s="460"/>
      <c r="AC1" s="460"/>
    </row>
    <row r="2" spans="1:29" ht="18" x14ac:dyDescent="0.25">
      <c r="A2" s="460" t="s">
        <v>64</v>
      </c>
      <c r="B2" s="460"/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  <c r="T2" s="460"/>
      <c r="U2" s="460"/>
      <c r="V2" s="460"/>
      <c r="W2" s="460"/>
      <c r="X2" s="460"/>
      <c r="Y2" s="460"/>
      <c r="Z2" s="460"/>
      <c r="AA2" s="460"/>
      <c r="AB2" s="460"/>
      <c r="AC2" s="460"/>
    </row>
    <row r="3" spans="1:29" ht="18" x14ac:dyDescent="0.25">
      <c r="A3" s="386"/>
      <c r="B3" s="460" t="str">
        <f>PRESIDENCIA!A3</f>
        <v>SUELDO  DEL 15 AL 30 DE SEPTIEMBRE DE 2026</v>
      </c>
      <c r="C3" s="460"/>
      <c r="D3" s="460"/>
      <c r="E3" s="460"/>
      <c r="F3" s="460"/>
      <c r="G3" s="460"/>
      <c r="H3" s="460"/>
      <c r="I3" s="460"/>
      <c r="J3" s="460"/>
      <c r="K3" s="460"/>
      <c r="L3" s="460"/>
      <c r="M3" s="460"/>
      <c r="N3" s="460"/>
      <c r="O3" s="460"/>
      <c r="P3" s="460"/>
      <c r="Q3" s="460"/>
      <c r="R3" s="460"/>
      <c r="S3" s="460"/>
      <c r="T3" s="460"/>
      <c r="U3" s="460"/>
      <c r="V3" s="460"/>
      <c r="W3" s="460"/>
      <c r="X3" s="460"/>
      <c r="Y3" s="460"/>
      <c r="Z3" s="460"/>
      <c r="AA3" s="460"/>
      <c r="AB3" s="460"/>
      <c r="AC3" s="460"/>
    </row>
    <row r="4" spans="1:29" ht="11.25" customHeight="1" x14ac:dyDescent="0.2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</row>
    <row r="5" spans="1:29" x14ac:dyDescent="0.2">
      <c r="A5" s="22"/>
      <c r="B5" s="22"/>
      <c r="C5" s="22"/>
      <c r="D5" s="22"/>
      <c r="E5" s="22"/>
      <c r="F5" s="22"/>
      <c r="G5" s="22"/>
      <c r="H5" s="22"/>
      <c r="I5" s="23" t="s">
        <v>22</v>
      </c>
      <c r="J5" s="348"/>
      <c r="K5" s="461" t="s">
        <v>1</v>
      </c>
      <c r="L5" s="462"/>
      <c r="M5" s="463"/>
      <c r="N5" s="24" t="s">
        <v>25</v>
      </c>
      <c r="O5" s="25"/>
      <c r="P5" s="464" t="s">
        <v>8</v>
      </c>
      <c r="Q5" s="465"/>
      <c r="R5" s="465"/>
      <c r="S5" s="465"/>
      <c r="T5" s="465"/>
      <c r="U5" s="466"/>
      <c r="V5" s="24" t="s">
        <v>29</v>
      </c>
      <c r="W5" s="24" t="s">
        <v>9</v>
      </c>
      <c r="X5" s="23" t="s">
        <v>52</v>
      </c>
      <c r="Y5" s="467" t="s">
        <v>2</v>
      </c>
      <c r="Z5" s="468"/>
      <c r="AA5" s="469"/>
      <c r="AB5" s="23" t="s">
        <v>0</v>
      </c>
      <c r="AC5" s="101"/>
    </row>
    <row r="6" spans="1:29" ht="32.25" customHeight="1" x14ac:dyDescent="0.2">
      <c r="A6" s="26" t="s">
        <v>20</v>
      </c>
      <c r="B6" s="45" t="s">
        <v>91</v>
      </c>
      <c r="C6" s="45" t="s">
        <v>106</v>
      </c>
      <c r="D6" s="26" t="s">
        <v>21</v>
      </c>
      <c r="E6" s="26"/>
      <c r="F6" s="26"/>
      <c r="G6" s="26"/>
      <c r="H6" s="26"/>
      <c r="I6" s="27" t="s">
        <v>23</v>
      </c>
      <c r="J6" s="27"/>
      <c r="K6" s="23" t="s">
        <v>5</v>
      </c>
      <c r="L6" s="23" t="s">
        <v>58</v>
      </c>
      <c r="M6" s="23" t="s">
        <v>27</v>
      </c>
      <c r="N6" s="28" t="s">
        <v>26</v>
      </c>
      <c r="O6" s="25" t="s">
        <v>31</v>
      </c>
      <c r="P6" s="25" t="s">
        <v>11</v>
      </c>
      <c r="Q6" s="25" t="s">
        <v>33</v>
      </c>
      <c r="R6" s="25" t="s">
        <v>35</v>
      </c>
      <c r="S6" s="25" t="s">
        <v>36</v>
      </c>
      <c r="T6" s="25" t="s">
        <v>13</v>
      </c>
      <c r="U6" s="25" t="s">
        <v>9</v>
      </c>
      <c r="V6" s="28" t="s">
        <v>39</v>
      </c>
      <c r="W6" s="28" t="s">
        <v>40</v>
      </c>
      <c r="X6" s="26" t="s">
        <v>30</v>
      </c>
      <c r="Y6" s="23" t="s">
        <v>227</v>
      </c>
      <c r="Z6" s="23" t="s">
        <v>56</v>
      </c>
      <c r="AA6" s="23" t="s">
        <v>6</v>
      </c>
      <c r="AB6" s="26" t="s">
        <v>3</v>
      </c>
      <c r="AC6" s="35" t="s">
        <v>57</v>
      </c>
    </row>
    <row r="7" spans="1:29" x14ac:dyDescent="0.2">
      <c r="A7" s="29"/>
      <c r="B7" s="26"/>
      <c r="C7" s="26"/>
      <c r="D7" s="26"/>
      <c r="E7" s="26"/>
      <c r="F7" s="26"/>
      <c r="G7" s="26"/>
      <c r="H7" s="26"/>
      <c r="I7" s="26"/>
      <c r="J7" s="26"/>
      <c r="K7" s="26" t="s">
        <v>46</v>
      </c>
      <c r="L7" s="26" t="s">
        <v>59</v>
      </c>
      <c r="M7" s="26" t="s">
        <v>28</v>
      </c>
      <c r="N7" s="28" t="s">
        <v>42</v>
      </c>
      <c r="O7" s="24" t="s">
        <v>32</v>
      </c>
      <c r="P7" s="24" t="s">
        <v>12</v>
      </c>
      <c r="Q7" s="24" t="s">
        <v>34</v>
      </c>
      <c r="R7" s="24" t="s">
        <v>34</v>
      </c>
      <c r="S7" s="24" t="s">
        <v>37</v>
      </c>
      <c r="T7" s="24" t="s">
        <v>14</v>
      </c>
      <c r="U7" s="24" t="s">
        <v>38</v>
      </c>
      <c r="V7" s="28" t="s">
        <v>18</v>
      </c>
      <c r="W7" s="31" t="s">
        <v>115</v>
      </c>
      <c r="X7" s="26" t="s">
        <v>51</v>
      </c>
      <c r="Y7" s="26"/>
      <c r="Z7" s="26"/>
      <c r="AA7" s="26" t="s">
        <v>43</v>
      </c>
      <c r="AB7" s="26" t="s">
        <v>4</v>
      </c>
      <c r="AC7" s="102"/>
    </row>
    <row r="8" spans="1:29" ht="42" customHeight="1" x14ac:dyDescent="0.3">
      <c r="A8" s="38"/>
      <c r="B8" s="504" t="s">
        <v>104</v>
      </c>
      <c r="C8" s="505"/>
      <c r="D8" s="506"/>
      <c r="E8" s="218" t="s">
        <v>92</v>
      </c>
      <c r="F8" s="218" t="s">
        <v>189</v>
      </c>
      <c r="G8" s="217" t="s">
        <v>229</v>
      </c>
      <c r="H8" s="218" t="s">
        <v>61</v>
      </c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96"/>
    </row>
    <row r="9" spans="1:29" s="352" customFormat="1" ht="193.5" customHeight="1" x14ac:dyDescent="0.2">
      <c r="A9" s="250" t="s">
        <v>80</v>
      </c>
      <c r="B9" s="267" t="s">
        <v>278</v>
      </c>
      <c r="C9" s="267" t="s">
        <v>105</v>
      </c>
      <c r="D9" s="350" t="s">
        <v>279</v>
      </c>
      <c r="E9" s="338" t="s">
        <v>280</v>
      </c>
      <c r="F9" s="338" t="s">
        <v>281</v>
      </c>
      <c r="G9" s="331">
        <v>45367</v>
      </c>
      <c r="H9" s="302" t="s">
        <v>66</v>
      </c>
      <c r="I9" s="257">
        <v>15</v>
      </c>
      <c r="J9" s="257">
        <f t="shared" ref="J9:J13" si="0">K9/I9</f>
        <v>975.9666666666667</v>
      </c>
      <c r="K9" s="278">
        <v>14639.5</v>
      </c>
      <c r="L9" s="278"/>
      <c r="M9" s="280">
        <f t="shared" ref="M9:M12" si="1">SUM(K9:L9)</f>
        <v>14639.5</v>
      </c>
      <c r="N9" s="281">
        <f>IF(K9/15&lt;=SMG,0,L9/2)</f>
        <v>0</v>
      </c>
      <c r="O9" s="296">
        <f>(K9+N9)/I9*30.4</f>
        <v>29669.386666666665</v>
      </c>
      <c r="P9" s="296">
        <f>VLOOKUP(O9,Tarifa,1)</f>
        <v>17533.650000000001</v>
      </c>
      <c r="Q9" s="281">
        <f>O9-P9</f>
        <v>12135.736666666664</v>
      </c>
      <c r="R9" s="282">
        <f>VLOOKUP(O9,Tarifa,3)</f>
        <v>0.21360000000000001</v>
      </c>
      <c r="S9" s="281">
        <f>Q9*R9</f>
        <v>2592.1933519999998</v>
      </c>
      <c r="T9" s="283">
        <f>VLOOKUP(O9,Tarifa,2)</f>
        <v>1856.84</v>
      </c>
      <c r="U9" s="281">
        <f>S9+T9</f>
        <v>4449.0333519999995</v>
      </c>
      <c r="V9" s="281">
        <f>VLOOKUP(O9,Credito,2)</f>
        <v>0</v>
      </c>
      <c r="W9" s="281">
        <f>ROUND((U9-V9)/30.4*I9,2)</f>
        <v>2195.25</v>
      </c>
      <c r="X9" s="280">
        <f>-IF(W9&gt;0,0,0)</f>
        <v>0</v>
      </c>
      <c r="Y9" s="280">
        <f>IF(K9/15&lt;=SMG,0,IF(W9&lt;0,0,W9))</f>
        <v>2195.25</v>
      </c>
      <c r="Z9" s="284">
        <v>0</v>
      </c>
      <c r="AA9" s="280">
        <f>SUM(Y9:Z9)</f>
        <v>2195.25</v>
      </c>
      <c r="AB9" s="261">
        <f>M9+X9-Y9</f>
        <v>12444.25</v>
      </c>
      <c r="AC9" s="351"/>
    </row>
    <row r="10" spans="1:29" s="265" customFormat="1" ht="193.5" customHeight="1" x14ac:dyDescent="0.2">
      <c r="A10" s="347"/>
      <c r="B10" s="267" t="s">
        <v>292</v>
      </c>
      <c r="C10" s="267" t="s">
        <v>105</v>
      </c>
      <c r="D10" s="353" t="s">
        <v>409</v>
      </c>
      <c r="E10" s="338" t="s">
        <v>293</v>
      </c>
      <c r="F10" s="263" t="s">
        <v>294</v>
      </c>
      <c r="G10" s="306">
        <v>45367</v>
      </c>
      <c r="H10" s="256" t="s">
        <v>77</v>
      </c>
      <c r="I10" s="257">
        <v>15</v>
      </c>
      <c r="J10" s="257">
        <f t="shared" si="0"/>
        <v>670.36666666666667</v>
      </c>
      <c r="K10" s="259">
        <v>10055.5</v>
      </c>
      <c r="L10" s="259"/>
      <c r="M10" s="280">
        <f t="shared" ref="M10" si="2">SUM(K10:L10)</f>
        <v>10055.5</v>
      </c>
      <c r="N10" s="363">
        <f t="shared" ref="N10" si="3">IF(K10/15&lt;=SMG,0,L10/2)</f>
        <v>0</v>
      </c>
      <c r="O10" s="363">
        <f t="shared" ref="O10" si="4">(K10+N10)/I10*30.4</f>
        <v>20379.146666666667</v>
      </c>
      <c r="P10" s="363">
        <f t="shared" ref="P10" si="5">VLOOKUP(O10,Tarifa,1)</f>
        <v>17533.650000000001</v>
      </c>
      <c r="Q10" s="363">
        <f t="shared" ref="Q10" si="6">O10-P10</f>
        <v>2845.496666666666</v>
      </c>
      <c r="R10" s="364">
        <f t="shared" ref="R10" si="7">VLOOKUP(O10,Tarifa,3)</f>
        <v>0.21360000000000001</v>
      </c>
      <c r="S10" s="363">
        <f t="shared" ref="S10" si="8">Q10*R10</f>
        <v>607.79808799999989</v>
      </c>
      <c r="T10" s="365">
        <f t="shared" ref="T10" si="9">VLOOKUP(O10,Tarifa,2)</f>
        <v>1856.84</v>
      </c>
      <c r="U10" s="363">
        <f t="shared" ref="U10" si="10">S10+T10</f>
        <v>2464.6380879999997</v>
      </c>
      <c r="V10" s="363">
        <f t="shared" ref="V10" si="11">VLOOKUP(O10,Credito,2)</f>
        <v>0</v>
      </c>
      <c r="W10" s="363">
        <f t="shared" ref="W10" si="12">ROUND((U10-V10)/30.4*I10,2)</f>
        <v>1216.0999999999999</v>
      </c>
      <c r="X10" s="261">
        <f>-IF(W10&gt;0,0,0)</f>
        <v>0</v>
      </c>
      <c r="Y10" s="261">
        <f t="shared" ref="Y10" si="13">IF(K10/15&lt;=SMG,0,IF(W10&lt;0,0,W10))</f>
        <v>1216.0999999999999</v>
      </c>
      <c r="Z10" s="262">
        <v>0</v>
      </c>
      <c r="AA10" s="261">
        <f t="shared" ref="AA10" si="14">SUM(Y10:Z10)</f>
        <v>1216.0999999999999</v>
      </c>
      <c r="AB10" s="261">
        <f t="shared" ref="AB10" si="15">M10+X10-AA10</f>
        <v>8839.4</v>
      </c>
      <c r="AC10" s="351"/>
    </row>
    <row r="11" spans="1:29" s="265" customFormat="1" ht="193.5" customHeight="1" x14ac:dyDescent="0.2">
      <c r="A11" s="347"/>
      <c r="B11" s="267" t="s">
        <v>96</v>
      </c>
      <c r="C11" s="267" t="s">
        <v>105</v>
      </c>
      <c r="D11" s="350" t="s">
        <v>79</v>
      </c>
      <c r="E11" s="263" t="s">
        <v>103</v>
      </c>
      <c r="F11" s="263" t="s">
        <v>192</v>
      </c>
      <c r="G11" s="306">
        <v>41898</v>
      </c>
      <c r="H11" s="256" t="s">
        <v>78</v>
      </c>
      <c r="I11" s="257">
        <v>15</v>
      </c>
      <c r="J11" s="257">
        <f t="shared" si="0"/>
        <v>555.29999999999995</v>
      </c>
      <c r="K11" s="259">
        <v>8329.5</v>
      </c>
      <c r="L11" s="259"/>
      <c r="M11" s="280">
        <f t="shared" si="1"/>
        <v>8329.5</v>
      </c>
      <c r="N11" s="281">
        <f t="shared" ref="N11" si="16">IF(K11/15&lt;=SMG,0,L11/2)</f>
        <v>0</v>
      </c>
      <c r="O11" s="296">
        <f t="shared" ref="O11" si="17">(K11+N11)/I11*30.4</f>
        <v>16881.12</v>
      </c>
      <c r="P11" s="296">
        <f t="shared" ref="P11" si="18">VLOOKUP(O11,Tarifa,1)</f>
        <v>14644.65</v>
      </c>
      <c r="Q11" s="281">
        <f t="shared" ref="Q11" si="19">O11-P11</f>
        <v>2236.4699999999993</v>
      </c>
      <c r="R11" s="282">
        <f t="shared" ref="R11" si="20">VLOOKUP(O11,Tarifa,3)</f>
        <v>0.1792</v>
      </c>
      <c r="S11" s="281">
        <f t="shared" ref="S11" si="21">Q11*R11</f>
        <v>400.77542399999987</v>
      </c>
      <c r="T11" s="283">
        <f t="shared" ref="T11" si="22">VLOOKUP(O11,Tarifa,2)</f>
        <v>1339.14</v>
      </c>
      <c r="U11" s="281">
        <f t="shared" ref="U11" si="23">S11+T11</f>
        <v>1739.915424</v>
      </c>
      <c r="V11" s="281">
        <f t="shared" ref="V11" si="24">VLOOKUP(O11,Credito,2)</f>
        <v>0</v>
      </c>
      <c r="W11" s="281">
        <f t="shared" ref="W11" si="25">ROUND((U11-V11)/30.4*I11,2)</f>
        <v>858.51</v>
      </c>
      <c r="X11" s="261">
        <f t="shared" ref="X11" si="26">-IF(W11&gt;0,0,0)</f>
        <v>0</v>
      </c>
      <c r="Y11" s="261">
        <f t="shared" ref="Y11:Y12" si="27">IF(K11/15&lt;=SMG,0,IF(W11&lt;0,0,W11))</f>
        <v>858.51</v>
      </c>
      <c r="Z11" s="262">
        <v>0</v>
      </c>
      <c r="AA11" s="261">
        <f t="shared" ref="AA11:AA12" si="28">SUM(Y11:Z11)</f>
        <v>858.51</v>
      </c>
      <c r="AB11" s="261">
        <f t="shared" ref="AB11:AB12" si="29">M11+X11-AA11</f>
        <v>7470.99</v>
      </c>
      <c r="AC11" s="351"/>
    </row>
    <row r="12" spans="1:29" s="265" customFormat="1" ht="200.25" customHeight="1" x14ac:dyDescent="0.2">
      <c r="A12" s="347"/>
      <c r="B12" s="267" t="s">
        <v>238</v>
      </c>
      <c r="C12" s="267" t="s">
        <v>105</v>
      </c>
      <c r="D12" s="353" t="s">
        <v>239</v>
      </c>
      <c r="E12" s="338" t="s">
        <v>240</v>
      </c>
      <c r="F12" s="263" t="s">
        <v>241</v>
      </c>
      <c r="G12" s="306">
        <v>45092</v>
      </c>
      <c r="H12" s="256" t="s">
        <v>211</v>
      </c>
      <c r="I12" s="257">
        <v>15</v>
      </c>
      <c r="J12" s="257">
        <f t="shared" si="0"/>
        <v>626.70000000000005</v>
      </c>
      <c r="K12" s="259">
        <v>9400.5</v>
      </c>
      <c r="L12" s="259"/>
      <c r="M12" s="280">
        <f t="shared" si="1"/>
        <v>9400.5</v>
      </c>
      <c r="N12" s="281">
        <f>IF(K12/15&lt;=SMG,0,L12/2)</f>
        <v>0</v>
      </c>
      <c r="O12" s="296">
        <f>(K12+N12)/I12*30.4</f>
        <v>19051.68</v>
      </c>
      <c r="P12" s="296">
        <f>VLOOKUP(O12,Tarifa,1)</f>
        <v>17533.650000000001</v>
      </c>
      <c r="Q12" s="281">
        <f>O12-P12</f>
        <v>1518.0299999999988</v>
      </c>
      <c r="R12" s="282">
        <f>VLOOKUP(O12,Tarifa,3)</f>
        <v>0.21360000000000001</v>
      </c>
      <c r="S12" s="281">
        <f>Q12*R12</f>
        <v>324.25120799999979</v>
      </c>
      <c r="T12" s="283">
        <f>VLOOKUP(O12,Tarifa,2)</f>
        <v>1856.84</v>
      </c>
      <c r="U12" s="281">
        <f>S12+T12</f>
        <v>2181.0912079999998</v>
      </c>
      <c r="V12" s="281">
        <f>VLOOKUP(O12,Credito,2)</f>
        <v>0</v>
      </c>
      <c r="W12" s="281">
        <f>ROUND((U12-V12)/30.4*I12,2)</f>
        <v>1076.2</v>
      </c>
      <c r="X12" s="261">
        <f t="shared" ref="X12" si="30">-IF(W12&gt;0,0,W12)</f>
        <v>0</v>
      </c>
      <c r="Y12" s="261">
        <f t="shared" si="27"/>
        <v>1076.2</v>
      </c>
      <c r="Z12" s="262">
        <v>0</v>
      </c>
      <c r="AA12" s="261">
        <f t="shared" si="28"/>
        <v>1076.2</v>
      </c>
      <c r="AB12" s="261">
        <f t="shared" si="29"/>
        <v>8324.2999999999993</v>
      </c>
      <c r="AC12" s="351"/>
    </row>
    <row r="13" spans="1:29" ht="203.25" customHeight="1" x14ac:dyDescent="0.25">
      <c r="A13" s="146"/>
      <c r="B13" s="267" t="s">
        <v>289</v>
      </c>
      <c r="C13" s="267" t="s">
        <v>105</v>
      </c>
      <c r="D13" s="353" t="s">
        <v>411</v>
      </c>
      <c r="E13" s="338" t="s">
        <v>290</v>
      </c>
      <c r="F13" s="263" t="s">
        <v>291</v>
      </c>
      <c r="G13" s="306">
        <v>45367</v>
      </c>
      <c r="H13" s="256" t="s">
        <v>211</v>
      </c>
      <c r="I13" s="257">
        <v>15</v>
      </c>
      <c r="J13" s="257">
        <f t="shared" si="0"/>
        <v>626.70000000000005</v>
      </c>
      <c r="K13" s="259">
        <v>9400.5</v>
      </c>
      <c r="L13" s="259"/>
      <c r="M13" s="280">
        <f t="shared" ref="M13" si="31">SUM(K13:L13)</f>
        <v>9400.5</v>
      </c>
      <c r="N13" s="281">
        <f>IF(K13/15&lt;=SMG,0,L13/2)</f>
        <v>0</v>
      </c>
      <c r="O13" s="296">
        <f>(K13+N13)/I13*30.4</f>
        <v>19051.68</v>
      </c>
      <c r="P13" s="296">
        <f>VLOOKUP(O13,Tarifa,1)</f>
        <v>17533.650000000001</v>
      </c>
      <c r="Q13" s="281">
        <f>O13-P13</f>
        <v>1518.0299999999988</v>
      </c>
      <c r="R13" s="282">
        <f>VLOOKUP(O13,Tarifa,3)</f>
        <v>0.21360000000000001</v>
      </c>
      <c r="S13" s="281">
        <f>Q13*R13</f>
        <v>324.25120799999979</v>
      </c>
      <c r="T13" s="283">
        <f>VLOOKUP(O13,Tarifa,2)</f>
        <v>1856.84</v>
      </c>
      <c r="U13" s="281">
        <f>S13+T13</f>
        <v>2181.0912079999998</v>
      </c>
      <c r="V13" s="281">
        <f>VLOOKUP(O13,Credito,2)</f>
        <v>0</v>
      </c>
      <c r="W13" s="281">
        <f>ROUND((U13-V13)/30.4*I13,2)</f>
        <v>1076.2</v>
      </c>
      <c r="X13" s="261">
        <f t="shared" ref="X13" si="32">-IF(W13&gt;0,0,W13)</f>
        <v>0</v>
      </c>
      <c r="Y13" s="261">
        <f t="shared" ref="Y13" si="33">IF(K13/15&lt;=SMG,0,IF(W13&lt;0,0,W13))</f>
        <v>1076.2</v>
      </c>
      <c r="Z13" s="262">
        <v>0</v>
      </c>
      <c r="AA13" s="261">
        <f t="shared" ref="AA13" si="34">SUM(Y13:Z13)</f>
        <v>1076.2</v>
      </c>
      <c r="AB13" s="261">
        <f t="shared" ref="AB13" si="35">M13+X13-AA13</f>
        <v>8324.2999999999993</v>
      </c>
      <c r="AC13" s="315"/>
    </row>
    <row r="14" spans="1:29" ht="203.25" customHeight="1" x14ac:dyDescent="0.25">
      <c r="A14" s="146"/>
      <c r="B14" s="267" t="s">
        <v>264</v>
      </c>
      <c r="C14" s="267" t="s">
        <v>105</v>
      </c>
      <c r="D14" s="353" t="s">
        <v>265</v>
      </c>
      <c r="E14" s="338" t="s">
        <v>268</v>
      </c>
      <c r="F14" s="263" t="s">
        <v>266</v>
      </c>
      <c r="G14" s="306">
        <v>45200</v>
      </c>
      <c r="H14" s="256" t="s">
        <v>78</v>
      </c>
      <c r="I14" s="257">
        <v>15</v>
      </c>
      <c r="J14" s="257">
        <f>K14/I14</f>
        <v>555.29999999999995</v>
      </c>
      <c r="K14" s="259">
        <v>8329.5</v>
      </c>
      <c r="L14" s="259"/>
      <c r="M14" s="261">
        <f>SUM(K14:L14)</f>
        <v>8329.5</v>
      </c>
      <c r="N14" s="281">
        <f>IF(K14/15&lt;=SMG,0,L14/2)</f>
        <v>0</v>
      </c>
      <c r="O14" s="296">
        <f>(K14+N14)/I14*30.4</f>
        <v>16881.12</v>
      </c>
      <c r="P14" s="296">
        <f>VLOOKUP(O14,Tarifa,1)</f>
        <v>14644.65</v>
      </c>
      <c r="Q14" s="281">
        <f>O14-P14</f>
        <v>2236.4699999999993</v>
      </c>
      <c r="R14" s="282">
        <f>VLOOKUP(O14,Tarifa,3)</f>
        <v>0.1792</v>
      </c>
      <c r="S14" s="281">
        <f>Q14*R14</f>
        <v>400.77542399999987</v>
      </c>
      <c r="T14" s="283">
        <f>VLOOKUP(O14,Tarifa,2)</f>
        <v>1339.14</v>
      </c>
      <c r="U14" s="281">
        <f>S14+T14</f>
        <v>1739.915424</v>
      </c>
      <c r="V14" s="281">
        <f>VLOOKUP(O14,Credito,2)</f>
        <v>0</v>
      </c>
      <c r="W14" s="281">
        <f>ROUND((U14-V14)/30.4*I14,2)</f>
        <v>858.51</v>
      </c>
      <c r="X14" s="261">
        <f>-IF(W14&gt;0,0,0)</f>
        <v>0</v>
      </c>
      <c r="Y14" s="261">
        <f>IF(K14/15&lt;=SMG,0,IF(W14&lt;0,0,W14))</f>
        <v>858.51</v>
      </c>
      <c r="Z14" s="262">
        <v>0</v>
      </c>
      <c r="AA14" s="261">
        <f>SUM(Y14:Z14)</f>
        <v>858.51</v>
      </c>
      <c r="AB14" s="261">
        <f>M14+X14-AA14</f>
        <v>7470.99</v>
      </c>
      <c r="AC14" s="315"/>
    </row>
    <row r="15" spans="1:29" ht="184.5" customHeight="1" x14ac:dyDescent="0.25">
      <c r="A15" s="146"/>
      <c r="B15" s="267" t="s">
        <v>322</v>
      </c>
      <c r="C15" s="267" t="s">
        <v>105</v>
      </c>
      <c r="D15" s="353" t="s">
        <v>323</v>
      </c>
      <c r="E15" s="338" t="s">
        <v>324</v>
      </c>
      <c r="F15" s="263" t="s">
        <v>325</v>
      </c>
      <c r="G15" s="306">
        <v>46188</v>
      </c>
      <c r="H15" s="256" t="s">
        <v>78</v>
      </c>
      <c r="I15" s="257">
        <v>15</v>
      </c>
      <c r="J15" s="257">
        <f>K15/I15</f>
        <v>555.29999999999995</v>
      </c>
      <c r="K15" s="259">
        <v>8329.5</v>
      </c>
      <c r="L15" s="259"/>
      <c r="M15" s="261">
        <f>SUM(K15:L15)</f>
        <v>8329.5</v>
      </c>
      <c r="N15" s="281">
        <f>IF(K15/15&lt;=SMG,0,L15/2)</f>
        <v>0</v>
      </c>
      <c r="O15" s="296">
        <f>(K15+N15)/I15*30.4</f>
        <v>16881.12</v>
      </c>
      <c r="P15" s="296">
        <f>VLOOKUP(O15,Tarifa,1)</f>
        <v>14644.65</v>
      </c>
      <c r="Q15" s="281">
        <f>O15-P15</f>
        <v>2236.4699999999993</v>
      </c>
      <c r="R15" s="282">
        <f>VLOOKUP(O15,Tarifa,3)</f>
        <v>0.1792</v>
      </c>
      <c r="S15" s="281">
        <f>Q15*R15</f>
        <v>400.77542399999987</v>
      </c>
      <c r="T15" s="283">
        <f>VLOOKUP(O15,Tarifa,2)</f>
        <v>1339.14</v>
      </c>
      <c r="U15" s="281">
        <f>S15+T15</f>
        <v>1739.915424</v>
      </c>
      <c r="V15" s="281">
        <f>VLOOKUP(O15,Credito,2)</f>
        <v>0</v>
      </c>
      <c r="W15" s="281">
        <f>ROUND((U15-V15)/30.4*I15,2)</f>
        <v>858.51</v>
      </c>
      <c r="X15" s="261">
        <f>-IF(W15&gt;0,0,0)</f>
        <v>0</v>
      </c>
      <c r="Y15" s="261">
        <f>IF(K15/15&lt;=SMG,0,IF(W15&lt;0,0,W15))</f>
        <v>858.51</v>
      </c>
      <c r="Z15" s="262">
        <v>0</v>
      </c>
      <c r="AA15" s="261">
        <f>SUM(Y15:Z15)</f>
        <v>858.51</v>
      </c>
      <c r="AB15" s="261">
        <f>M15+X15-AA15</f>
        <v>7470.99</v>
      </c>
      <c r="AC15" s="315"/>
    </row>
    <row r="16" spans="1:29" ht="184.5" customHeight="1" x14ac:dyDescent="0.25">
      <c r="A16" s="146"/>
      <c r="B16" s="267" t="s">
        <v>447</v>
      </c>
      <c r="C16" s="267" t="s">
        <v>105</v>
      </c>
      <c r="D16" s="353" t="s">
        <v>442</v>
      </c>
      <c r="E16" s="338" t="s">
        <v>453</v>
      </c>
      <c r="F16" s="263" t="s">
        <v>443</v>
      </c>
      <c r="G16" s="306">
        <v>45748</v>
      </c>
      <c r="H16" s="256" t="s">
        <v>211</v>
      </c>
      <c r="I16" s="257">
        <v>15</v>
      </c>
      <c r="J16" s="257">
        <f>K16/I16</f>
        <v>626.70000000000005</v>
      </c>
      <c r="K16" s="259">
        <v>9400.5</v>
      </c>
      <c r="L16" s="259"/>
      <c r="M16" s="280">
        <f t="shared" ref="M16" si="36">SUM(K16:L16)</f>
        <v>9400.5</v>
      </c>
      <c r="N16" s="281">
        <f>IF(K16/15&lt;=SMG,0,L16/2)</f>
        <v>0</v>
      </c>
      <c r="O16" s="296">
        <f>(K16+N16)/I16*30.4</f>
        <v>19051.68</v>
      </c>
      <c r="P16" s="296">
        <f>VLOOKUP(O16,Tarifa,1)</f>
        <v>17533.650000000001</v>
      </c>
      <c r="Q16" s="281">
        <f>O16-P16</f>
        <v>1518.0299999999988</v>
      </c>
      <c r="R16" s="282">
        <f>VLOOKUP(O16,Tarifa,3)</f>
        <v>0.21360000000000001</v>
      </c>
      <c r="S16" s="281">
        <f>Q16*R16</f>
        <v>324.25120799999979</v>
      </c>
      <c r="T16" s="283">
        <f>VLOOKUP(O16,Tarifa,2)</f>
        <v>1856.84</v>
      </c>
      <c r="U16" s="281">
        <f>S16+T16</f>
        <v>2181.0912079999998</v>
      </c>
      <c r="V16" s="281">
        <f>VLOOKUP(O16,Credito,2)</f>
        <v>0</v>
      </c>
      <c r="W16" s="281">
        <f>ROUND((U16-V16)/30.4*I16,2)</f>
        <v>1076.2</v>
      </c>
      <c r="X16" s="261">
        <f t="shared" ref="X16" si="37">-IF(W16&gt;0,0,W16)</f>
        <v>0</v>
      </c>
      <c r="Y16" s="261">
        <f>IF(K16/15&lt;=SMG,0,IF(W16&lt;0,0,W16))</f>
        <v>1076.2</v>
      </c>
      <c r="Z16" s="262">
        <v>0</v>
      </c>
      <c r="AA16" s="261">
        <f>SUM(Y16:Z16)</f>
        <v>1076.2</v>
      </c>
      <c r="AB16" s="261">
        <f>M16+X16-AA16</f>
        <v>8324.2999999999993</v>
      </c>
      <c r="AC16" s="315"/>
    </row>
    <row r="17" spans="1:29" ht="38.25" customHeight="1" x14ac:dyDescent="0.25">
      <c r="A17" s="146"/>
      <c r="B17" s="500" t="s">
        <v>303</v>
      </c>
      <c r="C17" s="501"/>
      <c r="D17" s="501"/>
      <c r="E17" s="501"/>
      <c r="F17" s="501"/>
      <c r="G17" s="501"/>
      <c r="H17" s="501"/>
      <c r="I17" s="501"/>
      <c r="J17" s="501"/>
      <c r="K17" s="501"/>
      <c r="L17" s="501"/>
      <c r="M17" s="501"/>
      <c r="N17" s="501"/>
      <c r="O17" s="501"/>
      <c r="P17" s="501"/>
      <c r="Q17" s="501"/>
      <c r="R17" s="501"/>
      <c r="S17" s="501"/>
      <c r="T17" s="501"/>
      <c r="U17" s="501"/>
      <c r="V17" s="501"/>
      <c r="W17" s="501"/>
      <c r="X17" s="501"/>
      <c r="Y17" s="501"/>
      <c r="Z17" s="501"/>
      <c r="AA17" s="501"/>
      <c r="AB17" s="501"/>
      <c r="AC17" s="501"/>
    </row>
    <row r="18" spans="1:29" ht="23.25" customHeight="1" x14ac:dyDescent="0.25">
      <c r="A18" s="146"/>
      <c r="B18" s="500" t="s">
        <v>304</v>
      </c>
      <c r="C18" s="501"/>
      <c r="D18" s="501"/>
      <c r="E18" s="501"/>
      <c r="F18" s="501"/>
      <c r="G18" s="501"/>
      <c r="H18" s="501"/>
      <c r="I18" s="501"/>
      <c r="J18" s="501"/>
      <c r="K18" s="501"/>
      <c r="L18" s="501"/>
      <c r="M18" s="501"/>
      <c r="N18" s="501"/>
      <c r="O18" s="501"/>
      <c r="P18" s="501"/>
      <c r="Q18" s="501"/>
      <c r="R18" s="501"/>
      <c r="S18" s="501"/>
      <c r="T18" s="501"/>
      <c r="U18" s="501"/>
      <c r="V18" s="501"/>
      <c r="W18" s="501"/>
      <c r="X18" s="501"/>
      <c r="Y18" s="501"/>
      <c r="Z18" s="501"/>
      <c r="AA18" s="501"/>
      <c r="AB18" s="501"/>
      <c r="AC18" s="501"/>
    </row>
    <row r="19" spans="1:29" ht="23.25" customHeight="1" x14ac:dyDescent="0.25">
      <c r="A19" s="146"/>
      <c r="B19" s="499" t="str">
        <f>PRESIDENCIA!A3</f>
        <v>SUELDO  DEL 15 AL 30 DE SEPTIEMBRE DE 2026</v>
      </c>
      <c r="C19" s="499"/>
      <c r="D19" s="499"/>
      <c r="E19" s="499"/>
      <c r="F19" s="499"/>
      <c r="G19" s="499"/>
      <c r="H19" s="499"/>
      <c r="I19" s="499"/>
      <c r="J19" s="499"/>
      <c r="K19" s="499"/>
      <c r="L19" s="499"/>
      <c r="M19" s="499"/>
      <c r="N19" s="499"/>
      <c r="O19" s="499"/>
      <c r="P19" s="499"/>
      <c r="Q19" s="499"/>
      <c r="R19" s="499"/>
      <c r="S19" s="499"/>
      <c r="T19" s="499"/>
      <c r="U19" s="499"/>
      <c r="V19" s="499"/>
      <c r="W19" s="499"/>
      <c r="X19" s="499"/>
      <c r="Y19" s="499"/>
      <c r="Z19" s="499"/>
      <c r="AA19" s="499"/>
      <c r="AB19" s="499"/>
      <c r="AC19" s="499"/>
    </row>
    <row r="20" spans="1:29" ht="20.25" customHeight="1" x14ac:dyDescent="0.25">
      <c r="A20" s="146"/>
      <c r="B20" s="502"/>
      <c r="C20" s="503"/>
      <c r="D20" s="503"/>
      <c r="E20" s="503"/>
      <c r="F20" s="503"/>
      <c r="G20" s="503"/>
      <c r="H20" s="503"/>
      <c r="I20" s="503"/>
      <c r="J20" s="503"/>
      <c r="K20" s="503"/>
      <c r="L20" s="503"/>
      <c r="M20" s="503"/>
      <c r="N20" s="503"/>
      <c r="O20" s="503"/>
      <c r="P20" s="503"/>
      <c r="Q20" s="503"/>
      <c r="R20" s="503"/>
      <c r="S20" s="503"/>
      <c r="T20" s="503"/>
      <c r="U20" s="503"/>
      <c r="V20" s="503"/>
      <c r="W20" s="503"/>
      <c r="X20" s="503"/>
      <c r="Y20" s="503"/>
      <c r="Z20" s="503"/>
      <c r="AA20" s="503"/>
      <c r="AB20" s="503"/>
      <c r="AC20" s="503"/>
    </row>
    <row r="21" spans="1:29" s="352" customFormat="1" ht="183" customHeight="1" x14ac:dyDescent="0.2">
      <c r="A21" s="347"/>
      <c r="B21" s="267" t="s">
        <v>448</v>
      </c>
      <c r="C21" s="267" t="s">
        <v>105</v>
      </c>
      <c r="D21" s="353" t="s">
        <v>444</v>
      </c>
      <c r="E21" s="338" t="s">
        <v>445</v>
      </c>
      <c r="F21" s="263" t="s">
        <v>446</v>
      </c>
      <c r="G21" s="306">
        <v>45704</v>
      </c>
      <c r="H21" s="256" t="s">
        <v>78</v>
      </c>
      <c r="I21" s="257">
        <v>15</v>
      </c>
      <c r="J21" s="257">
        <f t="shared" ref="J21:J25" si="38">K21/I21</f>
        <v>555.29999999999995</v>
      </c>
      <c r="K21" s="259">
        <v>8329.5</v>
      </c>
      <c r="L21" s="259"/>
      <c r="M21" s="261">
        <f t="shared" ref="M21:M25" si="39">SUM(K21:L21)</f>
        <v>8329.5</v>
      </c>
      <c r="N21" s="281">
        <f t="shared" ref="N21:N25" si="40">IF(K21/15&lt;=SMG,0,L21/2)</f>
        <v>0</v>
      </c>
      <c r="O21" s="296">
        <f t="shared" ref="O21:O25" si="41">(K21+N21)/I21*30.4</f>
        <v>16881.12</v>
      </c>
      <c r="P21" s="296">
        <f t="shared" ref="P21:P25" si="42">VLOOKUP(O21,Tarifa,1)</f>
        <v>14644.65</v>
      </c>
      <c r="Q21" s="281">
        <f t="shared" ref="Q21:Q25" si="43">O21-P21</f>
        <v>2236.4699999999993</v>
      </c>
      <c r="R21" s="282">
        <f t="shared" ref="R21:R25" si="44">VLOOKUP(O21,Tarifa,3)</f>
        <v>0.1792</v>
      </c>
      <c r="S21" s="281">
        <f t="shared" ref="S21:S25" si="45">Q21*R21</f>
        <v>400.77542399999987</v>
      </c>
      <c r="T21" s="283">
        <f t="shared" ref="T21:T25" si="46">VLOOKUP(O21,Tarifa,2)</f>
        <v>1339.14</v>
      </c>
      <c r="U21" s="281">
        <f t="shared" ref="U21:U25" si="47">S21+T21</f>
        <v>1739.915424</v>
      </c>
      <c r="V21" s="281">
        <f t="shared" ref="V21:V25" si="48">VLOOKUP(O21,Credito,2)</f>
        <v>0</v>
      </c>
      <c r="W21" s="281">
        <f t="shared" ref="W21:W25" si="49">ROUND((U21-V21)/30.4*I21,2)</f>
        <v>858.51</v>
      </c>
      <c r="X21" s="261">
        <f t="shared" ref="X21:X25" si="50">-IF(W21&gt;0,0,0)</f>
        <v>0</v>
      </c>
      <c r="Y21" s="261">
        <f t="shared" ref="Y21:Y25" si="51">IF(K21/15&lt;=SMG,0,IF(W21&lt;0,0,W21))</f>
        <v>858.51</v>
      </c>
      <c r="Z21" s="262">
        <v>0</v>
      </c>
      <c r="AA21" s="261">
        <f t="shared" ref="AA21:AA25" si="52">SUM(Y21:Z21)</f>
        <v>858.51</v>
      </c>
      <c r="AB21" s="261">
        <f t="shared" ref="AB21:AB25" si="53">M21+X21-AA21</f>
        <v>7470.99</v>
      </c>
      <c r="AC21" s="315"/>
    </row>
    <row r="22" spans="1:29" s="352" customFormat="1" ht="181.5" customHeight="1" x14ac:dyDescent="0.2">
      <c r="A22" s="347"/>
      <c r="B22" s="267" t="s">
        <v>451</v>
      </c>
      <c r="C22" s="267" t="s">
        <v>105</v>
      </c>
      <c r="D22" s="353" t="s">
        <v>452</v>
      </c>
      <c r="E22" s="338" t="s">
        <v>449</v>
      </c>
      <c r="F22" s="263" t="s">
        <v>450</v>
      </c>
      <c r="G22" s="306">
        <v>45717</v>
      </c>
      <c r="H22" s="256" t="s">
        <v>78</v>
      </c>
      <c r="I22" s="257">
        <v>15</v>
      </c>
      <c r="J22" s="257">
        <f t="shared" si="38"/>
        <v>555.29999999999995</v>
      </c>
      <c r="K22" s="259">
        <v>8329.5</v>
      </c>
      <c r="L22" s="259"/>
      <c r="M22" s="261">
        <f t="shared" si="39"/>
        <v>8329.5</v>
      </c>
      <c r="N22" s="281">
        <f t="shared" si="40"/>
        <v>0</v>
      </c>
      <c r="O22" s="296">
        <f t="shared" si="41"/>
        <v>16881.12</v>
      </c>
      <c r="P22" s="296">
        <f t="shared" si="42"/>
        <v>14644.65</v>
      </c>
      <c r="Q22" s="281">
        <f t="shared" si="43"/>
        <v>2236.4699999999993</v>
      </c>
      <c r="R22" s="282">
        <f t="shared" si="44"/>
        <v>0.1792</v>
      </c>
      <c r="S22" s="281">
        <f t="shared" si="45"/>
        <v>400.77542399999987</v>
      </c>
      <c r="T22" s="283">
        <f t="shared" si="46"/>
        <v>1339.14</v>
      </c>
      <c r="U22" s="281">
        <f t="shared" si="47"/>
        <v>1739.915424</v>
      </c>
      <c r="V22" s="281">
        <f t="shared" si="48"/>
        <v>0</v>
      </c>
      <c r="W22" s="281">
        <f t="shared" si="49"/>
        <v>858.51</v>
      </c>
      <c r="X22" s="261">
        <f t="shared" si="50"/>
        <v>0</v>
      </c>
      <c r="Y22" s="261">
        <f t="shared" si="51"/>
        <v>858.51</v>
      </c>
      <c r="Z22" s="262">
        <v>0</v>
      </c>
      <c r="AA22" s="261">
        <f t="shared" si="52"/>
        <v>858.51</v>
      </c>
      <c r="AB22" s="261">
        <f t="shared" si="53"/>
        <v>7470.99</v>
      </c>
      <c r="AC22" s="315"/>
    </row>
    <row r="23" spans="1:29" s="352" customFormat="1" ht="181.5" customHeight="1" x14ac:dyDescent="0.2">
      <c r="A23" s="347"/>
      <c r="B23" s="267" t="s">
        <v>512</v>
      </c>
      <c r="C23" s="267" t="s">
        <v>105</v>
      </c>
      <c r="D23" s="353" t="s">
        <v>522</v>
      </c>
      <c r="E23" s="338" t="s">
        <v>513</v>
      </c>
      <c r="F23" s="263" t="s">
        <v>514</v>
      </c>
      <c r="G23" s="306">
        <v>45884</v>
      </c>
      <c r="H23" s="256" t="s">
        <v>78</v>
      </c>
      <c r="I23" s="257">
        <v>15</v>
      </c>
      <c r="J23" s="257">
        <f t="shared" si="38"/>
        <v>555.29999999999995</v>
      </c>
      <c r="K23" s="259">
        <v>8329.5</v>
      </c>
      <c r="L23" s="259"/>
      <c r="M23" s="261">
        <f t="shared" si="39"/>
        <v>8329.5</v>
      </c>
      <c r="N23" s="281">
        <f t="shared" si="40"/>
        <v>0</v>
      </c>
      <c r="O23" s="296">
        <f t="shared" si="41"/>
        <v>16881.12</v>
      </c>
      <c r="P23" s="296">
        <f t="shared" si="42"/>
        <v>14644.65</v>
      </c>
      <c r="Q23" s="281">
        <f t="shared" si="43"/>
        <v>2236.4699999999993</v>
      </c>
      <c r="R23" s="282">
        <f t="shared" si="44"/>
        <v>0.1792</v>
      </c>
      <c r="S23" s="281">
        <f t="shared" si="45"/>
        <v>400.77542399999987</v>
      </c>
      <c r="T23" s="283">
        <f t="shared" si="46"/>
        <v>1339.14</v>
      </c>
      <c r="U23" s="281">
        <f t="shared" si="47"/>
        <v>1739.915424</v>
      </c>
      <c r="V23" s="281">
        <f t="shared" si="48"/>
        <v>0</v>
      </c>
      <c r="W23" s="281">
        <f t="shared" si="49"/>
        <v>858.51</v>
      </c>
      <c r="X23" s="261">
        <f t="shared" si="50"/>
        <v>0</v>
      </c>
      <c r="Y23" s="261">
        <f t="shared" si="51"/>
        <v>858.51</v>
      </c>
      <c r="Z23" s="262">
        <v>0</v>
      </c>
      <c r="AA23" s="261">
        <f t="shared" si="52"/>
        <v>858.51</v>
      </c>
      <c r="AB23" s="261">
        <f t="shared" si="53"/>
        <v>7470.99</v>
      </c>
      <c r="AC23" s="315"/>
    </row>
    <row r="24" spans="1:29" s="352" customFormat="1" ht="181.5" customHeight="1" x14ac:dyDescent="0.2">
      <c r="A24" s="347"/>
      <c r="B24" s="267" t="s">
        <v>524</v>
      </c>
      <c r="C24" s="267" t="s">
        <v>105</v>
      </c>
      <c r="D24" s="353" t="s">
        <v>525</v>
      </c>
      <c r="E24" s="338" t="s">
        <v>526</v>
      </c>
      <c r="F24" s="263" t="s">
        <v>527</v>
      </c>
      <c r="G24" s="306">
        <v>45901</v>
      </c>
      <c r="H24" s="256" t="s">
        <v>78</v>
      </c>
      <c r="I24" s="257">
        <v>15</v>
      </c>
      <c r="J24" s="257">
        <f t="shared" si="38"/>
        <v>555.29999999999995</v>
      </c>
      <c r="K24" s="259">
        <v>8329.5</v>
      </c>
      <c r="L24" s="259"/>
      <c r="M24" s="261">
        <f t="shared" si="39"/>
        <v>8329.5</v>
      </c>
      <c r="N24" s="281">
        <f t="shared" si="40"/>
        <v>0</v>
      </c>
      <c r="O24" s="296">
        <f t="shared" si="41"/>
        <v>16881.12</v>
      </c>
      <c r="P24" s="296">
        <f t="shared" si="42"/>
        <v>14644.65</v>
      </c>
      <c r="Q24" s="281">
        <f t="shared" si="43"/>
        <v>2236.4699999999993</v>
      </c>
      <c r="R24" s="282">
        <f t="shared" si="44"/>
        <v>0.1792</v>
      </c>
      <c r="S24" s="281">
        <f t="shared" si="45"/>
        <v>400.77542399999987</v>
      </c>
      <c r="T24" s="283">
        <f t="shared" si="46"/>
        <v>1339.14</v>
      </c>
      <c r="U24" s="281">
        <f t="shared" si="47"/>
        <v>1739.915424</v>
      </c>
      <c r="V24" s="281">
        <f t="shared" si="48"/>
        <v>0</v>
      </c>
      <c r="W24" s="281">
        <f t="shared" si="49"/>
        <v>858.51</v>
      </c>
      <c r="X24" s="261">
        <f t="shared" si="50"/>
        <v>0</v>
      </c>
      <c r="Y24" s="261">
        <f t="shared" si="51"/>
        <v>858.51</v>
      </c>
      <c r="Z24" s="262">
        <v>0</v>
      </c>
      <c r="AA24" s="261">
        <f t="shared" si="52"/>
        <v>858.51</v>
      </c>
      <c r="AB24" s="261">
        <f t="shared" si="53"/>
        <v>7470.99</v>
      </c>
      <c r="AC24" s="315"/>
    </row>
    <row r="25" spans="1:29" s="352" customFormat="1" ht="181.5" customHeight="1" x14ac:dyDescent="0.2">
      <c r="A25" s="347"/>
      <c r="B25" s="267" t="s">
        <v>528</v>
      </c>
      <c r="C25" s="267" t="s">
        <v>105</v>
      </c>
      <c r="D25" s="353" t="s">
        <v>529</v>
      </c>
      <c r="E25" s="338" t="s">
        <v>531</v>
      </c>
      <c r="F25" s="263" t="s">
        <v>530</v>
      </c>
      <c r="G25" s="306">
        <v>45916</v>
      </c>
      <c r="H25" s="256" t="s">
        <v>78</v>
      </c>
      <c r="I25" s="257">
        <v>15</v>
      </c>
      <c r="J25" s="257">
        <f t="shared" si="38"/>
        <v>555.29999999999995</v>
      </c>
      <c r="K25" s="259">
        <v>8329.5</v>
      </c>
      <c r="L25" s="259"/>
      <c r="M25" s="261">
        <f t="shared" si="39"/>
        <v>8329.5</v>
      </c>
      <c r="N25" s="281">
        <f t="shared" si="40"/>
        <v>0</v>
      </c>
      <c r="O25" s="296">
        <f t="shared" si="41"/>
        <v>16881.12</v>
      </c>
      <c r="P25" s="296">
        <f t="shared" si="42"/>
        <v>14644.65</v>
      </c>
      <c r="Q25" s="281">
        <f t="shared" si="43"/>
        <v>2236.4699999999993</v>
      </c>
      <c r="R25" s="282">
        <f t="shared" si="44"/>
        <v>0.1792</v>
      </c>
      <c r="S25" s="281">
        <f t="shared" si="45"/>
        <v>400.77542399999987</v>
      </c>
      <c r="T25" s="283">
        <f t="shared" si="46"/>
        <v>1339.14</v>
      </c>
      <c r="U25" s="281">
        <f t="shared" si="47"/>
        <v>1739.915424</v>
      </c>
      <c r="V25" s="281">
        <f t="shared" si="48"/>
        <v>0</v>
      </c>
      <c r="W25" s="281">
        <f t="shared" si="49"/>
        <v>858.51</v>
      </c>
      <c r="X25" s="261">
        <f t="shared" si="50"/>
        <v>0</v>
      </c>
      <c r="Y25" s="261">
        <f t="shared" si="51"/>
        <v>858.51</v>
      </c>
      <c r="Z25" s="262">
        <v>0</v>
      </c>
      <c r="AA25" s="261">
        <f t="shared" si="52"/>
        <v>858.51</v>
      </c>
      <c r="AB25" s="261">
        <f t="shared" si="53"/>
        <v>7470.99</v>
      </c>
      <c r="AC25" s="315"/>
    </row>
    <row r="26" spans="1:29" s="352" customFormat="1" ht="181.5" customHeight="1" x14ac:dyDescent="0.2">
      <c r="A26" s="347"/>
      <c r="B26" s="267" t="s">
        <v>608</v>
      </c>
      <c r="C26" s="267" t="s">
        <v>105</v>
      </c>
      <c r="D26" s="353" t="s">
        <v>602</v>
      </c>
      <c r="E26" s="338" t="s">
        <v>603</v>
      </c>
      <c r="F26" s="263" t="s">
        <v>604</v>
      </c>
      <c r="G26" s="306">
        <v>46235</v>
      </c>
      <c r="H26" s="256" t="s">
        <v>78</v>
      </c>
      <c r="I26" s="257">
        <v>15</v>
      </c>
      <c r="J26" s="257">
        <f t="shared" ref="J26" si="54">K26/I26</f>
        <v>555.29999999999995</v>
      </c>
      <c r="K26" s="259">
        <v>8329.5</v>
      </c>
      <c r="L26" s="259"/>
      <c r="M26" s="261">
        <f t="shared" ref="M26" si="55">SUM(K26:L26)</f>
        <v>8329.5</v>
      </c>
      <c r="N26" s="281">
        <f t="shared" ref="N26" si="56">IF(K26/15&lt;=SMG,0,L26/2)</f>
        <v>0</v>
      </c>
      <c r="O26" s="296">
        <f t="shared" ref="O26" si="57">(K26+N26)/I26*30.4</f>
        <v>16881.12</v>
      </c>
      <c r="P26" s="296">
        <f t="shared" ref="P26" si="58">VLOOKUP(O26,Tarifa,1)</f>
        <v>14644.65</v>
      </c>
      <c r="Q26" s="281">
        <f t="shared" ref="Q26" si="59">O26-P26</f>
        <v>2236.4699999999993</v>
      </c>
      <c r="R26" s="282">
        <f t="shared" ref="R26" si="60">VLOOKUP(O26,Tarifa,3)</f>
        <v>0.1792</v>
      </c>
      <c r="S26" s="281">
        <f t="shared" ref="S26" si="61">Q26*R26</f>
        <v>400.77542399999987</v>
      </c>
      <c r="T26" s="283">
        <f t="shared" ref="T26" si="62">VLOOKUP(O26,Tarifa,2)</f>
        <v>1339.14</v>
      </c>
      <c r="U26" s="281">
        <f t="shared" ref="U26" si="63">S26+T26</f>
        <v>1739.915424</v>
      </c>
      <c r="V26" s="281">
        <f t="shared" ref="V26" si="64">VLOOKUP(O26,Credito,2)</f>
        <v>0</v>
      </c>
      <c r="W26" s="281">
        <f t="shared" ref="W26" si="65">ROUND((U26-V26)/30.4*I26,2)</f>
        <v>858.51</v>
      </c>
      <c r="X26" s="261">
        <f t="shared" ref="X26" si="66">-IF(W26&gt;0,0,0)</f>
        <v>0</v>
      </c>
      <c r="Y26" s="261">
        <f t="shared" ref="Y26" si="67">IF(K26/15&lt;=SMG,0,IF(W26&lt;0,0,W26))</f>
        <v>858.51</v>
      </c>
      <c r="Z26" s="262">
        <v>0</v>
      </c>
      <c r="AA26" s="261">
        <f t="shared" ref="AA26" si="68">SUM(Y26:Z26)</f>
        <v>858.51</v>
      </c>
      <c r="AB26" s="261">
        <f t="shared" ref="AB26" si="69">M26+X26-AA26</f>
        <v>7470.99</v>
      </c>
      <c r="AC26" s="315"/>
    </row>
    <row r="27" spans="1:29" s="352" customFormat="1" ht="201" customHeight="1" x14ac:dyDescent="0.2">
      <c r="A27" s="347"/>
      <c r="B27" s="267" t="s">
        <v>615</v>
      </c>
      <c r="C27" s="267" t="s">
        <v>105</v>
      </c>
      <c r="D27" s="353" t="s">
        <v>616</v>
      </c>
      <c r="E27" s="338" t="s">
        <v>617</v>
      </c>
      <c r="F27" s="263" t="s">
        <v>618</v>
      </c>
      <c r="G27" s="306">
        <v>46235</v>
      </c>
      <c r="H27" s="256" t="s">
        <v>78</v>
      </c>
      <c r="I27" s="257">
        <v>15</v>
      </c>
      <c r="J27" s="257">
        <f t="shared" ref="J27" si="70">K27/I27</f>
        <v>555.29999999999995</v>
      </c>
      <c r="K27" s="259">
        <v>8329.5</v>
      </c>
      <c r="L27" s="259"/>
      <c r="M27" s="261">
        <f t="shared" ref="M27" si="71">SUM(K27:L27)</f>
        <v>8329.5</v>
      </c>
      <c r="N27" s="281">
        <f t="shared" ref="N27" si="72">IF(K27/15&lt;=SMG,0,L27/2)</f>
        <v>0</v>
      </c>
      <c r="O27" s="296">
        <f t="shared" ref="O27" si="73">(K27+N27)/I27*30.4</f>
        <v>16881.12</v>
      </c>
      <c r="P27" s="296">
        <f t="shared" ref="P27" si="74">VLOOKUP(O27,Tarifa,1)</f>
        <v>14644.65</v>
      </c>
      <c r="Q27" s="281">
        <f t="shared" ref="Q27" si="75">O27-P27</f>
        <v>2236.4699999999993</v>
      </c>
      <c r="R27" s="282">
        <f t="shared" ref="R27" si="76">VLOOKUP(O27,Tarifa,3)</f>
        <v>0.1792</v>
      </c>
      <c r="S27" s="281">
        <f t="shared" ref="S27" si="77">Q27*R27</f>
        <v>400.77542399999987</v>
      </c>
      <c r="T27" s="283">
        <f t="shared" ref="T27" si="78">VLOOKUP(O27,Tarifa,2)</f>
        <v>1339.14</v>
      </c>
      <c r="U27" s="281">
        <f t="shared" ref="U27" si="79">S27+T27</f>
        <v>1739.915424</v>
      </c>
      <c r="V27" s="281">
        <f t="shared" ref="V27" si="80">VLOOKUP(O27,Credito,2)</f>
        <v>0</v>
      </c>
      <c r="W27" s="281">
        <f t="shared" ref="W27" si="81">ROUND((U27-V27)/30.4*I27,2)</f>
        <v>858.51</v>
      </c>
      <c r="X27" s="261">
        <f t="shared" ref="X27" si="82">-IF(W27&gt;0,0,0)</f>
        <v>0</v>
      </c>
      <c r="Y27" s="261">
        <f t="shared" ref="Y27" si="83">IF(K27/15&lt;=SMG,0,IF(W27&lt;0,0,W27))</f>
        <v>858.51</v>
      </c>
      <c r="Z27" s="262">
        <v>0</v>
      </c>
      <c r="AA27" s="261">
        <f t="shared" ref="AA27" si="84">SUM(Y27:Z27)</f>
        <v>858.51</v>
      </c>
      <c r="AB27" s="261">
        <f t="shared" ref="AB27" si="85">M27+X27-AA27</f>
        <v>7470.99</v>
      </c>
      <c r="AC27" s="315"/>
    </row>
    <row r="28" spans="1:29" s="352" customFormat="1" ht="201" customHeight="1" x14ac:dyDescent="0.2">
      <c r="A28" s="347"/>
      <c r="B28" s="267" t="s">
        <v>609</v>
      </c>
      <c r="C28" s="267" t="s">
        <v>105</v>
      </c>
      <c r="D28" s="353" t="s">
        <v>605</v>
      </c>
      <c r="E28" s="338" t="s">
        <v>606</v>
      </c>
      <c r="F28" s="263" t="s">
        <v>607</v>
      </c>
      <c r="G28" s="306">
        <v>46235</v>
      </c>
      <c r="H28" s="256" t="s">
        <v>78</v>
      </c>
      <c r="I28" s="257">
        <v>15</v>
      </c>
      <c r="J28" s="257">
        <f t="shared" ref="J28" si="86">K28/I28</f>
        <v>555.29999999999995</v>
      </c>
      <c r="K28" s="259">
        <v>8329.5</v>
      </c>
      <c r="L28" s="259"/>
      <c r="M28" s="261">
        <f t="shared" ref="M28" si="87">SUM(K28:L28)</f>
        <v>8329.5</v>
      </c>
      <c r="N28" s="281">
        <f t="shared" ref="N28" si="88">IF(K28/15&lt;=SMG,0,L28/2)</f>
        <v>0</v>
      </c>
      <c r="O28" s="296">
        <f t="shared" ref="O28" si="89">(K28+N28)/I28*30.4</f>
        <v>16881.12</v>
      </c>
      <c r="P28" s="296">
        <f t="shared" ref="P28" si="90">VLOOKUP(O28,Tarifa,1)</f>
        <v>14644.65</v>
      </c>
      <c r="Q28" s="281">
        <f t="shared" ref="Q28" si="91">O28-P28</f>
        <v>2236.4699999999993</v>
      </c>
      <c r="R28" s="282">
        <f t="shared" ref="R28" si="92">VLOOKUP(O28,Tarifa,3)</f>
        <v>0.1792</v>
      </c>
      <c r="S28" s="281">
        <f t="shared" ref="S28" si="93">Q28*R28</f>
        <v>400.77542399999987</v>
      </c>
      <c r="T28" s="283">
        <f t="shared" ref="T28" si="94">VLOOKUP(O28,Tarifa,2)</f>
        <v>1339.14</v>
      </c>
      <c r="U28" s="281">
        <f t="shared" ref="U28" si="95">S28+T28</f>
        <v>1739.915424</v>
      </c>
      <c r="V28" s="281">
        <f t="shared" ref="V28" si="96">VLOOKUP(O28,Credito,2)</f>
        <v>0</v>
      </c>
      <c r="W28" s="281">
        <f t="shared" ref="W28" si="97">ROUND((U28-V28)/30.4*I28,2)</f>
        <v>858.51</v>
      </c>
      <c r="X28" s="261">
        <f t="shared" ref="X28" si="98">-IF(W28&gt;0,0,0)</f>
        <v>0</v>
      </c>
      <c r="Y28" s="261">
        <f t="shared" ref="Y28" si="99">IF(K28/15&lt;=SMG,0,IF(W28&lt;0,0,W28))</f>
        <v>858.51</v>
      </c>
      <c r="Z28" s="262">
        <v>0</v>
      </c>
      <c r="AA28" s="261">
        <f t="shared" ref="AA28" si="100">SUM(Y28:Z28)</f>
        <v>858.51</v>
      </c>
      <c r="AB28" s="261">
        <f t="shared" ref="AB28" si="101">M28+X28-AA28</f>
        <v>7470.99</v>
      </c>
      <c r="AC28" s="315"/>
    </row>
    <row r="29" spans="1:29" s="352" customFormat="1" ht="149.25" customHeight="1" x14ac:dyDescent="0.25">
      <c r="A29" s="347"/>
      <c r="B29" s="500" t="s">
        <v>303</v>
      </c>
      <c r="C29" s="501"/>
      <c r="D29" s="501"/>
      <c r="E29" s="501"/>
      <c r="F29" s="501"/>
      <c r="G29" s="501"/>
      <c r="H29" s="501"/>
      <c r="I29" s="501"/>
      <c r="J29" s="501"/>
      <c r="K29" s="501"/>
      <c r="L29" s="501"/>
      <c r="M29" s="501"/>
      <c r="N29" s="501"/>
      <c r="O29" s="501"/>
      <c r="P29" s="501"/>
      <c r="Q29" s="501"/>
      <c r="R29" s="501"/>
      <c r="S29" s="501"/>
      <c r="T29" s="501"/>
      <c r="U29" s="501"/>
      <c r="V29" s="501"/>
      <c r="W29" s="501"/>
      <c r="X29" s="501"/>
      <c r="Y29" s="501"/>
      <c r="Z29" s="501"/>
      <c r="AA29" s="501"/>
      <c r="AB29" s="501"/>
      <c r="AC29" s="501"/>
    </row>
    <row r="30" spans="1:29" s="352" customFormat="1" ht="18" x14ac:dyDescent="0.25">
      <c r="A30" s="347"/>
      <c r="B30" s="500" t="s">
        <v>304</v>
      </c>
      <c r="C30" s="501"/>
      <c r="D30" s="501"/>
      <c r="E30" s="501"/>
      <c r="F30" s="501"/>
      <c r="G30" s="501"/>
      <c r="H30" s="501"/>
      <c r="I30" s="501"/>
      <c r="J30" s="501"/>
      <c r="K30" s="501"/>
      <c r="L30" s="501"/>
      <c r="M30" s="501"/>
      <c r="N30" s="501"/>
      <c r="O30" s="501"/>
      <c r="P30" s="501"/>
      <c r="Q30" s="501"/>
      <c r="R30" s="501"/>
      <c r="S30" s="501"/>
      <c r="T30" s="501"/>
      <c r="U30" s="501"/>
      <c r="V30" s="501"/>
      <c r="W30" s="501"/>
      <c r="X30" s="501"/>
      <c r="Y30" s="501"/>
      <c r="Z30" s="501"/>
      <c r="AA30" s="501"/>
      <c r="AB30" s="501"/>
      <c r="AC30" s="501"/>
    </row>
    <row r="31" spans="1:29" s="399" customFormat="1" ht="32.25" customHeight="1" x14ac:dyDescent="0.2">
      <c r="A31" s="398"/>
      <c r="B31" s="507" t="str">
        <f>B19</f>
        <v>SUELDO  DEL 15 AL 30 DE SEPTIEMBRE DE 2026</v>
      </c>
      <c r="C31" s="507"/>
      <c r="D31" s="507"/>
      <c r="E31" s="507"/>
      <c r="F31" s="507"/>
      <c r="G31" s="507"/>
      <c r="H31" s="507"/>
      <c r="I31" s="507"/>
      <c r="J31" s="507"/>
      <c r="K31" s="507"/>
      <c r="L31" s="507"/>
      <c r="M31" s="507"/>
      <c r="N31" s="507"/>
      <c r="O31" s="507"/>
      <c r="P31" s="507"/>
      <c r="Q31" s="507"/>
      <c r="R31" s="507"/>
      <c r="S31" s="507"/>
      <c r="T31" s="507"/>
      <c r="U31" s="507"/>
      <c r="V31" s="507"/>
      <c r="W31" s="507"/>
      <c r="X31" s="507"/>
      <c r="Y31" s="507"/>
      <c r="Z31" s="507"/>
      <c r="AA31" s="507"/>
      <c r="AB31" s="507"/>
      <c r="AC31" s="507"/>
    </row>
    <row r="32" spans="1:29" s="399" customFormat="1" ht="183.75" customHeight="1" x14ac:dyDescent="0.2">
      <c r="A32" s="398"/>
      <c r="B32" s="267" t="s">
        <v>579</v>
      </c>
      <c r="C32" s="267" t="s">
        <v>105</v>
      </c>
      <c r="D32" s="353" t="s">
        <v>580</v>
      </c>
      <c r="E32" s="338" t="s">
        <v>581</v>
      </c>
      <c r="F32" s="263" t="s">
        <v>582</v>
      </c>
      <c r="G32" s="306">
        <v>46150</v>
      </c>
      <c r="H32" s="256" t="s">
        <v>78</v>
      </c>
      <c r="I32" s="257">
        <v>15</v>
      </c>
      <c r="J32" s="257">
        <f>K32/I32</f>
        <v>555.29999999999995</v>
      </c>
      <c r="K32" s="259">
        <v>8329.5</v>
      </c>
      <c r="L32" s="259"/>
      <c r="M32" s="261">
        <f>SUM(K32:L32)</f>
        <v>8329.5</v>
      </c>
      <c r="N32" s="281">
        <f>IF(K32/15&lt;=SMG,0,L32/2)</f>
        <v>0</v>
      </c>
      <c r="O32" s="296">
        <f>(K32+N32)/I32*30.4</f>
        <v>16881.12</v>
      </c>
      <c r="P32" s="296">
        <f>VLOOKUP(O32,Tarifa,1)</f>
        <v>14644.65</v>
      </c>
      <c r="Q32" s="281">
        <f>O32-P32</f>
        <v>2236.4699999999993</v>
      </c>
      <c r="R32" s="282">
        <f>VLOOKUP(O32,Tarifa,3)</f>
        <v>0.1792</v>
      </c>
      <c r="S32" s="281">
        <f>Q32*R32</f>
        <v>400.77542399999987</v>
      </c>
      <c r="T32" s="283">
        <f>VLOOKUP(O32,Tarifa,2)</f>
        <v>1339.14</v>
      </c>
      <c r="U32" s="281">
        <f>S32+T32</f>
        <v>1739.915424</v>
      </c>
      <c r="V32" s="281">
        <f>VLOOKUP(O32,Credito,2)</f>
        <v>0</v>
      </c>
      <c r="W32" s="281">
        <f>ROUND((U32-V32)/30.4*I32,2)</f>
        <v>858.51</v>
      </c>
      <c r="X32" s="261">
        <f>-IF(W32&gt;0,0,0)</f>
        <v>0</v>
      </c>
      <c r="Y32" s="261">
        <f>IF(K32/15&lt;=SMG,0,IF(W32&lt;0,0,W32))</f>
        <v>858.51</v>
      </c>
      <c r="Z32" s="262">
        <v>0</v>
      </c>
      <c r="AA32" s="261">
        <f>SUM(Y32:Z32)</f>
        <v>858.51</v>
      </c>
      <c r="AB32" s="261">
        <f>M32+X32-AA32</f>
        <v>7470.99</v>
      </c>
      <c r="AC32" s="315"/>
    </row>
    <row r="33" spans="1:29" s="352" customFormat="1" ht="195" customHeight="1" x14ac:dyDescent="0.2">
      <c r="A33" s="347"/>
      <c r="B33" s="267" t="s">
        <v>586</v>
      </c>
      <c r="C33" s="267" t="s">
        <v>105</v>
      </c>
      <c r="D33" s="353" t="s">
        <v>583</v>
      </c>
      <c r="E33" s="338" t="s">
        <v>584</v>
      </c>
      <c r="F33" s="263" t="s">
        <v>585</v>
      </c>
      <c r="G33" s="306">
        <v>46143</v>
      </c>
      <c r="H33" s="256" t="s">
        <v>78</v>
      </c>
      <c r="I33" s="257">
        <v>15</v>
      </c>
      <c r="J33" s="257">
        <f t="shared" ref="J33" si="102">K33/I33</f>
        <v>555.29999999999995</v>
      </c>
      <c r="K33" s="259">
        <v>8329.5</v>
      </c>
      <c r="L33" s="259"/>
      <c r="M33" s="261">
        <f t="shared" ref="M33" si="103">SUM(K33:L33)</f>
        <v>8329.5</v>
      </c>
      <c r="N33" s="281">
        <f t="shared" ref="N33" si="104">IF(K33/15&lt;=SMG,0,L33/2)</f>
        <v>0</v>
      </c>
      <c r="O33" s="296">
        <f t="shared" ref="O33" si="105">(K33+N33)/I33*30.4</f>
        <v>16881.12</v>
      </c>
      <c r="P33" s="296">
        <f t="shared" ref="P33" si="106">VLOOKUP(O33,Tarifa,1)</f>
        <v>14644.65</v>
      </c>
      <c r="Q33" s="281">
        <f t="shared" ref="Q33" si="107">O33-P33</f>
        <v>2236.4699999999993</v>
      </c>
      <c r="R33" s="282">
        <f t="shared" ref="R33" si="108">VLOOKUP(O33,Tarifa,3)</f>
        <v>0.1792</v>
      </c>
      <c r="S33" s="281">
        <f t="shared" ref="S33" si="109">Q33*R33</f>
        <v>400.77542399999987</v>
      </c>
      <c r="T33" s="283">
        <f t="shared" ref="T33" si="110">VLOOKUP(O33,Tarifa,2)</f>
        <v>1339.14</v>
      </c>
      <c r="U33" s="281">
        <f t="shared" ref="U33" si="111">S33+T33</f>
        <v>1739.915424</v>
      </c>
      <c r="V33" s="281">
        <f t="shared" ref="V33" si="112">VLOOKUP(O33,Credito,2)</f>
        <v>0</v>
      </c>
      <c r="W33" s="281">
        <f t="shared" ref="W33" si="113">ROUND((U33-V33)/30.4*I33,2)</f>
        <v>858.51</v>
      </c>
      <c r="X33" s="261">
        <f t="shared" ref="X33" si="114">-IF(W33&gt;0,0,0)</f>
        <v>0</v>
      </c>
      <c r="Y33" s="261">
        <f t="shared" ref="Y33" si="115">IF(K33/15&lt;=SMG,0,IF(W33&lt;0,0,W33))</f>
        <v>858.51</v>
      </c>
      <c r="Z33" s="262">
        <v>0</v>
      </c>
      <c r="AA33" s="261">
        <f t="shared" ref="AA33" si="116">SUM(Y33:Z33)</f>
        <v>858.51</v>
      </c>
      <c r="AB33" s="261">
        <f t="shared" ref="AB33" si="117">M33+X33-AA33</f>
        <v>7470.99</v>
      </c>
      <c r="AC33" s="412"/>
    </row>
    <row r="34" spans="1:29" s="352" customFormat="1" ht="195" customHeight="1" x14ac:dyDescent="0.2">
      <c r="A34" s="347"/>
      <c r="B34" s="267" t="s">
        <v>558</v>
      </c>
      <c r="C34" s="267" t="s">
        <v>105</v>
      </c>
      <c r="D34" s="353" t="s">
        <v>559</v>
      </c>
      <c r="E34" s="338" t="s">
        <v>560</v>
      </c>
      <c r="F34" s="263" t="s">
        <v>561</v>
      </c>
      <c r="G34" s="306">
        <v>46023</v>
      </c>
      <c r="H34" s="256" t="s">
        <v>78</v>
      </c>
      <c r="I34" s="257">
        <v>15</v>
      </c>
      <c r="J34" s="257">
        <f>K34/I34</f>
        <v>555.29999999999995</v>
      </c>
      <c r="K34" s="259">
        <v>8329.5</v>
      </c>
      <c r="L34" s="259"/>
      <c r="M34" s="261">
        <f>SUM(K34:L34)</f>
        <v>8329.5</v>
      </c>
      <c r="N34" s="281">
        <f>IF(K34/15&lt;=SMG,0,L34/2)</f>
        <v>0</v>
      </c>
      <c r="O34" s="296">
        <f>(K34+N34)/I34*30.4</f>
        <v>16881.12</v>
      </c>
      <c r="P34" s="296">
        <f>VLOOKUP(O34,Tarifa,1)</f>
        <v>14644.65</v>
      </c>
      <c r="Q34" s="281">
        <f>O34-P34</f>
        <v>2236.4699999999993</v>
      </c>
      <c r="R34" s="282">
        <f>VLOOKUP(O34,Tarifa,3)</f>
        <v>0.1792</v>
      </c>
      <c r="S34" s="281">
        <f>Q34*R34</f>
        <v>400.77542399999987</v>
      </c>
      <c r="T34" s="283">
        <f>VLOOKUP(O34,Tarifa,2)</f>
        <v>1339.14</v>
      </c>
      <c r="U34" s="281">
        <f>S34+T34</f>
        <v>1739.915424</v>
      </c>
      <c r="V34" s="281">
        <f>VLOOKUP(O34,Credito,2)</f>
        <v>0</v>
      </c>
      <c r="W34" s="281">
        <f>ROUND((U34-V34)/30.4*I34,2)</f>
        <v>858.51</v>
      </c>
      <c r="X34" s="261">
        <f>-IF(W34&gt;0,0,0)</f>
        <v>0</v>
      </c>
      <c r="Y34" s="261">
        <f>IF(K34/15&lt;=SMG,0,IF(W34&lt;0,0,W34))</f>
        <v>858.51</v>
      </c>
      <c r="Z34" s="262">
        <v>0</v>
      </c>
      <c r="AA34" s="261">
        <f>SUM(Y34:Z34)</f>
        <v>858.51</v>
      </c>
      <c r="AB34" s="261">
        <f>M34+X34-AA34</f>
        <v>7470.99</v>
      </c>
      <c r="AC34" s="315"/>
    </row>
    <row r="35" spans="1:29" s="352" customFormat="1" ht="195" customHeight="1" x14ac:dyDescent="0.2">
      <c r="A35" s="347"/>
      <c r="B35" s="267" t="s">
        <v>579</v>
      </c>
      <c r="C35" s="267" t="s">
        <v>105</v>
      </c>
      <c r="D35" s="350" t="s">
        <v>587</v>
      </c>
      <c r="E35" s="338" t="s">
        <v>589</v>
      </c>
      <c r="F35" s="338" t="s">
        <v>588</v>
      </c>
      <c r="G35" s="331">
        <v>46157</v>
      </c>
      <c r="H35" s="256" t="s">
        <v>78</v>
      </c>
      <c r="I35" s="257">
        <v>15</v>
      </c>
      <c r="J35" s="257">
        <f>K35/I35</f>
        <v>555.29999999999995</v>
      </c>
      <c r="K35" s="259">
        <v>8329.5</v>
      </c>
      <c r="L35" s="259"/>
      <c r="M35" s="280">
        <f>SUM(K35:L35)</f>
        <v>8329.5</v>
      </c>
      <c r="N35" s="363">
        <f>IF(K35/15&lt;=SMG,0,L35/2)</f>
        <v>0</v>
      </c>
      <c r="O35" s="363">
        <f>(K35+N35)/I35*30.4</f>
        <v>16881.12</v>
      </c>
      <c r="P35" s="363">
        <f>VLOOKUP(O35,Tarifa,1)</f>
        <v>14644.65</v>
      </c>
      <c r="Q35" s="363">
        <f>O35-P35</f>
        <v>2236.4699999999993</v>
      </c>
      <c r="R35" s="364">
        <f>VLOOKUP(O35,Tarifa,3)</f>
        <v>0.1792</v>
      </c>
      <c r="S35" s="363">
        <f>Q35*R35</f>
        <v>400.77542399999987</v>
      </c>
      <c r="T35" s="365">
        <f>VLOOKUP(O35,Tarifa,2)</f>
        <v>1339.14</v>
      </c>
      <c r="U35" s="363">
        <f>S35+T35</f>
        <v>1739.915424</v>
      </c>
      <c r="V35" s="363">
        <f>VLOOKUP(O35,Credito,2)</f>
        <v>0</v>
      </c>
      <c r="W35" s="363">
        <f>ROUND((U35-V35)/30.4*I35,2)</f>
        <v>858.51</v>
      </c>
      <c r="X35" s="261">
        <f>-IF(W35&gt;0,0,0)</f>
        <v>0</v>
      </c>
      <c r="Y35" s="261">
        <f>IF(K35/15&lt;=SMG,0,IF(W35&lt;0,0,W35))</f>
        <v>858.51</v>
      </c>
      <c r="Z35" s="262">
        <v>0</v>
      </c>
      <c r="AA35" s="261">
        <f>SUM(Y35:Z35)</f>
        <v>858.51</v>
      </c>
      <c r="AB35" s="261">
        <f>M35+X35-AA35</f>
        <v>7470.99</v>
      </c>
      <c r="AC35" s="315"/>
    </row>
    <row r="36" spans="1:29" s="352" customFormat="1" ht="195" customHeight="1" x14ac:dyDescent="0.2">
      <c r="A36" s="347"/>
      <c r="B36" s="267" t="s">
        <v>592</v>
      </c>
      <c r="C36" s="267" t="s">
        <v>105</v>
      </c>
      <c r="D36" s="353" t="s">
        <v>593</v>
      </c>
      <c r="E36" s="338" t="s">
        <v>594</v>
      </c>
      <c r="F36" s="263" t="s">
        <v>595</v>
      </c>
      <c r="G36" s="306">
        <v>46188</v>
      </c>
      <c r="H36" s="256" t="s">
        <v>78</v>
      </c>
      <c r="I36" s="257">
        <v>15</v>
      </c>
      <c r="J36" s="257">
        <f t="shared" ref="J36" si="118">K36/I36</f>
        <v>555.29999999999995</v>
      </c>
      <c r="K36" s="259">
        <v>8329.5</v>
      </c>
      <c r="L36" s="259"/>
      <c r="M36" s="261">
        <f t="shared" ref="M36" si="119">SUM(K36:L36)</f>
        <v>8329.5</v>
      </c>
      <c r="N36" s="281">
        <f t="shared" ref="N36" si="120">IF(K36/15&lt;=SMG,0,L36/2)</f>
        <v>0</v>
      </c>
      <c r="O36" s="296">
        <f t="shared" ref="O36" si="121">(K36+N36)/I36*30.4</f>
        <v>16881.12</v>
      </c>
      <c r="P36" s="296">
        <f t="shared" ref="P36" si="122">VLOOKUP(O36,Tarifa,1)</f>
        <v>14644.65</v>
      </c>
      <c r="Q36" s="281">
        <f t="shared" ref="Q36" si="123">O36-P36</f>
        <v>2236.4699999999993</v>
      </c>
      <c r="R36" s="282">
        <f t="shared" ref="R36" si="124">VLOOKUP(O36,Tarifa,3)</f>
        <v>0.1792</v>
      </c>
      <c r="S36" s="281">
        <f t="shared" ref="S36" si="125">Q36*R36</f>
        <v>400.77542399999987</v>
      </c>
      <c r="T36" s="283">
        <f t="shared" ref="T36" si="126">VLOOKUP(O36,Tarifa,2)</f>
        <v>1339.14</v>
      </c>
      <c r="U36" s="281">
        <f t="shared" ref="U36" si="127">S36+T36</f>
        <v>1739.915424</v>
      </c>
      <c r="V36" s="281">
        <f t="shared" ref="V36" si="128">VLOOKUP(O36,Credito,2)</f>
        <v>0</v>
      </c>
      <c r="W36" s="281">
        <f t="shared" ref="W36" si="129">ROUND((U36-V36)/30.4*I36,2)</f>
        <v>858.51</v>
      </c>
      <c r="X36" s="261">
        <f t="shared" ref="X36" si="130">-IF(W36&gt;0,0,0)</f>
        <v>0</v>
      </c>
      <c r="Y36" s="261">
        <f t="shared" ref="Y36" si="131">IF(K36/15&lt;=SMG,0,IF(W36&lt;0,0,W36))</f>
        <v>858.51</v>
      </c>
      <c r="Z36" s="262">
        <v>0</v>
      </c>
      <c r="AA36" s="261">
        <f t="shared" ref="AA36" si="132">SUM(Y36:Z36)</f>
        <v>858.51</v>
      </c>
      <c r="AB36" s="261">
        <f t="shared" ref="AB36" si="133">M36+X36-AA36</f>
        <v>7470.99</v>
      </c>
      <c r="AC36" s="412"/>
    </row>
    <row r="37" spans="1:29" s="352" customFormat="1" ht="195" customHeight="1" x14ac:dyDescent="0.2">
      <c r="A37" s="347"/>
      <c r="B37" s="267" t="s">
        <v>643</v>
      </c>
      <c r="C37" s="267" t="s">
        <v>105</v>
      </c>
      <c r="D37" s="353" t="s">
        <v>644</v>
      </c>
      <c r="E37" s="263" t="s">
        <v>645</v>
      </c>
      <c r="F37" s="263" t="s">
        <v>646</v>
      </c>
      <c r="G37" s="306">
        <v>46227</v>
      </c>
      <c r="H37" s="256" t="s">
        <v>78</v>
      </c>
      <c r="I37" s="257">
        <v>15</v>
      </c>
      <c r="J37" s="257">
        <f t="shared" ref="J37" si="134">K37/I37</f>
        <v>555.29999999999995</v>
      </c>
      <c r="K37" s="259">
        <v>8329.5</v>
      </c>
      <c r="L37" s="259"/>
      <c r="M37" s="261">
        <f t="shared" ref="M37" si="135">SUM(K37:L37)</f>
        <v>8329.5</v>
      </c>
      <c r="N37" s="281">
        <f t="shared" ref="N37" si="136">IF(K37/15&lt;=SMG,0,L37/2)</f>
        <v>0</v>
      </c>
      <c r="O37" s="296">
        <f t="shared" ref="O37" si="137">(K37+N37)/I37*30.4</f>
        <v>16881.12</v>
      </c>
      <c r="P37" s="296">
        <f t="shared" ref="P37" si="138">VLOOKUP(O37,Tarifa,1)</f>
        <v>14644.65</v>
      </c>
      <c r="Q37" s="281">
        <f t="shared" ref="Q37" si="139">O37-P37</f>
        <v>2236.4699999999993</v>
      </c>
      <c r="R37" s="282">
        <f t="shared" ref="R37" si="140">VLOOKUP(O37,Tarifa,3)</f>
        <v>0.1792</v>
      </c>
      <c r="S37" s="281">
        <f t="shared" ref="S37" si="141">Q37*R37</f>
        <v>400.77542399999987</v>
      </c>
      <c r="T37" s="283">
        <f t="shared" ref="T37" si="142">VLOOKUP(O37,Tarifa,2)</f>
        <v>1339.14</v>
      </c>
      <c r="U37" s="281">
        <f t="shared" ref="U37" si="143">S37+T37</f>
        <v>1739.915424</v>
      </c>
      <c r="V37" s="281">
        <f t="shared" ref="V37" si="144">VLOOKUP(O37,Credito,2)</f>
        <v>0</v>
      </c>
      <c r="W37" s="281">
        <f t="shared" ref="W37" si="145">ROUND((U37-V37)/30.4*I37,2)</f>
        <v>858.51</v>
      </c>
      <c r="X37" s="261">
        <f t="shared" ref="X37" si="146">-IF(W37&gt;0,0,0)</f>
        <v>0</v>
      </c>
      <c r="Y37" s="261">
        <f t="shared" ref="Y37" si="147">IF(K37/15&lt;=SMG,0,IF(W37&lt;0,0,W37))</f>
        <v>858.51</v>
      </c>
      <c r="Z37" s="262">
        <v>0</v>
      </c>
      <c r="AA37" s="261">
        <f t="shared" ref="AA37" si="148">SUM(Y37:Z37)</f>
        <v>858.51</v>
      </c>
      <c r="AB37" s="261">
        <f t="shared" ref="AB37" si="149">M37+X37-AA37</f>
        <v>7470.99</v>
      </c>
      <c r="AC37" s="412"/>
    </row>
    <row r="38" spans="1:29" ht="29.25" customHeight="1" thickBot="1" x14ac:dyDescent="0.35">
      <c r="A38" s="446" t="s">
        <v>44</v>
      </c>
      <c r="B38" s="508"/>
      <c r="C38" s="508"/>
      <c r="D38" s="508"/>
      <c r="E38" s="508"/>
      <c r="F38" s="508"/>
      <c r="G38" s="508"/>
      <c r="H38" s="508"/>
      <c r="I38" s="508"/>
      <c r="J38" s="424"/>
      <c r="K38" s="425">
        <f>SUM(K9:K34)</f>
        <v>169509.5</v>
      </c>
      <c r="L38" s="425">
        <f>SUM(L9:L34)</f>
        <v>0</v>
      </c>
      <c r="M38" s="425">
        <f>SUM(M9:M34)</f>
        <v>169509.5</v>
      </c>
      <c r="N38" s="426">
        <f t="shared" ref="N38:W38" si="150">SUM(N9:N12)</f>
        <v>0</v>
      </c>
      <c r="O38" s="426">
        <f t="shared" si="150"/>
        <v>85981.333333333343</v>
      </c>
      <c r="P38" s="426">
        <f t="shared" si="150"/>
        <v>67245.600000000006</v>
      </c>
      <c r="Q38" s="426">
        <f t="shared" si="150"/>
        <v>18735.73333333333</v>
      </c>
      <c r="R38" s="426">
        <f t="shared" si="150"/>
        <v>0.82000000000000006</v>
      </c>
      <c r="S38" s="426">
        <f t="shared" si="150"/>
        <v>3925.0180719999994</v>
      </c>
      <c r="T38" s="426">
        <f t="shared" si="150"/>
        <v>6909.66</v>
      </c>
      <c r="U38" s="426">
        <f t="shared" si="150"/>
        <v>10834.678071999999</v>
      </c>
      <c r="V38" s="426">
        <f t="shared" si="150"/>
        <v>0</v>
      </c>
      <c r="W38" s="426">
        <f t="shared" si="150"/>
        <v>5346.0599999999995</v>
      </c>
      <c r="X38" s="425">
        <f>SUM(X9:X34)</f>
        <v>0</v>
      </c>
      <c r="Y38" s="425">
        <f>SUM(Y9:Y34)</f>
        <v>18659.089999999997</v>
      </c>
      <c r="Z38" s="425">
        <f>SUM(Z9:Z34)</f>
        <v>0</v>
      </c>
      <c r="AA38" s="425">
        <f>SUM(AA9:AA34)</f>
        <v>18659.089999999997</v>
      </c>
      <c r="AB38" s="425">
        <f>SUM(AB9:AB37)</f>
        <v>173263.38</v>
      </c>
      <c r="AC38" s="4"/>
    </row>
    <row r="39" spans="1:29" ht="13.5" thickTop="1" x14ac:dyDescent="0.2"/>
    <row r="54" spans="4:41" ht="6" customHeight="1" x14ac:dyDescent="0.2"/>
    <row r="56" spans="4:41" ht="18" x14ac:dyDescent="0.25">
      <c r="D56" s="203" t="s">
        <v>400</v>
      </c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203" t="s">
        <v>544</v>
      </c>
      <c r="AA56" s="108"/>
      <c r="AB56" s="108"/>
      <c r="AC56" s="108"/>
    </row>
    <row r="57" spans="4:41" ht="18" x14ac:dyDescent="0.25">
      <c r="D57" s="203" t="s">
        <v>413</v>
      </c>
      <c r="E57" s="203"/>
      <c r="F57" s="203"/>
      <c r="G57" s="203"/>
      <c r="H57" s="203"/>
      <c r="I57" s="203"/>
      <c r="J57" s="203"/>
      <c r="K57" s="203"/>
      <c r="L57" s="203"/>
      <c r="M57" s="203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203" t="s">
        <v>184</v>
      </c>
      <c r="AA57" s="108"/>
      <c r="AB57" s="203"/>
      <c r="AC57" s="203"/>
      <c r="AD57" s="85"/>
      <c r="AE57" s="85"/>
      <c r="AF57" s="85"/>
      <c r="AG57" s="85"/>
      <c r="AH57" s="85"/>
      <c r="AI57" s="85"/>
      <c r="AJ57" s="85"/>
      <c r="AK57" s="85"/>
      <c r="AN57" s="85"/>
      <c r="AO57" s="85"/>
    </row>
    <row r="62" spans="4:41" x14ac:dyDescent="0.2">
      <c r="E62" s="4"/>
    </row>
  </sheetData>
  <mergeCells count="15">
    <mergeCell ref="A38:I38"/>
    <mergeCell ref="A1:AC1"/>
    <mergeCell ref="A2:AC2"/>
    <mergeCell ref="B3:AC3"/>
    <mergeCell ref="K5:M5"/>
    <mergeCell ref="P5:U5"/>
    <mergeCell ref="Y5:AA5"/>
    <mergeCell ref="B30:AC30"/>
    <mergeCell ref="B31:AC31"/>
    <mergeCell ref="B8:D8"/>
    <mergeCell ref="B17:AC17"/>
    <mergeCell ref="B18:AC18"/>
    <mergeCell ref="B19:AC19"/>
    <mergeCell ref="B20:AC20"/>
    <mergeCell ref="B29:AC29"/>
  </mergeCells>
  <pageMargins left="0.62992125984251968" right="0.23622047244094491" top="0.35433070866141736" bottom="0.19685039370078741" header="0.31496062992125984" footer="0.31496062992125984"/>
  <pageSetup scale="34" orientation="landscape" horizontalDpi="4294967293" verticalDpi="36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1"/>
  <sheetViews>
    <sheetView topLeftCell="B1" zoomScale="73" zoomScaleNormal="73" workbookViewId="0">
      <selection activeCell="AA23" sqref="AA23"/>
    </sheetView>
  </sheetViews>
  <sheetFormatPr baseColWidth="10" defaultColWidth="11.42578125" defaultRowHeight="12.75" x14ac:dyDescent="0.2"/>
  <cols>
    <col min="1" max="1" width="5.5703125" style="67" hidden="1" customWidth="1"/>
    <col min="2" max="2" width="9.42578125" style="67" customWidth="1"/>
    <col min="3" max="3" width="7.7109375" style="67" customWidth="1"/>
    <col min="4" max="4" width="26.140625" style="67" customWidth="1"/>
    <col min="5" max="5" width="24.28515625" style="67" customWidth="1"/>
    <col min="6" max="6" width="33.28515625" style="67" customWidth="1"/>
    <col min="7" max="7" width="16.140625" style="67" customWidth="1"/>
    <col min="8" max="8" width="19.5703125" style="67" customWidth="1"/>
    <col min="9" max="9" width="7.28515625" style="67" customWidth="1"/>
    <col min="10" max="10" width="10.85546875" style="67" customWidth="1"/>
    <col min="11" max="11" width="16.28515625" style="67" customWidth="1"/>
    <col min="12" max="12" width="15.5703125" style="67" customWidth="1"/>
    <col min="13" max="13" width="16.85546875" style="67" customWidth="1"/>
    <col min="14" max="14" width="13.140625" style="67" hidden="1" customWidth="1"/>
    <col min="15" max="17" width="14.28515625" style="67" hidden="1" customWidth="1"/>
    <col min="18" max="19" width="13.140625" style="67" hidden="1" customWidth="1"/>
    <col min="20" max="20" width="10.5703125" style="67" hidden="1" customWidth="1"/>
    <col min="21" max="22" width="13.140625" style="67" hidden="1" customWidth="1"/>
    <col min="23" max="23" width="11.5703125" style="67" hidden="1" customWidth="1"/>
    <col min="24" max="24" width="9.7109375" style="67" customWidth="1"/>
    <col min="25" max="25" width="14.42578125" style="67" customWidth="1"/>
    <col min="26" max="26" width="11.85546875" style="67" customWidth="1"/>
    <col min="27" max="27" width="15" style="67" customWidth="1"/>
    <col min="28" max="28" width="19.7109375" style="67" customWidth="1"/>
    <col min="29" max="29" width="61.42578125" style="67" customWidth="1"/>
    <col min="30" max="16384" width="11.42578125" style="67"/>
  </cols>
  <sheetData>
    <row r="1" spans="1:29" ht="18" x14ac:dyDescent="0.25">
      <c r="A1" s="460" t="s">
        <v>75</v>
      </c>
      <c r="B1" s="460"/>
      <c r="C1" s="460"/>
      <c r="D1" s="460"/>
      <c r="E1" s="460"/>
      <c r="F1" s="460"/>
      <c r="G1" s="460"/>
      <c r="H1" s="460"/>
      <c r="I1" s="460"/>
      <c r="J1" s="460"/>
      <c r="K1" s="460"/>
      <c r="L1" s="460"/>
      <c r="M1" s="460"/>
      <c r="N1" s="460"/>
      <c r="O1" s="460"/>
      <c r="P1" s="460"/>
      <c r="Q1" s="460"/>
      <c r="R1" s="460"/>
      <c r="S1" s="460"/>
      <c r="T1" s="460"/>
      <c r="U1" s="460"/>
      <c r="V1" s="460"/>
      <c r="W1" s="460"/>
      <c r="X1" s="460"/>
      <c r="Y1" s="460"/>
      <c r="Z1" s="460"/>
      <c r="AA1" s="460"/>
      <c r="AB1" s="460"/>
      <c r="AC1" s="460"/>
    </row>
    <row r="2" spans="1:29" ht="18" x14ac:dyDescent="0.25">
      <c r="A2" s="460" t="s">
        <v>64</v>
      </c>
      <c r="B2" s="460"/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  <c r="T2" s="460"/>
      <c r="U2" s="460"/>
      <c r="V2" s="460"/>
      <c r="W2" s="460"/>
      <c r="X2" s="460"/>
      <c r="Y2" s="460"/>
      <c r="Z2" s="460"/>
      <c r="AA2" s="460"/>
      <c r="AB2" s="460"/>
      <c r="AC2" s="460"/>
    </row>
    <row r="3" spans="1:29" ht="19.5" x14ac:dyDescent="0.25">
      <c r="A3" s="450" t="str">
        <f>CHOFERES!A3</f>
        <v>SUELDO  DEL 15 AL 30 DE SEPTIEMBRE DE 2026</v>
      </c>
      <c r="B3" s="450"/>
      <c r="C3" s="450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  <c r="P3" s="450"/>
      <c r="Q3" s="450"/>
      <c r="R3" s="450"/>
      <c r="S3" s="450"/>
      <c r="T3" s="450"/>
      <c r="U3" s="450"/>
      <c r="V3" s="450"/>
      <c r="W3" s="450"/>
      <c r="X3" s="450"/>
      <c r="Y3" s="450"/>
      <c r="Z3" s="450"/>
      <c r="AA3" s="450"/>
      <c r="AB3" s="450"/>
      <c r="AC3" s="450"/>
    </row>
    <row r="4" spans="1:29" ht="15" x14ac:dyDescent="0.2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</row>
    <row r="5" spans="1:29" x14ac:dyDescent="0.2">
      <c r="A5" s="68"/>
      <c r="B5" s="68"/>
      <c r="C5" s="68"/>
      <c r="D5" s="68"/>
      <c r="E5" s="68"/>
      <c r="F5" s="68"/>
      <c r="G5" s="68"/>
      <c r="H5" s="68"/>
      <c r="I5" s="69" t="s">
        <v>22</v>
      </c>
      <c r="J5" s="69" t="s">
        <v>5</v>
      </c>
      <c r="K5" s="509" t="s">
        <v>1</v>
      </c>
      <c r="L5" s="510"/>
      <c r="M5" s="511"/>
      <c r="N5" s="70" t="s">
        <v>25</v>
      </c>
      <c r="O5" s="71"/>
      <c r="P5" s="512" t="s">
        <v>8</v>
      </c>
      <c r="Q5" s="513"/>
      <c r="R5" s="513"/>
      <c r="S5" s="513"/>
      <c r="T5" s="513"/>
      <c r="U5" s="514"/>
      <c r="V5" s="70" t="s">
        <v>29</v>
      </c>
      <c r="W5" s="70" t="s">
        <v>9</v>
      </c>
      <c r="X5" s="69" t="s">
        <v>52</v>
      </c>
      <c r="Y5" s="515" t="s">
        <v>2</v>
      </c>
      <c r="Z5" s="516"/>
      <c r="AA5" s="517"/>
      <c r="AB5" s="69" t="s">
        <v>0</v>
      </c>
      <c r="AC5" s="72"/>
    </row>
    <row r="6" spans="1:29" ht="22.5" x14ac:dyDescent="0.2">
      <c r="A6" s="73" t="s">
        <v>20</v>
      </c>
      <c r="B6" s="74" t="s">
        <v>91</v>
      </c>
      <c r="C6" s="74" t="s">
        <v>106</v>
      </c>
      <c r="D6" s="73" t="s">
        <v>21</v>
      </c>
      <c r="E6" s="73"/>
      <c r="F6" s="73"/>
      <c r="G6" s="73"/>
      <c r="H6" s="73"/>
      <c r="I6" s="75" t="s">
        <v>23</v>
      </c>
      <c r="J6" s="73" t="s">
        <v>24</v>
      </c>
      <c r="K6" s="69" t="s">
        <v>5</v>
      </c>
      <c r="L6" s="69" t="s">
        <v>58</v>
      </c>
      <c r="M6" s="69" t="s">
        <v>27</v>
      </c>
      <c r="N6" s="76" t="s">
        <v>26</v>
      </c>
      <c r="O6" s="71" t="s">
        <v>31</v>
      </c>
      <c r="P6" s="71" t="s">
        <v>11</v>
      </c>
      <c r="Q6" s="71" t="s">
        <v>33</v>
      </c>
      <c r="R6" s="71" t="s">
        <v>35</v>
      </c>
      <c r="S6" s="71" t="s">
        <v>36</v>
      </c>
      <c r="T6" s="71" t="s">
        <v>13</v>
      </c>
      <c r="U6" s="71" t="s">
        <v>9</v>
      </c>
      <c r="V6" s="76" t="s">
        <v>39</v>
      </c>
      <c r="W6" s="76" t="s">
        <v>40</v>
      </c>
      <c r="X6" s="73" t="s">
        <v>30</v>
      </c>
      <c r="Y6" s="23" t="s">
        <v>227</v>
      </c>
      <c r="Z6" s="69" t="s">
        <v>56</v>
      </c>
      <c r="AA6" s="69" t="s">
        <v>6</v>
      </c>
      <c r="AB6" s="73" t="s">
        <v>3</v>
      </c>
      <c r="AC6" s="77" t="s">
        <v>57</v>
      </c>
    </row>
    <row r="7" spans="1:29" x14ac:dyDescent="0.2">
      <c r="A7" s="78"/>
      <c r="B7" s="73"/>
      <c r="C7" s="73"/>
      <c r="D7" s="73"/>
      <c r="E7" s="73"/>
      <c r="F7" s="73"/>
      <c r="G7" s="73"/>
      <c r="H7" s="73"/>
      <c r="I7" s="73"/>
      <c r="J7" s="73"/>
      <c r="K7" s="73" t="s">
        <v>46</v>
      </c>
      <c r="L7" s="73" t="s">
        <v>59</v>
      </c>
      <c r="M7" s="73" t="s">
        <v>28</v>
      </c>
      <c r="N7" s="76" t="s">
        <v>42</v>
      </c>
      <c r="O7" s="70" t="s">
        <v>32</v>
      </c>
      <c r="P7" s="70" t="s">
        <v>12</v>
      </c>
      <c r="Q7" s="70" t="s">
        <v>34</v>
      </c>
      <c r="R7" s="70" t="s">
        <v>34</v>
      </c>
      <c r="S7" s="70" t="s">
        <v>37</v>
      </c>
      <c r="T7" s="70" t="s">
        <v>14</v>
      </c>
      <c r="U7" s="70" t="s">
        <v>38</v>
      </c>
      <c r="V7" s="76" t="s">
        <v>18</v>
      </c>
      <c r="W7" s="79" t="s">
        <v>115</v>
      </c>
      <c r="X7" s="73" t="s">
        <v>51</v>
      </c>
      <c r="Y7" s="73"/>
      <c r="Z7" s="73"/>
      <c r="AA7" s="73" t="s">
        <v>43</v>
      </c>
      <c r="AB7" s="73" t="s">
        <v>4</v>
      </c>
      <c r="AC7" s="80"/>
    </row>
    <row r="8" spans="1:29" ht="37.5" customHeight="1" x14ac:dyDescent="0.25">
      <c r="A8" s="81"/>
      <c r="B8" s="82"/>
      <c r="C8" s="82"/>
      <c r="D8" s="129" t="s">
        <v>122</v>
      </c>
      <c r="E8" s="36" t="s">
        <v>92</v>
      </c>
      <c r="F8" s="36" t="s">
        <v>189</v>
      </c>
      <c r="G8" s="98" t="s">
        <v>228</v>
      </c>
      <c r="H8" s="83" t="s">
        <v>61</v>
      </c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4"/>
    </row>
    <row r="9" spans="1:29" s="265" customFormat="1" ht="117" customHeight="1" x14ac:dyDescent="0.2">
      <c r="A9" s="250"/>
      <c r="B9" s="252" t="s">
        <v>159</v>
      </c>
      <c r="C9" s="252" t="s">
        <v>105</v>
      </c>
      <c r="D9" s="350" t="s">
        <v>157</v>
      </c>
      <c r="E9" s="338" t="s">
        <v>158</v>
      </c>
      <c r="F9" s="338" t="s">
        <v>207</v>
      </c>
      <c r="G9" s="354">
        <v>43998</v>
      </c>
      <c r="H9" s="254" t="s">
        <v>120</v>
      </c>
      <c r="I9" s="330">
        <v>15</v>
      </c>
      <c r="J9" s="330">
        <f t="shared" ref="J9:J14" si="0">K9/I9</f>
        <v>420.13333333333333</v>
      </c>
      <c r="K9" s="259">
        <v>6302</v>
      </c>
      <c r="L9" s="260">
        <v>0</v>
      </c>
      <c r="M9" s="261">
        <f t="shared" ref="M9" si="1">SUM(K9:L9)</f>
        <v>6302</v>
      </c>
      <c r="N9" s="363">
        <f t="shared" ref="N9:N14" si="2">IF(K9/15&lt;=SMG,0,L9/2)</f>
        <v>0</v>
      </c>
      <c r="O9" s="363">
        <f t="shared" ref="O9:O14" si="3">(K9+N9)/I9*30.4</f>
        <v>12772.053333333333</v>
      </c>
      <c r="P9" s="363">
        <f t="shared" ref="P9:P14" si="4">VLOOKUP(O9,Tarifa,1)</f>
        <v>12598.03</v>
      </c>
      <c r="Q9" s="363">
        <f t="shared" ref="Q9:Q14" si="5">O9-P9</f>
        <v>174.02333333333263</v>
      </c>
      <c r="R9" s="364">
        <f t="shared" ref="R9:R14" si="6">VLOOKUP(O9,Tarifa,3)</f>
        <v>0.16</v>
      </c>
      <c r="S9" s="363">
        <f t="shared" ref="S9:S14" si="7">Q9*R9</f>
        <v>27.843733333333223</v>
      </c>
      <c r="T9" s="365">
        <f t="shared" ref="T9:T14" si="8">VLOOKUP(O9,Tarifa,2)</f>
        <v>1011.68</v>
      </c>
      <c r="U9" s="363">
        <f t="shared" ref="U9:U14" si="9">S9+T9</f>
        <v>1039.5237333333332</v>
      </c>
      <c r="V9" s="363">
        <f t="shared" ref="V9:V14" si="10">VLOOKUP(O9,Credito,2)</f>
        <v>0</v>
      </c>
      <c r="W9" s="363">
        <f t="shared" ref="W9:W14" si="11">ROUND((U9-V9)/30.4*I9,2)</f>
        <v>512.91999999999996</v>
      </c>
      <c r="X9" s="261">
        <f t="shared" ref="X9" si="12">-IF(W9&gt;0,0,0)</f>
        <v>0</v>
      </c>
      <c r="Y9" s="261">
        <f t="shared" ref="Y9" si="13">IF(K9/15&lt;=SMG,0,IF(W9&lt;0,0,W9))</f>
        <v>512.91999999999996</v>
      </c>
      <c r="Z9" s="262">
        <v>0</v>
      </c>
      <c r="AA9" s="261">
        <f t="shared" ref="AA9" si="14">SUM(Y9:Z9)</f>
        <v>512.91999999999996</v>
      </c>
      <c r="AB9" s="261">
        <f t="shared" ref="AB9" si="15">M9+X9-AA9</f>
        <v>5789.08</v>
      </c>
      <c r="AC9" s="271"/>
    </row>
    <row r="10" spans="1:29" s="265" customFormat="1" ht="117" customHeight="1" x14ac:dyDescent="0.2">
      <c r="A10" s="250"/>
      <c r="B10" s="252" t="s">
        <v>318</v>
      </c>
      <c r="C10" s="252" t="s">
        <v>105</v>
      </c>
      <c r="D10" s="350" t="s">
        <v>319</v>
      </c>
      <c r="E10" s="338" t="s">
        <v>320</v>
      </c>
      <c r="F10" s="338" t="s">
        <v>321</v>
      </c>
      <c r="G10" s="354">
        <v>45481</v>
      </c>
      <c r="H10" s="254" t="s">
        <v>120</v>
      </c>
      <c r="I10" s="330">
        <v>15</v>
      </c>
      <c r="J10" s="330">
        <f t="shared" si="0"/>
        <v>420.13333333333333</v>
      </c>
      <c r="K10" s="259">
        <v>6302</v>
      </c>
      <c r="L10" s="260">
        <v>0</v>
      </c>
      <c r="M10" s="261">
        <f t="shared" ref="M10:M13" si="16">SUM(K10:L10)</f>
        <v>6302</v>
      </c>
      <c r="N10" s="363">
        <f t="shared" si="2"/>
        <v>0</v>
      </c>
      <c r="O10" s="363">
        <f t="shared" si="3"/>
        <v>12772.053333333333</v>
      </c>
      <c r="P10" s="363">
        <f t="shared" si="4"/>
        <v>12598.03</v>
      </c>
      <c r="Q10" s="363">
        <f t="shared" si="5"/>
        <v>174.02333333333263</v>
      </c>
      <c r="R10" s="364">
        <f t="shared" si="6"/>
        <v>0.16</v>
      </c>
      <c r="S10" s="363">
        <f t="shared" si="7"/>
        <v>27.843733333333223</v>
      </c>
      <c r="T10" s="365">
        <f t="shared" si="8"/>
        <v>1011.68</v>
      </c>
      <c r="U10" s="363">
        <f t="shared" si="9"/>
        <v>1039.5237333333332</v>
      </c>
      <c r="V10" s="363">
        <f t="shared" si="10"/>
        <v>0</v>
      </c>
      <c r="W10" s="363">
        <f t="shared" si="11"/>
        <v>512.91999999999996</v>
      </c>
      <c r="X10" s="261">
        <f t="shared" ref="X10:X13" si="17">-IF(W10&gt;0,0,0)</f>
        <v>0</v>
      </c>
      <c r="Y10" s="261">
        <f t="shared" ref="Y10:Y13" si="18">IF(K10/15&lt;=SMG,0,IF(W10&lt;0,0,W10))</f>
        <v>512.91999999999996</v>
      </c>
      <c r="Z10" s="262">
        <v>0</v>
      </c>
      <c r="AA10" s="261">
        <f t="shared" ref="AA10:AA13" si="19">SUM(Y10:Z10)</f>
        <v>512.91999999999996</v>
      </c>
      <c r="AB10" s="261">
        <f t="shared" ref="AB10:AB13" si="20">M10+X10-AA10</f>
        <v>5789.08</v>
      </c>
      <c r="AC10" s="271"/>
    </row>
    <row r="11" spans="1:29" s="265" customFormat="1" ht="117" customHeight="1" x14ac:dyDescent="0.2">
      <c r="A11" s="250"/>
      <c r="B11" s="252" t="s">
        <v>498</v>
      </c>
      <c r="C11" s="252" t="s">
        <v>105</v>
      </c>
      <c r="D11" s="350" t="s">
        <v>499</v>
      </c>
      <c r="E11" s="338" t="s">
        <v>500</v>
      </c>
      <c r="F11" s="338" t="s">
        <v>501</v>
      </c>
      <c r="G11" s="354">
        <v>45854</v>
      </c>
      <c r="H11" s="254" t="s">
        <v>120</v>
      </c>
      <c r="I11" s="330">
        <v>15</v>
      </c>
      <c r="J11" s="330">
        <f t="shared" ref="J11:J12" si="21">K11/I11</f>
        <v>420.13333333333333</v>
      </c>
      <c r="K11" s="259">
        <v>6302</v>
      </c>
      <c r="L11" s="260">
        <v>0</v>
      </c>
      <c r="M11" s="261">
        <f t="shared" ref="M11:M12" si="22">SUM(K11:L11)</f>
        <v>6302</v>
      </c>
      <c r="N11" s="363">
        <f t="shared" ref="N11:N12" si="23">IF(K11/15&lt;=SMG,0,L11/2)</f>
        <v>0</v>
      </c>
      <c r="O11" s="363">
        <f t="shared" ref="O11:O12" si="24">(K11+N11)/I11*30.4</f>
        <v>12772.053333333333</v>
      </c>
      <c r="P11" s="363">
        <f t="shared" ref="P11:P12" si="25">VLOOKUP(O11,Tarifa,1)</f>
        <v>12598.03</v>
      </c>
      <c r="Q11" s="363">
        <f t="shared" ref="Q11:Q12" si="26">O11-P11</f>
        <v>174.02333333333263</v>
      </c>
      <c r="R11" s="364">
        <f t="shared" ref="R11:R12" si="27">VLOOKUP(O11,Tarifa,3)</f>
        <v>0.16</v>
      </c>
      <c r="S11" s="363">
        <f t="shared" ref="S11:S12" si="28">Q11*R11</f>
        <v>27.843733333333223</v>
      </c>
      <c r="T11" s="365">
        <f t="shared" ref="T11:T12" si="29">VLOOKUP(O11,Tarifa,2)</f>
        <v>1011.68</v>
      </c>
      <c r="U11" s="363">
        <f t="shared" ref="U11:U12" si="30">S11+T11</f>
        <v>1039.5237333333332</v>
      </c>
      <c r="V11" s="363">
        <f t="shared" ref="V11:V12" si="31">VLOOKUP(O11,Credito,2)</f>
        <v>0</v>
      </c>
      <c r="W11" s="363">
        <f t="shared" ref="W11:W12" si="32">ROUND((U11-V11)/30.4*I11,2)</f>
        <v>512.91999999999996</v>
      </c>
      <c r="X11" s="261">
        <f t="shared" ref="X11:X12" si="33">-IF(W11&gt;0,0,0)</f>
        <v>0</v>
      </c>
      <c r="Y11" s="261">
        <f t="shared" ref="Y11:Y12" si="34">IF(K11/15&lt;=SMG,0,IF(W11&lt;0,0,W11))</f>
        <v>512.91999999999996</v>
      </c>
      <c r="Z11" s="262">
        <v>0</v>
      </c>
      <c r="AA11" s="261">
        <f t="shared" ref="AA11:AA12" si="35">SUM(Y11:Z11)</f>
        <v>512.91999999999996</v>
      </c>
      <c r="AB11" s="261">
        <f t="shared" ref="AB11:AB12" si="36">M11+X11-AA11</f>
        <v>5789.08</v>
      </c>
      <c r="AC11" s="271"/>
    </row>
    <row r="12" spans="1:29" s="265" customFormat="1" ht="117" customHeight="1" x14ac:dyDescent="0.2">
      <c r="A12" s="250"/>
      <c r="B12" s="251" t="s">
        <v>598</v>
      </c>
      <c r="C12" s="251" t="s">
        <v>105</v>
      </c>
      <c r="D12" s="273" t="s">
        <v>599</v>
      </c>
      <c r="E12" s="274" t="s">
        <v>600</v>
      </c>
      <c r="F12" s="263" t="s">
        <v>601</v>
      </c>
      <c r="G12" s="354">
        <v>46204</v>
      </c>
      <c r="H12" s="269" t="s">
        <v>121</v>
      </c>
      <c r="I12" s="330">
        <v>15</v>
      </c>
      <c r="J12" s="330">
        <f t="shared" si="21"/>
        <v>377.73333333333335</v>
      </c>
      <c r="K12" s="259">
        <v>5666</v>
      </c>
      <c r="L12" s="260">
        <v>0</v>
      </c>
      <c r="M12" s="261">
        <f t="shared" si="22"/>
        <v>5666</v>
      </c>
      <c r="N12" s="363">
        <f t="shared" si="23"/>
        <v>0</v>
      </c>
      <c r="O12" s="363">
        <f t="shared" si="24"/>
        <v>11483.093333333334</v>
      </c>
      <c r="P12" s="363">
        <f t="shared" si="25"/>
        <v>7168.52</v>
      </c>
      <c r="Q12" s="363">
        <f t="shared" si="26"/>
        <v>4314.5733333333337</v>
      </c>
      <c r="R12" s="364">
        <f t="shared" si="27"/>
        <v>0.10879999999999999</v>
      </c>
      <c r="S12" s="363">
        <f t="shared" si="28"/>
        <v>469.42557866666669</v>
      </c>
      <c r="T12" s="365">
        <f t="shared" si="29"/>
        <v>420.95</v>
      </c>
      <c r="U12" s="363">
        <f t="shared" si="30"/>
        <v>890.37557866666668</v>
      </c>
      <c r="V12" s="363">
        <f t="shared" si="31"/>
        <v>535.65</v>
      </c>
      <c r="W12" s="363">
        <f t="shared" si="32"/>
        <v>175.03</v>
      </c>
      <c r="X12" s="261">
        <f t="shared" si="33"/>
        <v>0</v>
      </c>
      <c r="Y12" s="261">
        <f t="shared" si="34"/>
        <v>175.03</v>
      </c>
      <c r="Z12" s="262">
        <v>0</v>
      </c>
      <c r="AA12" s="261">
        <f t="shared" si="35"/>
        <v>175.03</v>
      </c>
      <c r="AB12" s="261">
        <f t="shared" si="36"/>
        <v>5490.97</v>
      </c>
      <c r="AC12" s="271"/>
    </row>
    <row r="13" spans="1:29" s="265" customFormat="1" ht="117" customHeight="1" x14ac:dyDescent="0.2">
      <c r="A13" s="250"/>
      <c r="B13" s="252" t="s">
        <v>123</v>
      </c>
      <c r="C13" s="252" t="s">
        <v>105</v>
      </c>
      <c r="D13" s="350" t="s">
        <v>119</v>
      </c>
      <c r="E13" s="338" t="s">
        <v>124</v>
      </c>
      <c r="F13" s="338" t="s">
        <v>196</v>
      </c>
      <c r="G13" s="354">
        <v>43101</v>
      </c>
      <c r="H13" s="269" t="s">
        <v>121</v>
      </c>
      <c r="I13" s="330">
        <v>15</v>
      </c>
      <c r="J13" s="330">
        <f t="shared" si="0"/>
        <v>377.73333333333335</v>
      </c>
      <c r="K13" s="259">
        <v>5666</v>
      </c>
      <c r="L13" s="260">
        <v>0</v>
      </c>
      <c r="M13" s="261">
        <f t="shared" si="16"/>
        <v>5666</v>
      </c>
      <c r="N13" s="363">
        <f t="shared" si="2"/>
        <v>0</v>
      </c>
      <c r="O13" s="363">
        <f t="shared" si="3"/>
        <v>11483.093333333334</v>
      </c>
      <c r="P13" s="363">
        <f t="shared" si="4"/>
        <v>7168.52</v>
      </c>
      <c r="Q13" s="363">
        <f t="shared" si="5"/>
        <v>4314.5733333333337</v>
      </c>
      <c r="R13" s="364">
        <f t="shared" si="6"/>
        <v>0.10879999999999999</v>
      </c>
      <c r="S13" s="363">
        <f t="shared" si="7"/>
        <v>469.42557866666669</v>
      </c>
      <c r="T13" s="365">
        <f t="shared" si="8"/>
        <v>420.95</v>
      </c>
      <c r="U13" s="363">
        <f t="shared" si="9"/>
        <v>890.37557866666668</v>
      </c>
      <c r="V13" s="363">
        <f t="shared" si="10"/>
        <v>535.65</v>
      </c>
      <c r="W13" s="363">
        <f t="shared" si="11"/>
        <v>175.03</v>
      </c>
      <c r="X13" s="261">
        <f t="shared" si="17"/>
        <v>0</v>
      </c>
      <c r="Y13" s="261">
        <f t="shared" si="18"/>
        <v>175.03</v>
      </c>
      <c r="Z13" s="262">
        <v>0</v>
      </c>
      <c r="AA13" s="261">
        <f t="shared" si="19"/>
        <v>175.03</v>
      </c>
      <c r="AB13" s="261">
        <f t="shared" si="20"/>
        <v>5490.97</v>
      </c>
      <c r="AC13" s="271"/>
    </row>
    <row r="14" spans="1:29" s="265" customFormat="1" ht="117" customHeight="1" x14ac:dyDescent="0.2">
      <c r="A14" s="250"/>
      <c r="B14" s="355">
        <v>406</v>
      </c>
      <c r="C14" s="252" t="s">
        <v>398</v>
      </c>
      <c r="D14" s="248" t="s">
        <v>437</v>
      </c>
      <c r="E14" s="145" t="s">
        <v>438</v>
      </c>
      <c r="F14" s="145" t="s">
        <v>439</v>
      </c>
      <c r="G14" s="354">
        <v>45689</v>
      </c>
      <c r="H14" s="269" t="s">
        <v>440</v>
      </c>
      <c r="I14" s="330">
        <v>15</v>
      </c>
      <c r="J14" s="330">
        <f t="shared" si="0"/>
        <v>281.13333333333333</v>
      </c>
      <c r="K14" s="259">
        <v>4217</v>
      </c>
      <c r="L14" s="260">
        <v>281</v>
      </c>
      <c r="M14" s="261">
        <f>SUM(K14:L14)</f>
        <v>4498</v>
      </c>
      <c r="N14" s="363">
        <f t="shared" si="2"/>
        <v>0</v>
      </c>
      <c r="O14" s="363">
        <f t="shared" si="3"/>
        <v>8546.4533333333329</v>
      </c>
      <c r="P14" s="363">
        <f t="shared" si="4"/>
        <v>7168.52</v>
      </c>
      <c r="Q14" s="363">
        <f t="shared" si="5"/>
        <v>1377.9333333333325</v>
      </c>
      <c r="R14" s="364">
        <f t="shared" si="6"/>
        <v>0.10879999999999999</v>
      </c>
      <c r="S14" s="363">
        <f t="shared" si="7"/>
        <v>149.91914666666656</v>
      </c>
      <c r="T14" s="365">
        <f t="shared" si="8"/>
        <v>420.95</v>
      </c>
      <c r="U14" s="363">
        <f t="shared" si="9"/>
        <v>570.86914666666655</v>
      </c>
      <c r="V14" s="363">
        <f t="shared" si="10"/>
        <v>535.65</v>
      </c>
      <c r="W14" s="363">
        <f t="shared" si="11"/>
        <v>17.38</v>
      </c>
      <c r="X14" s="261">
        <f>-IF(W14&gt;0,0,0)</f>
        <v>0</v>
      </c>
      <c r="Y14" s="261">
        <f t="shared" ref="Y14" si="37">IF(K14/15&lt;=SMG,0,IF(W14&lt;0,0,W14))</f>
        <v>0</v>
      </c>
      <c r="Z14" s="262">
        <v>0</v>
      </c>
      <c r="AA14" s="261">
        <f>SUM(Y14:Z14)</f>
        <v>0</v>
      </c>
      <c r="AB14" s="261">
        <f>M14+X14-AA14</f>
        <v>4498</v>
      </c>
      <c r="AC14" s="271"/>
    </row>
    <row r="15" spans="1:29" ht="40.5" customHeight="1" thickBot="1" x14ac:dyDescent="0.3">
      <c r="A15" s="446" t="s">
        <v>44</v>
      </c>
      <c r="B15" s="447"/>
      <c r="C15" s="447"/>
      <c r="D15" s="447"/>
      <c r="E15" s="447"/>
      <c r="F15" s="447"/>
      <c r="G15" s="447"/>
      <c r="H15" s="447"/>
      <c r="I15" s="447"/>
      <c r="J15" s="448"/>
      <c r="K15" s="136">
        <f t="shared" ref="K15:AA15" si="38">SUM(K9:K14)</f>
        <v>34455</v>
      </c>
      <c r="L15" s="136">
        <f t="shared" si="38"/>
        <v>281</v>
      </c>
      <c r="M15" s="136">
        <f t="shared" si="38"/>
        <v>34736</v>
      </c>
      <c r="N15" s="137">
        <f t="shared" si="38"/>
        <v>0</v>
      </c>
      <c r="O15" s="137">
        <f t="shared" si="38"/>
        <v>69828.800000000017</v>
      </c>
      <c r="P15" s="137">
        <f t="shared" si="38"/>
        <v>59299.650000000009</v>
      </c>
      <c r="Q15" s="137">
        <f t="shared" si="38"/>
        <v>10529.149999999998</v>
      </c>
      <c r="R15" s="137">
        <f t="shared" si="38"/>
        <v>0.80640000000000001</v>
      </c>
      <c r="S15" s="137">
        <f t="shared" si="38"/>
        <v>1172.3015039999998</v>
      </c>
      <c r="T15" s="137">
        <f t="shared" si="38"/>
        <v>4297.8899999999994</v>
      </c>
      <c r="U15" s="137">
        <f t="shared" si="38"/>
        <v>5470.1915039999994</v>
      </c>
      <c r="V15" s="137">
        <f t="shared" si="38"/>
        <v>1606.9499999999998</v>
      </c>
      <c r="W15" s="137">
        <f t="shared" si="38"/>
        <v>1906.1999999999998</v>
      </c>
      <c r="X15" s="136">
        <f t="shared" si="38"/>
        <v>0</v>
      </c>
      <c r="Y15" s="136">
        <f t="shared" si="38"/>
        <v>1888.8199999999997</v>
      </c>
      <c r="Z15" s="136">
        <f t="shared" si="38"/>
        <v>0</v>
      </c>
      <c r="AA15" s="136">
        <f t="shared" si="38"/>
        <v>1888.8199999999997</v>
      </c>
      <c r="AB15" s="136">
        <f>SUM(AB9:AB14)</f>
        <v>32847.18</v>
      </c>
    </row>
    <row r="16" spans="1:29" ht="18.75" thickTop="1" x14ac:dyDescent="0.25">
      <c r="A16" s="108"/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</row>
    <row r="17" spans="1:41" ht="18" x14ac:dyDescent="0.25">
      <c r="A17" s="108"/>
      <c r="B17" s="108"/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</row>
    <row r="18" spans="1:41" ht="18" x14ac:dyDescent="0.25">
      <c r="A18" s="108"/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</row>
    <row r="19" spans="1:41" ht="18" x14ac:dyDescent="0.25">
      <c r="A19" s="108"/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</row>
    <row r="20" spans="1:41" ht="18" x14ac:dyDescent="0.25">
      <c r="A20" s="108"/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</row>
    <row r="21" spans="1:41" ht="18" x14ac:dyDescent="0.25">
      <c r="A21" s="108"/>
      <c r="B21" s="108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</row>
    <row r="22" spans="1:41" ht="18" x14ac:dyDescent="0.25">
      <c r="A22" s="108"/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</row>
    <row r="23" spans="1:41" ht="18" x14ac:dyDescent="0.25">
      <c r="A23" s="108"/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</row>
    <row r="24" spans="1:41" ht="18" x14ac:dyDescent="0.25">
      <c r="A24" s="108"/>
      <c r="B24" s="108"/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</row>
    <row r="25" spans="1:41" ht="18" x14ac:dyDescent="0.25">
      <c r="A25" s="108"/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</row>
    <row r="26" spans="1:41" ht="18" x14ac:dyDescent="0.25">
      <c r="A26" s="108"/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</row>
    <row r="27" spans="1:41" ht="18" x14ac:dyDescent="0.25">
      <c r="A27" s="108"/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</row>
    <row r="28" spans="1:41" ht="18" x14ac:dyDescent="0.25">
      <c r="A28" s="108"/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</row>
    <row r="29" spans="1:41" ht="15" x14ac:dyDescent="0.25">
      <c r="D29" s="94" t="s">
        <v>400</v>
      </c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4" t="s">
        <v>545</v>
      </c>
      <c r="Z29" s="91"/>
      <c r="AA29" s="91"/>
      <c r="AB29" s="91"/>
    </row>
    <row r="30" spans="1:41" ht="15" x14ac:dyDescent="0.25">
      <c r="D30" s="94" t="s">
        <v>413</v>
      </c>
      <c r="E30" s="94"/>
      <c r="F30" s="94"/>
      <c r="G30" s="94"/>
      <c r="H30" s="94"/>
      <c r="I30" s="94"/>
      <c r="J30" s="94"/>
      <c r="K30" s="94"/>
      <c r="L30" s="94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4" t="s">
        <v>183</v>
      </c>
      <c r="Z30" s="91"/>
      <c r="AA30" s="94"/>
      <c r="AB30" s="94"/>
      <c r="AC30" s="85"/>
      <c r="AD30" s="85"/>
      <c r="AE30" s="85"/>
      <c r="AF30" s="85"/>
      <c r="AG30" s="85"/>
      <c r="AH30" s="85"/>
      <c r="AI30" s="85"/>
      <c r="AJ30" s="85"/>
      <c r="AK30" s="85"/>
      <c r="AN30" s="85"/>
      <c r="AO30" s="85"/>
    </row>
    <row r="31" spans="1:41" ht="14.25" x14ac:dyDescent="0.2"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</row>
  </sheetData>
  <mergeCells count="7">
    <mergeCell ref="A15:J15"/>
    <mergeCell ref="A1:AC1"/>
    <mergeCell ref="A2:AC2"/>
    <mergeCell ref="A3:AC3"/>
    <mergeCell ref="K5:M5"/>
    <mergeCell ref="P5:U5"/>
    <mergeCell ref="Y5:AA5"/>
  </mergeCells>
  <dataValidations count="1">
    <dataValidation allowBlank="1" showInputMessage="1" showErrorMessage="1" prompt="Captura el nombre asignado o el nombre como se le identifica a la plaza (ejem. Jefe de Ingresos, Secretario Particular, Oficial Mayor, etc.)" sqref="D14:F14"/>
  </dataValidations>
  <pageMargins left="0.27559055118110237" right="0.27559055118110237" top="0.55118110236220474" bottom="0.15748031496062992" header="0.31496062992125984" footer="0.31496062992125984"/>
  <pageSetup scale="40" orientation="landscape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tarifa</vt:lpstr>
      <vt:lpstr>PRESIDENCIA</vt:lpstr>
      <vt:lpstr>CONTRALORIA </vt:lpstr>
      <vt:lpstr>DIRECTOR OBRAS PUB</vt:lpstr>
      <vt:lpstr>OBRAS PUBLICAS</vt:lpstr>
      <vt:lpstr>SERV.PBCOS</vt:lpstr>
      <vt:lpstr>PROGRAMAS</vt:lpstr>
      <vt:lpstr>HDA.MPAL</vt:lpstr>
      <vt:lpstr>REGIDORES 2</vt:lpstr>
      <vt:lpstr>SINDICO</vt:lpstr>
      <vt:lpstr>CHOFERES</vt:lpstr>
      <vt:lpstr>SEGURIDAD </vt:lpstr>
      <vt:lpstr>SEGURIDAD TE</vt:lpstr>
      <vt:lpstr>SERV.MEDICOS</vt:lpstr>
      <vt:lpstr>'CONTRALORIA '!Área_de_impresión</vt:lpstr>
      <vt:lpstr>PROGRAMAS!Área_de_impresión</vt:lpstr>
      <vt:lpstr>SINDICO!Área_de_impresión</vt:lpstr>
      <vt:lpstr>Credito</vt:lpstr>
      <vt:lpstr>Credito1</vt:lpstr>
      <vt:lpstr>SMG</vt:lpstr>
      <vt:lpstr>Subsidio</vt:lpstr>
      <vt:lpstr>Tarifa</vt:lpstr>
      <vt:lpstr>Tarifa1</vt:lpstr>
      <vt:lpstr>PRESIDENCIA!Títulos_a_imprimir</vt:lpstr>
      <vt:lpstr>UMA</vt:lpstr>
    </vt:vector>
  </TitlesOfParts>
  <Company>FAMILIAR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Cesar</dc:creator>
  <cp:lastModifiedBy>LENOVO</cp:lastModifiedBy>
  <cp:lastPrinted>2026-09-29T20:45:28Z</cp:lastPrinted>
  <dcterms:created xsi:type="dcterms:W3CDTF">2000-05-05T04:08:27Z</dcterms:created>
  <dcterms:modified xsi:type="dcterms:W3CDTF">2026-10-08T20:10:34Z</dcterms:modified>
</cp:coreProperties>
</file>